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bbates\Desktop\"/>
    </mc:Choice>
  </mc:AlternateContent>
  <bookViews>
    <workbookView xWindow="480" yWindow="1560" windowWidth="19440" windowHeight="9060" tabRatio="745"/>
  </bookViews>
  <sheets>
    <sheet name="Instructions" sheetId="72" r:id="rId1"/>
    <sheet name="PEICL_Calc_BarePump" sheetId="69" r:id="rId2"/>
    <sheet name="PEICL_Calc_Pump+Motor" sheetId="1" r:id="rId3"/>
    <sheet name="PEICL_Test_Pump+Motor" sheetId="42" r:id="rId4"/>
    <sheet name="PEIVL_Calc_Pump+Motor+Control" sheetId="70" r:id="rId5"/>
    <sheet name="PEIVL_Test_Pump+Motor+Control" sheetId="71" r:id="rId6"/>
    <sheet name="Assumptions" sheetId="20" r:id="rId7"/>
  </sheets>
  <definedNames>
    <definedName name="_xlnm._FilterDatabase" localSheetId="6" hidden="1">Assumptions!$I$37:$K$37</definedName>
  </definedNames>
  <calcPr calcId="152511"/>
</workbook>
</file>

<file path=xl/calcChain.xml><?xml version="1.0" encoding="utf-8"?>
<calcChain xmlns="http://schemas.openxmlformats.org/spreadsheetml/2006/main">
  <c r="AJ10" i="1" l="1"/>
  <c r="AJ11" i="1" l="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M11" i="71" l="1"/>
  <c r="AM12" i="71"/>
  <c r="AM13" i="71"/>
  <c r="AM14" i="71"/>
  <c r="AM15" i="71"/>
  <c r="AM16" i="71"/>
  <c r="AM17" i="71"/>
  <c r="AM18" i="71"/>
  <c r="AM19" i="71"/>
  <c r="AM20" i="71"/>
  <c r="AM21" i="71"/>
  <c r="AM22" i="71"/>
  <c r="AM23" i="71"/>
  <c r="AM24" i="71"/>
  <c r="AM25" i="71"/>
  <c r="AM26" i="71"/>
  <c r="AM27" i="71"/>
  <c r="AM28" i="71"/>
  <c r="AM29" i="71"/>
  <c r="AM30" i="71"/>
  <c r="AM31" i="71"/>
  <c r="AM32" i="71"/>
  <c r="AM33" i="71"/>
  <c r="AM34" i="71"/>
  <c r="AM35" i="71"/>
  <c r="AM36" i="71"/>
  <c r="AM37" i="71"/>
  <c r="AM38" i="71"/>
  <c r="AM39" i="71"/>
  <c r="AM40" i="71"/>
  <c r="AM41" i="71"/>
  <c r="AM42" i="71"/>
  <c r="AM43" i="71"/>
  <c r="AM44" i="71"/>
  <c r="AM45" i="71"/>
  <c r="AM46" i="71"/>
  <c r="AM47" i="71"/>
  <c r="AM48" i="71"/>
  <c r="AM49" i="71"/>
  <c r="AM50" i="71"/>
  <c r="AM51" i="71"/>
  <c r="AM52" i="71"/>
  <c r="AM53" i="71"/>
  <c r="AM54" i="71"/>
  <c r="AM55" i="71"/>
  <c r="AM56" i="71"/>
  <c r="AM57" i="71"/>
  <c r="AM58" i="71"/>
  <c r="AM59" i="71"/>
  <c r="AM60" i="71"/>
  <c r="AM61" i="71"/>
  <c r="AM62" i="71"/>
  <c r="AM63" i="71"/>
  <c r="AM64" i="71"/>
  <c r="AM65" i="71"/>
  <c r="AM66" i="71"/>
  <c r="AM67" i="71"/>
  <c r="AM68" i="71"/>
  <c r="AM69" i="71"/>
  <c r="AM70" i="71"/>
  <c r="AM71" i="71"/>
  <c r="AM72" i="71"/>
  <c r="AM73" i="71"/>
  <c r="AM74" i="71"/>
  <c r="AM75" i="71"/>
  <c r="AM76" i="71"/>
  <c r="AM77" i="71"/>
  <c r="AM78" i="71"/>
  <c r="AM79" i="71"/>
  <c r="AM80" i="71"/>
  <c r="AM81" i="71"/>
  <c r="AM82" i="71"/>
  <c r="AM83" i="71"/>
  <c r="AM84" i="71"/>
  <c r="AM85" i="71"/>
  <c r="AM86" i="71"/>
  <c r="AM87" i="71"/>
  <c r="AM88" i="71"/>
  <c r="AM89" i="71"/>
  <c r="AM90" i="71"/>
  <c r="AM91" i="71"/>
  <c r="AM92" i="71"/>
  <c r="AM93" i="71"/>
  <c r="AM94" i="71"/>
  <c r="AM95" i="71"/>
  <c r="AM96" i="71"/>
  <c r="AM97" i="71"/>
  <c r="AM98" i="71"/>
  <c r="AM99" i="71"/>
  <c r="AM100" i="71"/>
  <c r="AM101" i="71"/>
  <c r="AM102" i="71"/>
  <c r="AM103" i="71"/>
  <c r="AM104" i="71"/>
  <c r="AM105" i="71"/>
  <c r="AM106" i="71"/>
  <c r="AM107" i="71"/>
  <c r="AM108" i="71"/>
  <c r="AM109" i="71"/>
  <c r="AM10" i="71"/>
  <c r="AL11" i="70"/>
  <c r="AL12" i="70"/>
  <c r="AL13" i="70"/>
  <c r="AL14" i="70"/>
  <c r="AL15" i="70"/>
  <c r="AL16" i="70"/>
  <c r="AL17" i="70"/>
  <c r="AL18" i="70"/>
  <c r="AL19" i="70"/>
  <c r="AL20" i="70"/>
  <c r="AL21" i="70"/>
  <c r="AL22" i="70"/>
  <c r="AL23" i="70"/>
  <c r="AL24" i="70"/>
  <c r="AL25" i="70"/>
  <c r="AL26" i="70"/>
  <c r="AL27" i="70"/>
  <c r="AL28" i="70"/>
  <c r="AL29" i="70"/>
  <c r="AL30" i="70"/>
  <c r="AL31" i="70"/>
  <c r="AL32" i="70"/>
  <c r="AL33" i="70"/>
  <c r="AL34" i="70"/>
  <c r="AL35" i="70"/>
  <c r="AL36" i="70"/>
  <c r="AL37" i="70"/>
  <c r="AL38" i="70"/>
  <c r="AL39" i="70"/>
  <c r="AL40" i="70"/>
  <c r="AL41" i="70"/>
  <c r="AL42" i="70"/>
  <c r="AL43" i="70"/>
  <c r="AL44" i="70"/>
  <c r="AL45" i="70"/>
  <c r="AL46" i="70"/>
  <c r="AL47" i="70"/>
  <c r="AL48" i="70"/>
  <c r="AL49" i="70"/>
  <c r="AL50" i="70"/>
  <c r="AL51" i="70"/>
  <c r="AL52" i="70"/>
  <c r="AL53" i="70"/>
  <c r="AL54" i="70"/>
  <c r="AL55" i="70"/>
  <c r="AL56" i="70"/>
  <c r="AL57" i="70"/>
  <c r="AL58" i="70"/>
  <c r="AL59" i="70"/>
  <c r="AL60" i="70"/>
  <c r="AL61" i="70"/>
  <c r="AL62" i="70"/>
  <c r="AL63" i="70"/>
  <c r="AL64" i="70"/>
  <c r="AL65" i="70"/>
  <c r="AL66" i="70"/>
  <c r="AL67" i="70"/>
  <c r="AL68" i="70"/>
  <c r="AL69" i="70"/>
  <c r="AL70" i="70"/>
  <c r="AL71" i="70"/>
  <c r="AL72" i="70"/>
  <c r="AL73" i="70"/>
  <c r="AL74" i="70"/>
  <c r="AL75" i="70"/>
  <c r="AL76" i="70"/>
  <c r="AL77" i="70"/>
  <c r="AL78" i="70"/>
  <c r="AL79" i="70"/>
  <c r="AL80" i="70"/>
  <c r="AL81" i="70"/>
  <c r="AL82" i="70"/>
  <c r="AL83" i="70"/>
  <c r="AL84" i="70"/>
  <c r="AL85" i="70"/>
  <c r="AL86" i="70"/>
  <c r="AL87" i="70"/>
  <c r="AL88" i="70"/>
  <c r="AL89" i="70"/>
  <c r="AL90" i="70"/>
  <c r="AL91" i="70"/>
  <c r="AL92" i="70"/>
  <c r="AL93" i="70"/>
  <c r="AL94" i="70"/>
  <c r="AL95" i="70"/>
  <c r="AL96" i="70"/>
  <c r="AL97" i="70"/>
  <c r="AL98" i="70"/>
  <c r="AL99" i="70"/>
  <c r="AL100" i="70"/>
  <c r="AL101" i="70"/>
  <c r="AL102" i="70"/>
  <c r="AL103" i="70"/>
  <c r="AL104" i="70"/>
  <c r="AL105" i="70"/>
  <c r="AL106" i="70"/>
  <c r="AL107" i="70"/>
  <c r="AL10" i="70"/>
  <c r="AE11" i="42"/>
  <c r="AE12" i="42"/>
  <c r="AE13" i="42"/>
  <c r="AE14" i="42"/>
  <c r="AE15" i="42"/>
  <c r="AE16" i="42"/>
  <c r="AE17" i="42"/>
  <c r="AE18" i="42"/>
  <c r="AE19" i="42"/>
  <c r="AE20" i="42"/>
  <c r="AE21" i="42"/>
  <c r="AE22" i="42"/>
  <c r="AE23" i="42"/>
  <c r="AE24" i="42"/>
  <c r="AE25" i="42"/>
  <c r="AE26" i="42"/>
  <c r="AE27" i="42"/>
  <c r="AE28" i="42"/>
  <c r="AE29" i="42"/>
  <c r="AE30" i="42"/>
  <c r="AE31" i="42"/>
  <c r="AE32" i="42"/>
  <c r="AE33" i="42"/>
  <c r="AE34" i="42"/>
  <c r="AE35" i="42"/>
  <c r="AE36" i="42"/>
  <c r="AE37" i="42"/>
  <c r="AE38" i="42"/>
  <c r="AE39" i="42"/>
  <c r="AE40" i="42"/>
  <c r="AE41" i="42"/>
  <c r="AE42" i="42"/>
  <c r="AE43" i="42"/>
  <c r="AE44" i="42"/>
  <c r="AE45" i="42"/>
  <c r="AE46" i="42"/>
  <c r="AE47" i="42"/>
  <c r="AE48" i="42"/>
  <c r="AE49" i="42"/>
  <c r="AE50" i="42"/>
  <c r="AE51" i="42"/>
  <c r="AE52" i="42"/>
  <c r="AE53" i="42"/>
  <c r="AE54" i="42"/>
  <c r="AE55" i="42"/>
  <c r="AE56" i="42"/>
  <c r="AE57" i="42"/>
  <c r="AE58" i="42"/>
  <c r="AE59" i="42"/>
  <c r="AE60" i="42"/>
  <c r="AE61" i="42"/>
  <c r="AE62" i="42"/>
  <c r="AE63" i="42"/>
  <c r="AE64" i="42"/>
  <c r="AE65" i="42"/>
  <c r="AE66" i="42"/>
  <c r="AE67" i="42"/>
  <c r="AE68" i="42"/>
  <c r="AE69" i="42"/>
  <c r="AE70" i="42"/>
  <c r="AE71" i="42"/>
  <c r="AE72" i="42"/>
  <c r="AE73" i="42"/>
  <c r="AE74" i="42"/>
  <c r="AE75" i="42"/>
  <c r="AE76" i="42"/>
  <c r="AE77" i="42"/>
  <c r="AE78" i="42"/>
  <c r="AE79" i="42"/>
  <c r="AE80" i="42"/>
  <c r="AE81" i="42"/>
  <c r="AE82" i="42"/>
  <c r="AE83" i="42"/>
  <c r="AE84" i="42"/>
  <c r="AE85" i="42"/>
  <c r="AE86" i="42"/>
  <c r="AE87" i="42"/>
  <c r="AE88" i="42"/>
  <c r="AE89" i="42"/>
  <c r="AE90" i="42"/>
  <c r="AE91" i="42"/>
  <c r="AE92" i="42"/>
  <c r="AE93" i="42"/>
  <c r="AE94" i="42"/>
  <c r="AE95" i="42"/>
  <c r="AE96" i="42"/>
  <c r="AE97" i="42"/>
  <c r="AE98" i="42"/>
  <c r="AE99" i="42"/>
  <c r="AE100" i="42"/>
  <c r="AE101" i="42"/>
  <c r="AE102" i="42"/>
  <c r="AE103" i="42"/>
  <c r="AE104" i="42"/>
  <c r="AE105" i="42"/>
  <c r="AE106" i="42"/>
  <c r="AE107" i="42"/>
  <c r="AE108" i="42"/>
  <c r="AE109" i="42"/>
  <c r="AE10" i="42"/>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 i="1"/>
  <c r="S9" i="71" l="1"/>
  <c r="P11" i="69" l="1"/>
  <c r="Q11" i="69" s="1"/>
  <c r="P12" i="69"/>
  <c r="Q12" i="69" s="1"/>
  <c r="P13" i="69"/>
  <c r="Q13" i="69" s="1"/>
  <c r="P14" i="69"/>
  <c r="Q14" i="69" s="1"/>
  <c r="P15" i="69"/>
  <c r="Q15" i="69" s="1"/>
  <c r="P16" i="69"/>
  <c r="Q16" i="69" s="1"/>
  <c r="P17" i="69"/>
  <c r="Q17" i="69" s="1"/>
  <c r="P18" i="69"/>
  <c r="Q18" i="69" s="1"/>
  <c r="P19" i="69"/>
  <c r="Q19" i="69" s="1"/>
  <c r="P20" i="69"/>
  <c r="Q20" i="69" s="1"/>
  <c r="P21" i="69"/>
  <c r="Q21" i="69" s="1"/>
  <c r="P22" i="69"/>
  <c r="Q22" i="69" s="1"/>
  <c r="P23" i="69"/>
  <c r="Q23" i="69" s="1"/>
  <c r="P24" i="69"/>
  <c r="Q24" i="69" s="1"/>
  <c r="P25" i="69"/>
  <c r="Q25" i="69" s="1"/>
  <c r="P26" i="69"/>
  <c r="Q26" i="69" s="1"/>
  <c r="P27" i="69"/>
  <c r="Q27" i="69" s="1"/>
  <c r="P28" i="69"/>
  <c r="Q28" i="69" s="1"/>
  <c r="P29" i="69"/>
  <c r="Q29" i="69" s="1"/>
  <c r="P30" i="69"/>
  <c r="Q30" i="69" s="1"/>
  <c r="P31" i="69"/>
  <c r="Q31" i="69" s="1"/>
  <c r="P32" i="69"/>
  <c r="Q32" i="69" s="1"/>
  <c r="P33" i="69"/>
  <c r="Q33" i="69" s="1"/>
  <c r="P34" i="69"/>
  <c r="Q34" i="69" s="1"/>
  <c r="P35" i="69"/>
  <c r="Q35" i="69" s="1"/>
  <c r="P36" i="69"/>
  <c r="Q36" i="69" s="1"/>
  <c r="P37" i="69"/>
  <c r="Q37" i="69" s="1"/>
  <c r="P38" i="69"/>
  <c r="Q38" i="69" s="1"/>
  <c r="P39" i="69"/>
  <c r="Q39" i="69" s="1"/>
  <c r="P40" i="69"/>
  <c r="Q40" i="69" s="1"/>
  <c r="P41" i="69"/>
  <c r="Q41" i="69" s="1"/>
  <c r="P42" i="69"/>
  <c r="Q42" i="69" s="1"/>
  <c r="P43" i="69"/>
  <c r="Q43" i="69" s="1"/>
  <c r="P44" i="69"/>
  <c r="Q44" i="69" s="1"/>
  <c r="P45" i="69"/>
  <c r="Q45" i="69" s="1"/>
  <c r="P46" i="69"/>
  <c r="Q46" i="69" s="1"/>
  <c r="P47" i="69"/>
  <c r="Q47" i="69" s="1"/>
  <c r="P48" i="69"/>
  <c r="Q48" i="69" s="1"/>
  <c r="P49" i="69"/>
  <c r="Q49" i="69" s="1"/>
  <c r="P50" i="69"/>
  <c r="Q50" i="69" s="1"/>
  <c r="P51" i="69"/>
  <c r="Q51" i="69" s="1"/>
  <c r="P52" i="69"/>
  <c r="Q52" i="69" s="1"/>
  <c r="P53" i="69"/>
  <c r="Q53" i="69" s="1"/>
  <c r="P54" i="69"/>
  <c r="Q54" i="69" s="1"/>
  <c r="P55" i="69"/>
  <c r="Q55" i="69" s="1"/>
  <c r="P56" i="69"/>
  <c r="Q56" i="69" s="1"/>
  <c r="P57" i="69"/>
  <c r="Q57" i="69" s="1"/>
  <c r="P58" i="69"/>
  <c r="Q58" i="69" s="1"/>
  <c r="P59" i="69"/>
  <c r="Q59" i="69" s="1"/>
  <c r="P60" i="69"/>
  <c r="Q60" i="69" s="1"/>
  <c r="P61" i="69"/>
  <c r="Q61" i="69" s="1"/>
  <c r="P62" i="69"/>
  <c r="Q62" i="69" s="1"/>
  <c r="P63" i="69"/>
  <c r="Q63" i="69" s="1"/>
  <c r="P64" i="69"/>
  <c r="Q64" i="69" s="1"/>
  <c r="P65" i="69"/>
  <c r="Q65" i="69" s="1"/>
  <c r="P66" i="69"/>
  <c r="Q66" i="69" s="1"/>
  <c r="P67" i="69"/>
  <c r="Q67" i="69" s="1"/>
  <c r="P68" i="69"/>
  <c r="Q68" i="69" s="1"/>
  <c r="P69" i="69"/>
  <c r="Q69" i="69" s="1"/>
  <c r="P70" i="69"/>
  <c r="Q70" i="69" s="1"/>
  <c r="P71" i="69"/>
  <c r="Q71" i="69" s="1"/>
  <c r="P72" i="69"/>
  <c r="Q72" i="69" s="1"/>
  <c r="P73" i="69"/>
  <c r="Q73" i="69" s="1"/>
  <c r="P74" i="69"/>
  <c r="Q74" i="69" s="1"/>
  <c r="P75" i="69"/>
  <c r="Q75" i="69" s="1"/>
  <c r="P76" i="69"/>
  <c r="Q76" i="69" s="1"/>
  <c r="P77" i="69"/>
  <c r="Q77" i="69" s="1"/>
  <c r="P78" i="69"/>
  <c r="Q78" i="69" s="1"/>
  <c r="P79" i="69"/>
  <c r="Q79" i="69" s="1"/>
  <c r="P80" i="69"/>
  <c r="Q80" i="69" s="1"/>
  <c r="P81" i="69"/>
  <c r="Q81" i="69" s="1"/>
  <c r="P82" i="69"/>
  <c r="Q82" i="69" s="1"/>
  <c r="P83" i="69"/>
  <c r="Q83" i="69" s="1"/>
  <c r="P84" i="69"/>
  <c r="Q84" i="69" s="1"/>
  <c r="P85" i="69"/>
  <c r="Q85" i="69" s="1"/>
  <c r="P86" i="69"/>
  <c r="Q86" i="69" s="1"/>
  <c r="P87" i="69"/>
  <c r="Q87" i="69" s="1"/>
  <c r="P88" i="69"/>
  <c r="Q88" i="69" s="1"/>
  <c r="P89" i="69"/>
  <c r="Q89" i="69" s="1"/>
  <c r="P90" i="69"/>
  <c r="Q90" i="69" s="1"/>
  <c r="P91" i="69"/>
  <c r="Q91" i="69" s="1"/>
  <c r="P92" i="69"/>
  <c r="Q92" i="69" s="1"/>
  <c r="P93" i="69"/>
  <c r="Q93" i="69" s="1"/>
  <c r="P94" i="69"/>
  <c r="Q94" i="69" s="1"/>
  <c r="P95" i="69"/>
  <c r="Q95" i="69" s="1"/>
  <c r="P96" i="69"/>
  <c r="Q96" i="69" s="1"/>
  <c r="P97" i="69"/>
  <c r="Q97" i="69" s="1"/>
  <c r="P98" i="69"/>
  <c r="Q98" i="69" s="1"/>
  <c r="P99" i="69"/>
  <c r="Q99" i="69" s="1"/>
  <c r="P100" i="69"/>
  <c r="Q100" i="69" s="1"/>
  <c r="P101" i="69"/>
  <c r="Q101" i="69" s="1"/>
  <c r="P102" i="69"/>
  <c r="Q102" i="69" s="1"/>
  <c r="P103" i="69"/>
  <c r="Q103" i="69" s="1"/>
  <c r="P104" i="69"/>
  <c r="Q104" i="69" s="1"/>
  <c r="P105" i="69"/>
  <c r="Q105" i="69" s="1"/>
  <c r="P106" i="69"/>
  <c r="Q106" i="69" s="1"/>
  <c r="P107" i="69"/>
  <c r="Q107" i="69" s="1"/>
  <c r="U106" i="69" l="1"/>
  <c r="AE106" i="69"/>
  <c r="Z106" i="69"/>
  <c r="R106" i="69"/>
  <c r="AC106" i="69"/>
  <c r="X106" i="69"/>
  <c r="AD106" i="69"/>
  <c r="Y106" i="69"/>
  <c r="T106" i="69"/>
  <c r="S106" i="69"/>
  <c r="AE102" i="69"/>
  <c r="Z102" i="69"/>
  <c r="U102" i="69"/>
  <c r="X102" i="69"/>
  <c r="AD102" i="69"/>
  <c r="AG102" i="69" s="1"/>
  <c r="Y102" i="69"/>
  <c r="T102" i="69"/>
  <c r="AC102" i="69"/>
  <c r="S102" i="69"/>
  <c r="R102" i="69" s="1"/>
  <c r="AE94" i="69"/>
  <c r="Z94" i="69"/>
  <c r="U94" i="69"/>
  <c r="R94" i="69"/>
  <c r="AD94" i="69"/>
  <c r="Y94" i="69"/>
  <c r="T94" i="69"/>
  <c r="AC94" i="69"/>
  <c r="AG94" i="69" s="1"/>
  <c r="X94" i="69"/>
  <c r="S94" i="69"/>
  <c r="AE86" i="69"/>
  <c r="Z86" i="69"/>
  <c r="U86" i="69"/>
  <c r="AC86" i="69"/>
  <c r="AG86" i="69" s="1"/>
  <c r="AD86" i="69"/>
  <c r="Y86" i="69"/>
  <c r="T86" i="69"/>
  <c r="X86" i="69"/>
  <c r="AB86" i="69" s="1"/>
  <c r="S86" i="69"/>
  <c r="R86" i="69" s="1"/>
  <c r="U74" i="69"/>
  <c r="AE74" i="69"/>
  <c r="Z74" i="69"/>
  <c r="R74" i="69"/>
  <c r="AC74" i="69"/>
  <c r="S74" i="69"/>
  <c r="AD74" i="69"/>
  <c r="AG74" i="69" s="1"/>
  <c r="Y74" i="69"/>
  <c r="AB74" i="69" s="1"/>
  <c r="T74" i="69"/>
  <c r="X74" i="69"/>
  <c r="U66" i="69"/>
  <c r="AE66" i="69"/>
  <c r="Z66" i="69"/>
  <c r="AC66" i="69"/>
  <c r="AG66" i="69" s="1"/>
  <c r="S66" i="69"/>
  <c r="R66" i="69" s="1"/>
  <c r="AD66" i="69"/>
  <c r="Y66" i="69"/>
  <c r="T66" i="69"/>
  <c r="X66" i="69"/>
  <c r="AB66" i="69" s="1"/>
  <c r="U50" i="69"/>
  <c r="AE50" i="69"/>
  <c r="Z50" i="69"/>
  <c r="R50" i="69"/>
  <c r="X50" i="69"/>
  <c r="S50" i="69"/>
  <c r="AD50" i="69"/>
  <c r="AG50" i="69" s="1"/>
  <c r="Y50" i="69"/>
  <c r="AB50" i="69" s="1"/>
  <c r="T50" i="69"/>
  <c r="AC50" i="69"/>
  <c r="U42" i="69"/>
  <c r="AE42" i="69"/>
  <c r="Z42" i="69"/>
  <c r="AC42" i="69"/>
  <c r="X42" i="69"/>
  <c r="AD42" i="69"/>
  <c r="Y42" i="69"/>
  <c r="T42" i="69"/>
  <c r="S42" i="69"/>
  <c r="R42" i="69" s="1"/>
  <c r="AE30" i="69"/>
  <c r="Z30" i="69"/>
  <c r="U30" i="69"/>
  <c r="R30" i="69"/>
  <c r="AC30" i="69"/>
  <c r="S30" i="69"/>
  <c r="AD30" i="69"/>
  <c r="AG30" i="69" s="1"/>
  <c r="Y30" i="69"/>
  <c r="AB30" i="69" s="1"/>
  <c r="T30" i="69"/>
  <c r="X30" i="69"/>
  <c r="U18" i="69"/>
  <c r="AE18" i="69"/>
  <c r="Z18" i="69"/>
  <c r="AC18" i="69"/>
  <c r="X18" i="69"/>
  <c r="AD18" i="69"/>
  <c r="AG18" i="69" s="1"/>
  <c r="Y18" i="69"/>
  <c r="T18" i="69"/>
  <c r="S18" i="69"/>
  <c r="R18" i="69" s="1"/>
  <c r="AE105" i="69"/>
  <c r="U105" i="69"/>
  <c r="Z105" i="69"/>
  <c r="AD105" i="69"/>
  <c r="Y105" i="69"/>
  <c r="T105" i="69"/>
  <c r="R105" i="69"/>
  <c r="AC105" i="69"/>
  <c r="AG105" i="69" s="1"/>
  <c r="X105" i="69"/>
  <c r="S105" i="69"/>
  <c r="AE97" i="69"/>
  <c r="U97" i="69"/>
  <c r="Z97" i="69"/>
  <c r="AD97" i="69"/>
  <c r="Y97" i="69"/>
  <c r="AB97" i="69" s="1"/>
  <c r="T97" i="69"/>
  <c r="R97" i="69" s="1"/>
  <c r="AC97" i="69"/>
  <c r="X97" i="69"/>
  <c r="S97" i="69"/>
  <c r="AE81" i="69"/>
  <c r="U81" i="69"/>
  <c r="Z81" i="69"/>
  <c r="AD81" i="69"/>
  <c r="Y81" i="69"/>
  <c r="T81" i="69"/>
  <c r="R81" i="69"/>
  <c r="AC81" i="69"/>
  <c r="AG81" i="69" s="1"/>
  <c r="X81" i="69"/>
  <c r="S81" i="69"/>
  <c r="AE73" i="69"/>
  <c r="U73" i="69"/>
  <c r="Z73" i="69"/>
  <c r="AD73" i="69"/>
  <c r="Y73" i="69"/>
  <c r="T73" i="69"/>
  <c r="R73" i="69" s="1"/>
  <c r="AC73" i="69"/>
  <c r="X73" i="69"/>
  <c r="S73" i="69"/>
  <c r="AE61" i="69"/>
  <c r="U61" i="69"/>
  <c r="Z61" i="69"/>
  <c r="AD61" i="69"/>
  <c r="Y61" i="69"/>
  <c r="T61" i="69"/>
  <c r="R61" i="69"/>
  <c r="AC61" i="69"/>
  <c r="AG61" i="69" s="1"/>
  <c r="X61" i="69"/>
  <c r="S61" i="69"/>
  <c r="AE49" i="69"/>
  <c r="U49" i="69"/>
  <c r="Z49" i="69"/>
  <c r="AD49" i="69"/>
  <c r="Y49" i="69"/>
  <c r="T49" i="69"/>
  <c r="AC49" i="69"/>
  <c r="X49" i="69"/>
  <c r="S49" i="69"/>
  <c r="AE41" i="69"/>
  <c r="U41" i="69"/>
  <c r="Z41" i="69"/>
  <c r="AD41" i="69"/>
  <c r="Y41" i="69"/>
  <c r="T41" i="69"/>
  <c r="R41" i="69"/>
  <c r="AC41" i="69"/>
  <c r="AG41" i="69" s="1"/>
  <c r="X41" i="69"/>
  <c r="S41" i="69"/>
  <c r="AE29" i="69"/>
  <c r="U29" i="69"/>
  <c r="Z29" i="69"/>
  <c r="AD29" i="69"/>
  <c r="Y29" i="69"/>
  <c r="T29" i="69"/>
  <c r="AC29" i="69"/>
  <c r="X29" i="69"/>
  <c r="AB29" i="69" s="1"/>
  <c r="S29" i="69"/>
  <c r="AE21" i="69"/>
  <c r="U21" i="69"/>
  <c r="Z21" i="69"/>
  <c r="AD21" i="69"/>
  <c r="Y21" i="69"/>
  <c r="T21" i="69"/>
  <c r="R21" i="69"/>
  <c r="AC21" i="69"/>
  <c r="AG21" i="69" s="1"/>
  <c r="X21" i="69"/>
  <c r="S21" i="69"/>
  <c r="AE13" i="69"/>
  <c r="U13" i="69"/>
  <c r="Z13" i="69"/>
  <c r="AD13" i="69"/>
  <c r="Y13" i="69"/>
  <c r="T13" i="69"/>
  <c r="AC13" i="69"/>
  <c r="X13" i="69"/>
  <c r="S13" i="69"/>
  <c r="Z96" i="69"/>
  <c r="U96" i="69"/>
  <c r="AE96" i="69"/>
  <c r="T96" i="69"/>
  <c r="AC96" i="69"/>
  <c r="X96" i="69"/>
  <c r="S96" i="69"/>
  <c r="R96" i="69"/>
  <c r="AD96" i="69"/>
  <c r="Y96" i="69"/>
  <c r="AE84" i="69"/>
  <c r="Z84" i="69"/>
  <c r="U84" i="69"/>
  <c r="T84" i="69"/>
  <c r="AC84" i="69"/>
  <c r="AG84" i="69" s="1"/>
  <c r="X84" i="69"/>
  <c r="AB84" i="69" s="1"/>
  <c r="S84" i="69"/>
  <c r="R84" i="69"/>
  <c r="AD84" i="69"/>
  <c r="Y84" i="69"/>
  <c r="AE76" i="69"/>
  <c r="Z76" i="69"/>
  <c r="U76" i="69"/>
  <c r="AD76" i="69"/>
  <c r="AG76" i="69" s="1"/>
  <c r="AC76" i="69"/>
  <c r="X76" i="69"/>
  <c r="S76" i="69"/>
  <c r="R76" i="69" s="1"/>
  <c r="Y76" i="69"/>
  <c r="AB76" i="69" s="1"/>
  <c r="T76" i="69"/>
  <c r="Z72" i="69"/>
  <c r="U72" i="69"/>
  <c r="AE72" i="69"/>
  <c r="T72" i="69"/>
  <c r="AC72" i="69"/>
  <c r="AG72" i="69" s="1"/>
  <c r="X72" i="69"/>
  <c r="AB72" i="69" s="1"/>
  <c r="S72" i="69"/>
  <c r="R72" i="69"/>
  <c r="AD72" i="69"/>
  <c r="Y72" i="69"/>
  <c r="AE68" i="69"/>
  <c r="Z68" i="69"/>
  <c r="U68" i="69"/>
  <c r="Y68" i="69"/>
  <c r="AC68" i="69"/>
  <c r="X68" i="69"/>
  <c r="S68" i="69"/>
  <c r="AD68" i="69"/>
  <c r="T68" i="69"/>
  <c r="Z64" i="69"/>
  <c r="U64" i="69"/>
  <c r="AE64" i="69"/>
  <c r="AD64" i="69"/>
  <c r="AC64" i="69"/>
  <c r="X64" i="69"/>
  <c r="S64" i="69"/>
  <c r="Y64" i="69"/>
  <c r="T64" i="69"/>
  <c r="R64" i="69"/>
  <c r="AE60" i="69"/>
  <c r="Z60" i="69"/>
  <c r="U60" i="69"/>
  <c r="Y60" i="69"/>
  <c r="T60" i="69"/>
  <c r="AC60" i="69"/>
  <c r="X60" i="69"/>
  <c r="S60" i="69"/>
  <c r="AD60" i="69"/>
  <c r="Z56" i="69"/>
  <c r="U56" i="69"/>
  <c r="AE56" i="69"/>
  <c r="AC56" i="69"/>
  <c r="X56" i="69"/>
  <c r="S56" i="69"/>
  <c r="AD56" i="69"/>
  <c r="Y56" i="69"/>
  <c r="T56" i="69"/>
  <c r="AE52" i="69"/>
  <c r="Z52" i="69"/>
  <c r="U52" i="69"/>
  <c r="AD52" i="69"/>
  <c r="AG52" i="69" s="1"/>
  <c r="Y52" i="69"/>
  <c r="T52" i="69"/>
  <c r="AC52" i="69"/>
  <c r="X52" i="69"/>
  <c r="S52" i="69"/>
  <c r="R52" i="69"/>
  <c r="Z48" i="69"/>
  <c r="U48" i="69"/>
  <c r="AE48" i="69"/>
  <c r="AD48" i="69"/>
  <c r="AC48" i="69"/>
  <c r="X48" i="69"/>
  <c r="S48" i="69"/>
  <c r="Y48" i="69"/>
  <c r="T48" i="69"/>
  <c r="R48" i="69"/>
  <c r="AE44" i="69"/>
  <c r="Z44" i="69"/>
  <c r="U44" i="69"/>
  <c r="T44" i="69"/>
  <c r="R44" i="69" s="1"/>
  <c r="AC44" i="69"/>
  <c r="X44" i="69"/>
  <c r="S44" i="69"/>
  <c r="AD44" i="69"/>
  <c r="Y44" i="69"/>
  <c r="Z40" i="69"/>
  <c r="U40" i="69"/>
  <c r="AE40" i="69"/>
  <c r="Y40" i="69"/>
  <c r="AC40" i="69"/>
  <c r="X40" i="69"/>
  <c r="S40" i="69"/>
  <c r="AD40" i="69"/>
  <c r="T40" i="69"/>
  <c r="R40" i="69" s="1"/>
  <c r="AE36" i="69"/>
  <c r="Z36" i="69"/>
  <c r="U36" i="69"/>
  <c r="AD36" i="69"/>
  <c r="AG36" i="69" s="1"/>
  <c r="AC36" i="69"/>
  <c r="X36" i="69"/>
  <c r="S36" i="69"/>
  <c r="Y36" i="69"/>
  <c r="T36" i="69"/>
  <c r="Z32" i="69"/>
  <c r="U32" i="69"/>
  <c r="AE32" i="69"/>
  <c r="T32" i="69"/>
  <c r="AC32" i="69"/>
  <c r="AG32" i="69" s="1"/>
  <c r="X32" i="69"/>
  <c r="AB32" i="69" s="1"/>
  <c r="S32" i="69"/>
  <c r="R32" i="69"/>
  <c r="AD32" i="69"/>
  <c r="Y32" i="69"/>
  <c r="AE28" i="69"/>
  <c r="Z28" i="69"/>
  <c r="U28" i="69"/>
  <c r="Y28" i="69"/>
  <c r="AB28" i="69" s="1"/>
  <c r="AC28" i="69"/>
  <c r="X28" i="69"/>
  <c r="S28" i="69"/>
  <c r="AD28" i="69"/>
  <c r="AG28" i="69" s="1"/>
  <c r="T28" i="69"/>
  <c r="Z24" i="69"/>
  <c r="U24" i="69"/>
  <c r="AE24" i="69"/>
  <c r="AD24" i="69"/>
  <c r="AC24" i="69"/>
  <c r="X24" i="69"/>
  <c r="S24" i="69"/>
  <c r="Y24" i="69"/>
  <c r="T24" i="69"/>
  <c r="R24" i="69"/>
  <c r="AE20" i="69"/>
  <c r="Z20" i="69"/>
  <c r="U20" i="69"/>
  <c r="T20" i="69"/>
  <c r="R20" i="69" s="1"/>
  <c r="AO20" i="69" s="1"/>
  <c r="AC20" i="69"/>
  <c r="X20" i="69"/>
  <c r="S20" i="69"/>
  <c r="AD20" i="69"/>
  <c r="AG20" i="69" s="1"/>
  <c r="Y20" i="69"/>
  <c r="Z16" i="69"/>
  <c r="U16" i="69"/>
  <c r="AE16" i="69"/>
  <c r="Y16" i="69"/>
  <c r="AC16" i="69"/>
  <c r="X16" i="69"/>
  <c r="S16" i="69"/>
  <c r="AD16" i="69"/>
  <c r="T16" i="69"/>
  <c r="AE12" i="69"/>
  <c r="Z12" i="69"/>
  <c r="U12" i="69"/>
  <c r="AD12" i="69"/>
  <c r="R12" i="69"/>
  <c r="AC12" i="69"/>
  <c r="X12" i="69"/>
  <c r="S12" i="69"/>
  <c r="Y12" i="69"/>
  <c r="AB12" i="69" s="1"/>
  <c r="T12" i="69"/>
  <c r="U98" i="69"/>
  <c r="AE98" i="69"/>
  <c r="Z98" i="69"/>
  <c r="AC98" i="69"/>
  <c r="S98" i="69"/>
  <c r="AD98" i="69"/>
  <c r="AG98" i="69" s="1"/>
  <c r="Y98" i="69"/>
  <c r="T98" i="69"/>
  <c r="X98" i="69"/>
  <c r="U90" i="69"/>
  <c r="AE90" i="69"/>
  <c r="Z90" i="69"/>
  <c r="X90" i="69"/>
  <c r="AB90" i="69" s="1"/>
  <c r="S90" i="69"/>
  <c r="AD90" i="69"/>
  <c r="Y90" i="69"/>
  <c r="T90" i="69"/>
  <c r="R90" i="69" s="1"/>
  <c r="AC90" i="69"/>
  <c r="U82" i="69"/>
  <c r="AE82" i="69"/>
  <c r="Z82" i="69"/>
  <c r="S82" i="69"/>
  <c r="AD82" i="69"/>
  <c r="AG82" i="69" s="1"/>
  <c r="Y82" i="69"/>
  <c r="T82" i="69"/>
  <c r="AC82" i="69"/>
  <c r="X82" i="69"/>
  <c r="AB82" i="69" s="1"/>
  <c r="AE78" i="69"/>
  <c r="Z78" i="69"/>
  <c r="U78" i="69"/>
  <c r="X78" i="69"/>
  <c r="AB78" i="69" s="1"/>
  <c r="AD78" i="69"/>
  <c r="Y78" i="69"/>
  <c r="T78" i="69"/>
  <c r="S78" i="69"/>
  <c r="AC78" i="69"/>
  <c r="AE70" i="69"/>
  <c r="Z70" i="69"/>
  <c r="U70" i="69"/>
  <c r="X70" i="69"/>
  <c r="AD70" i="69"/>
  <c r="AG70" i="69" s="1"/>
  <c r="Y70" i="69"/>
  <c r="AB70" i="69" s="1"/>
  <c r="T70" i="69"/>
  <c r="AC70" i="69"/>
  <c r="S70" i="69"/>
  <c r="AE62" i="69"/>
  <c r="Z62" i="69"/>
  <c r="U62" i="69"/>
  <c r="X62" i="69"/>
  <c r="AB62" i="69" s="1"/>
  <c r="AD62" i="69"/>
  <c r="Y62" i="69"/>
  <c r="T62" i="69"/>
  <c r="S62" i="69"/>
  <c r="AC62" i="69"/>
  <c r="U58" i="69"/>
  <c r="AE58" i="69"/>
  <c r="Z58" i="69"/>
  <c r="AC58" i="69"/>
  <c r="S58" i="69"/>
  <c r="AD58" i="69"/>
  <c r="AG58" i="69" s="1"/>
  <c r="Y58" i="69"/>
  <c r="T58" i="69"/>
  <c r="X58" i="69"/>
  <c r="AB58" i="69" s="1"/>
  <c r="AE54" i="69"/>
  <c r="Z54" i="69"/>
  <c r="U54" i="69"/>
  <c r="R54" i="69"/>
  <c r="AD54" i="69"/>
  <c r="Y54" i="69"/>
  <c r="T54" i="69"/>
  <c r="AC54" i="69"/>
  <c r="AG54" i="69" s="1"/>
  <c r="X54" i="69"/>
  <c r="AB54" i="69" s="1"/>
  <c r="S54" i="69"/>
  <c r="AE46" i="69"/>
  <c r="Z46" i="69"/>
  <c r="U46" i="69"/>
  <c r="AC46" i="69"/>
  <c r="AG46" i="69" s="1"/>
  <c r="AD46" i="69"/>
  <c r="Y46" i="69"/>
  <c r="T46" i="69"/>
  <c r="S46" i="69"/>
  <c r="X46" i="69"/>
  <c r="AB46" i="69" s="1"/>
  <c r="AE38" i="69"/>
  <c r="Z38" i="69"/>
  <c r="U38" i="69"/>
  <c r="S38" i="69"/>
  <c r="AD38" i="69"/>
  <c r="Y38" i="69"/>
  <c r="T38" i="69"/>
  <c r="AC38" i="69"/>
  <c r="AG38" i="69" s="1"/>
  <c r="X38" i="69"/>
  <c r="U34" i="69"/>
  <c r="AE34" i="69"/>
  <c r="Z34" i="69"/>
  <c r="X34" i="69"/>
  <c r="AD34" i="69"/>
  <c r="Y34" i="69"/>
  <c r="AB34" i="69" s="1"/>
  <c r="T34" i="69"/>
  <c r="S34" i="69"/>
  <c r="AC34" i="69"/>
  <c r="AG34" i="69" s="1"/>
  <c r="U26" i="69"/>
  <c r="AE26" i="69"/>
  <c r="Z26" i="69"/>
  <c r="R26" i="69"/>
  <c r="AD26" i="69"/>
  <c r="Y26" i="69"/>
  <c r="T26" i="69"/>
  <c r="AC26" i="69"/>
  <c r="AG26" i="69" s="1"/>
  <c r="X26" i="69"/>
  <c r="AB26" i="69" s="1"/>
  <c r="S26" i="69"/>
  <c r="AE22" i="69"/>
  <c r="Z22" i="69"/>
  <c r="U22" i="69"/>
  <c r="X22" i="69"/>
  <c r="S22" i="69"/>
  <c r="AD22" i="69"/>
  <c r="AG22" i="69" s="1"/>
  <c r="Y22" i="69"/>
  <c r="T22" i="69"/>
  <c r="AC22" i="69"/>
  <c r="AE14" i="69"/>
  <c r="Z14" i="69"/>
  <c r="U14" i="69"/>
  <c r="AD14" i="69"/>
  <c r="Y14" i="69"/>
  <c r="T14" i="69"/>
  <c r="X14" i="69"/>
  <c r="AB14" i="69" s="1"/>
  <c r="S14" i="69"/>
  <c r="AC14" i="69"/>
  <c r="AE101" i="69"/>
  <c r="U101" i="69"/>
  <c r="Z101" i="69"/>
  <c r="AD101" i="69"/>
  <c r="Y101" i="69"/>
  <c r="T101" i="69"/>
  <c r="R101" i="69"/>
  <c r="AC101" i="69"/>
  <c r="X101" i="69"/>
  <c r="S101" i="69"/>
  <c r="AE93" i="69"/>
  <c r="U93" i="69"/>
  <c r="Z93" i="69"/>
  <c r="AD93" i="69"/>
  <c r="Y93" i="69"/>
  <c r="T93" i="69"/>
  <c r="R93" i="69"/>
  <c r="AC93" i="69"/>
  <c r="X93" i="69"/>
  <c r="S93" i="69"/>
  <c r="AE89" i="69"/>
  <c r="U89" i="69"/>
  <c r="Z89" i="69"/>
  <c r="AD89" i="69"/>
  <c r="Y89" i="69"/>
  <c r="T89" i="69"/>
  <c r="R89" i="69"/>
  <c r="AC89" i="69"/>
  <c r="X89" i="69"/>
  <c r="S89" i="69"/>
  <c r="AE85" i="69"/>
  <c r="U85" i="69"/>
  <c r="Z85" i="69"/>
  <c r="AD85" i="69"/>
  <c r="Y85" i="69"/>
  <c r="T85" i="69"/>
  <c r="AC85" i="69"/>
  <c r="X85" i="69"/>
  <c r="S85" i="69"/>
  <c r="AE77" i="69"/>
  <c r="U77" i="69"/>
  <c r="Z77" i="69"/>
  <c r="AD77" i="69"/>
  <c r="Y77" i="69"/>
  <c r="T77" i="69"/>
  <c r="R77" i="69"/>
  <c r="AC77" i="69"/>
  <c r="X77" i="69"/>
  <c r="S77" i="69"/>
  <c r="AE69" i="69"/>
  <c r="U69" i="69"/>
  <c r="Z69" i="69"/>
  <c r="AD69" i="69"/>
  <c r="Y69" i="69"/>
  <c r="T69" i="69"/>
  <c r="R69" i="69"/>
  <c r="AC69" i="69"/>
  <c r="X69" i="69"/>
  <c r="S69" i="69"/>
  <c r="AE65" i="69"/>
  <c r="U65" i="69"/>
  <c r="Z65" i="69"/>
  <c r="AD65" i="69"/>
  <c r="Y65" i="69"/>
  <c r="T65" i="69"/>
  <c r="R65" i="69"/>
  <c r="AC65" i="69"/>
  <c r="X65" i="69"/>
  <c r="S65" i="69"/>
  <c r="AE57" i="69"/>
  <c r="U57" i="69"/>
  <c r="Z57" i="69"/>
  <c r="AD57" i="69"/>
  <c r="Y57" i="69"/>
  <c r="T57" i="69"/>
  <c r="AC57" i="69"/>
  <c r="X57" i="69"/>
  <c r="S57" i="69"/>
  <c r="AE53" i="69"/>
  <c r="U53" i="69"/>
  <c r="Z53" i="69"/>
  <c r="AD53" i="69"/>
  <c r="Y53" i="69"/>
  <c r="T53" i="69"/>
  <c r="R53" i="69"/>
  <c r="AC53" i="69"/>
  <c r="X53" i="69"/>
  <c r="S53" i="69"/>
  <c r="AE45" i="69"/>
  <c r="U45" i="69"/>
  <c r="Z45" i="69"/>
  <c r="AD45" i="69"/>
  <c r="Y45" i="69"/>
  <c r="T45" i="69"/>
  <c r="AC45" i="69"/>
  <c r="X45" i="69"/>
  <c r="S45" i="69"/>
  <c r="AE37" i="69"/>
  <c r="U37" i="69"/>
  <c r="Z37" i="69"/>
  <c r="AD37" i="69"/>
  <c r="Y37" i="69"/>
  <c r="T37" i="69"/>
  <c r="R37" i="69"/>
  <c r="AC37" i="69"/>
  <c r="X37" i="69"/>
  <c r="S37" i="69"/>
  <c r="AE33" i="69"/>
  <c r="U33" i="69"/>
  <c r="Z33" i="69"/>
  <c r="AD33" i="69"/>
  <c r="Y33" i="69"/>
  <c r="T33" i="69"/>
  <c r="AC33" i="69"/>
  <c r="X33" i="69"/>
  <c r="AB33" i="69" s="1"/>
  <c r="S33" i="69"/>
  <c r="AE25" i="69"/>
  <c r="U25" i="69"/>
  <c r="Z25" i="69"/>
  <c r="AD25" i="69"/>
  <c r="Y25" i="69"/>
  <c r="T25" i="69"/>
  <c r="R25" i="69"/>
  <c r="AC25" i="69"/>
  <c r="X25" i="69"/>
  <c r="AB25" i="69" s="1"/>
  <c r="S25" i="69"/>
  <c r="AE17" i="69"/>
  <c r="U17" i="69"/>
  <c r="Z17" i="69"/>
  <c r="AD17" i="69"/>
  <c r="Y17" i="69"/>
  <c r="T17" i="69"/>
  <c r="R17" i="69"/>
  <c r="AC17" i="69"/>
  <c r="AG17" i="69" s="1"/>
  <c r="X17" i="69"/>
  <c r="AB17" i="69" s="1"/>
  <c r="S17" i="69"/>
  <c r="Z104" i="69"/>
  <c r="U104" i="69"/>
  <c r="AE104" i="69"/>
  <c r="AD104" i="69"/>
  <c r="Y104" i="69"/>
  <c r="AC104" i="69"/>
  <c r="X104" i="69"/>
  <c r="S104" i="69"/>
  <c r="T104" i="69"/>
  <c r="R104" i="69" s="1"/>
  <c r="AE100" i="69"/>
  <c r="Z100" i="69"/>
  <c r="U100" i="69"/>
  <c r="AD100" i="69"/>
  <c r="AC100" i="69"/>
  <c r="AG100" i="69" s="1"/>
  <c r="X100" i="69"/>
  <c r="S100" i="69"/>
  <c r="Y100" i="69"/>
  <c r="T100" i="69"/>
  <c r="AE92" i="69"/>
  <c r="Z92" i="69"/>
  <c r="U92" i="69"/>
  <c r="Y92" i="69"/>
  <c r="AC92" i="69"/>
  <c r="AG92" i="69" s="1"/>
  <c r="X92" i="69"/>
  <c r="AB92" i="69" s="1"/>
  <c r="S92" i="69"/>
  <c r="R92" i="69" s="1"/>
  <c r="AD92" i="69"/>
  <c r="T92" i="69"/>
  <c r="Z88" i="69"/>
  <c r="U88" i="69"/>
  <c r="AE88" i="69"/>
  <c r="AD88" i="69"/>
  <c r="AC88" i="69"/>
  <c r="AG88" i="69" s="1"/>
  <c r="X88" i="69"/>
  <c r="S88" i="69"/>
  <c r="Y88" i="69"/>
  <c r="AB88" i="69" s="1"/>
  <c r="T88" i="69"/>
  <c r="Z80" i="69"/>
  <c r="U80" i="69"/>
  <c r="AE80" i="69"/>
  <c r="Y80" i="69"/>
  <c r="AC80" i="69"/>
  <c r="AG80" i="69" s="1"/>
  <c r="X80" i="69"/>
  <c r="AB80" i="69" s="1"/>
  <c r="S80" i="69"/>
  <c r="R80" i="69" s="1"/>
  <c r="AD80" i="69"/>
  <c r="T80" i="69"/>
  <c r="Z107" i="69"/>
  <c r="AE107" i="69"/>
  <c r="U107" i="69"/>
  <c r="AC107" i="69"/>
  <c r="AG107" i="69" s="1"/>
  <c r="X107" i="69"/>
  <c r="AB107" i="69" s="1"/>
  <c r="S107" i="69"/>
  <c r="R107" i="69"/>
  <c r="AD107" i="69"/>
  <c r="Y107" i="69"/>
  <c r="T107" i="69"/>
  <c r="Z103" i="69"/>
  <c r="AE103" i="69"/>
  <c r="U103" i="69"/>
  <c r="AC103" i="69"/>
  <c r="X103" i="69"/>
  <c r="S103" i="69"/>
  <c r="R103" i="69"/>
  <c r="AD103" i="69"/>
  <c r="Y103" i="69"/>
  <c r="T103" i="69"/>
  <c r="Z99" i="69"/>
  <c r="AE99" i="69"/>
  <c r="U99" i="69"/>
  <c r="AC99" i="69"/>
  <c r="AG99" i="69" s="1"/>
  <c r="X99" i="69"/>
  <c r="AB99" i="69" s="1"/>
  <c r="S99" i="69"/>
  <c r="R99" i="69"/>
  <c r="AD99" i="69"/>
  <c r="Y99" i="69"/>
  <c r="T99" i="69"/>
  <c r="Z95" i="69"/>
  <c r="AE95" i="69"/>
  <c r="U95" i="69"/>
  <c r="AC95" i="69"/>
  <c r="X95" i="69"/>
  <c r="S95" i="69"/>
  <c r="R95" i="69"/>
  <c r="AD95" i="69"/>
  <c r="Y95" i="69"/>
  <c r="T95" i="69"/>
  <c r="Z91" i="69"/>
  <c r="AE91" i="69"/>
  <c r="U91" i="69"/>
  <c r="AC91" i="69"/>
  <c r="X91" i="69"/>
  <c r="S91" i="69"/>
  <c r="R91" i="69"/>
  <c r="AD91" i="69"/>
  <c r="Y91" i="69"/>
  <c r="T91" i="69"/>
  <c r="Z87" i="69"/>
  <c r="AE87" i="69"/>
  <c r="U87" i="69"/>
  <c r="AC87" i="69"/>
  <c r="X87" i="69"/>
  <c r="S87" i="69"/>
  <c r="R87" i="69"/>
  <c r="AD87" i="69"/>
  <c r="Y87" i="69"/>
  <c r="T87" i="69"/>
  <c r="Z83" i="69"/>
  <c r="AE83" i="69"/>
  <c r="U83" i="69"/>
  <c r="AC83" i="69"/>
  <c r="X83" i="69"/>
  <c r="S83" i="69"/>
  <c r="R83" i="69"/>
  <c r="AD83" i="69"/>
  <c r="Y83" i="69"/>
  <c r="T83" i="69"/>
  <c r="Z79" i="69"/>
  <c r="AE79" i="69"/>
  <c r="U79" i="69"/>
  <c r="AC79" i="69"/>
  <c r="X79" i="69"/>
  <c r="S79" i="69"/>
  <c r="R79" i="69"/>
  <c r="AD79" i="69"/>
  <c r="Y79" i="69"/>
  <c r="T79" i="69"/>
  <c r="Z75" i="69"/>
  <c r="AE75" i="69"/>
  <c r="U75" i="69"/>
  <c r="AC75" i="69"/>
  <c r="X75" i="69"/>
  <c r="S75" i="69"/>
  <c r="R75" i="69"/>
  <c r="AD75" i="69"/>
  <c r="Y75" i="69"/>
  <c r="T75" i="69"/>
  <c r="Z71" i="69"/>
  <c r="AE71" i="69"/>
  <c r="U71" i="69"/>
  <c r="AC71" i="69"/>
  <c r="X71" i="69"/>
  <c r="S71" i="69"/>
  <c r="R71" i="69"/>
  <c r="AD71" i="69"/>
  <c r="Y71" i="69"/>
  <c r="T71" i="69"/>
  <c r="Z67" i="69"/>
  <c r="AE67" i="69"/>
  <c r="U67" i="69"/>
  <c r="AC67" i="69"/>
  <c r="AG67" i="69" s="1"/>
  <c r="X67" i="69"/>
  <c r="AB67" i="69" s="1"/>
  <c r="S67" i="69"/>
  <c r="R67" i="69"/>
  <c r="AD67" i="69"/>
  <c r="Y67" i="69"/>
  <c r="T67" i="69"/>
  <c r="Z63" i="69"/>
  <c r="AE63" i="69"/>
  <c r="U63" i="69"/>
  <c r="AC63" i="69"/>
  <c r="X63" i="69"/>
  <c r="S63" i="69"/>
  <c r="R63" i="69"/>
  <c r="AD63" i="69"/>
  <c r="Y63" i="69"/>
  <c r="T63" i="69"/>
  <c r="Z59" i="69"/>
  <c r="AE59" i="69"/>
  <c r="U59" i="69"/>
  <c r="AC59" i="69"/>
  <c r="AG59" i="69" s="1"/>
  <c r="X59" i="69"/>
  <c r="AB59" i="69" s="1"/>
  <c r="S59" i="69"/>
  <c r="R59" i="69"/>
  <c r="AD59" i="69"/>
  <c r="Y59" i="69"/>
  <c r="T59" i="69"/>
  <c r="Z55" i="69"/>
  <c r="AE55" i="69"/>
  <c r="U55" i="69"/>
  <c r="AC55" i="69"/>
  <c r="X55" i="69"/>
  <c r="S55" i="69"/>
  <c r="R55" i="69"/>
  <c r="AD55" i="69"/>
  <c r="Y55" i="69"/>
  <c r="T55" i="69"/>
  <c r="Z51" i="69"/>
  <c r="AE51" i="69"/>
  <c r="U51" i="69"/>
  <c r="AC51" i="69"/>
  <c r="AG51" i="69" s="1"/>
  <c r="X51" i="69"/>
  <c r="AB51" i="69" s="1"/>
  <c r="S51" i="69"/>
  <c r="R51" i="69"/>
  <c r="AD51" i="69"/>
  <c r="Y51" i="69"/>
  <c r="T51" i="69"/>
  <c r="Z47" i="69"/>
  <c r="AE47" i="69"/>
  <c r="U47" i="69"/>
  <c r="AC47" i="69"/>
  <c r="X47" i="69"/>
  <c r="S47" i="69"/>
  <c r="R47" i="69"/>
  <c r="AD47" i="69"/>
  <c r="Y47" i="69"/>
  <c r="T47" i="69"/>
  <c r="Z43" i="69"/>
  <c r="AE43" i="69"/>
  <c r="U43" i="69"/>
  <c r="AC43" i="69"/>
  <c r="AG43" i="69" s="1"/>
  <c r="X43" i="69"/>
  <c r="AB43" i="69" s="1"/>
  <c r="S43" i="69"/>
  <c r="R43" i="69"/>
  <c r="AD43" i="69"/>
  <c r="Y43" i="69"/>
  <c r="T43" i="69"/>
  <c r="Z39" i="69"/>
  <c r="AE39" i="69"/>
  <c r="U39" i="69"/>
  <c r="AC39" i="69"/>
  <c r="X39" i="69"/>
  <c r="S39" i="69"/>
  <c r="R39" i="69"/>
  <c r="AD39" i="69"/>
  <c r="Y39" i="69"/>
  <c r="T39" i="69"/>
  <c r="Z35" i="69"/>
  <c r="AE35" i="69"/>
  <c r="U35" i="69"/>
  <c r="AC35" i="69"/>
  <c r="AG35" i="69" s="1"/>
  <c r="X35" i="69"/>
  <c r="S35" i="69"/>
  <c r="R35" i="69"/>
  <c r="AD35" i="69"/>
  <c r="Y35" i="69"/>
  <c r="T35" i="69"/>
  <c r="Z31" i="69"/>
  <c r="AE31" i="69"/>
  <c r="U31" i="69"/>
  <c r="AC31" i="69"/>
  <c r="X31" i="69"/>
  <c r="AB31" i="69" s="1"/>
  <c r="S31" i="69"/>
  <c r="R31" i="69"/>
  <c r="AD31" i="69"/>
  <c r="Y31" i="69"/>
  <c r="T31" i="69"/>
  <c r="Z27" i="69"/>
  <c r="AE27" i="69"/>
  <c r="U27" i="69"/>
  <c r="AC27" i="69"/>
  <c r="X27" i="69"/>
  <c r="AB27" i="69" s="1"/>
  <c r="S27" i="69"/>
  <c r="R27" i="69"/>
  <c r="AD27" i="69"/>
  <c r="Y27" i="69"/>
  <c r="T27" i="69"/>
  <c r="Z23" i="69"/>
  <c r="AE23" i="69"/>
  <c r="U23" i="69"/>
  <c r="AC23" i="69"/>
  <c r="X23" i="69"/>
  <c r="S23" i="69"/>
  <c r="R23" i="69"/>
  <c r="AD23" i="69"/>
  <c r="Y23" i="69"/>
  <c r="T23" i="69"/>
  <c r="Z19" i="69"/>
  <c r="AE19" i="69"/>
  <c r="U19" i="69"/>
  <c r="AC19" i="69"/>
  <c r="AG19" i="69" s="1"/>
  <c r="X19" i="69"/>
  <c r="AB19" i="69" s="1"/>
  <c r="S19" i="69"/>
  <c r="AD19" i="69"/>
  <c r="Y19" i="69"/>
  <c r="T19" i="69"/>
  <c r="R19" i="69" s="1"/>
  <c r="Z15" i="69"/>
  <c r="AE15" i="69"/>
  <c r="U15" i="69"/>
  <c r="AC15" i="69"/>
  <c r="X15" i="69"/>
  <c r="S15" i="69"/>
  <c r="AD15" i="69"/>
  <c r="AG15" i="69" s="1"/>
  <c r="Y15" i="69"/>
  <c r="T15" i="69"/>
  <c r="R15" i="69"/>
  <c r="Z11" i="69"/>
  <c r="AE11" i="69"/>
  <c r="U11" i="69"/>
  <c r="AC11" i="69"/>
  <c r="AG11" i="69" s="1"/>
  <c r="X11" i="69"/>
  <c r="AB11" i="69" s="1"/>
  <c r="S11" i="69"/>
  <c r="AD11" i="69"/>
  <c r="Y11" i="69"/>
  <c r="T11" i="69"/>
  <c r="R11" i="69" s="1"/>
  <c r="AG69" i="69"/>
  <c r="AG65" i="69"/>
  <c r="AB65" i="69"/>
  <c r="AG63" i="69"/>
  <c r="AB63" i="69"/>
  <c r="AB61" i="69"/>
  <c r="AG57" i="69"/>
  <c r="AB57" i="69"/>
  <c r="AG55" i="69"/>
  <c r="AB55" i="69"/>
  <c r="AG53" i="69"/>
  <c r="AB53" i="69"/>
  <c r="AG48" i="69"/>
  <c r="AB48" i="69"/>
  <c r="AG44" i="69"/>
  <c r="AB44" i="69"/>
  <c r="AG42" i="69"/>
  <c r="AB42" i="69"/>
  <c r="AB41" i="69"/>
  <c r="AG40" i="69"/>
  <c r="AB40" i="69"/>
  <c r="AG39" i="69"/>
  <c r="AB39" i="69"/>
  <c r="AB38" i="69"/>
  <c r="AG37" i="69"/>
  <c r="AB37" i="69"/>
  <c r="AB36" i="69"/>
  <c r="AG33" i="69"/>
  <c r="AG31" i="69"/>
  <c r="AG29" i="69"/>
  <c r="AG27" i="69"/>
  <c r="AG25" i="69"/>
  <c r="AB15" i="69"/>
  <c r="AG14" i="69"/>
  <c r="AG13" i="69"/>
  <c r="AB13" i="69"/>
  <c r="AG12" i="69"/>
  <c r="AB94" i="69"/>
  <c r="AG68" i="69"/>
  <c r="AG64" i="69"/>
  <c r="AB64" i="69"/>
  <c r="AG62" i="69"/>
  <c r="AG60" i="69"/>
  <c r="AB60" i="69"/>
  <c r="AG56" i="69"/>
  <c r="AB56" i="69"/>
  <c r="AB52" i="69"/>
  <c r="AG49" i="69"/>
  <c r="AB49" i="69"/>
  <c r="AG47" i="69"/>
  <c r="AB47" i="69"/>
  <c r="AG45" i="69"/>
  <c r="AB45" i="69"/>
  <c r="AG106" i="69"/>
  <c r="AB106" i="69"/>
  <c r="AB105" i="69"/>
  <c r="AG104" i="69"/>
  <c r="AB104" i="69"/>
  <c r="AG103" i="69"/>
  <c r="AB103" i="69"/>
  <c r="AB102" i="69"/>
  <c r="AG101" i="69"/>
  <c r="AB101" i="69"/>
  <c r="AB100" i="69"/>
  <c r="AB98" i="69"/>
  <c r="AG97" i="69"/>
  <c r="AG96" i="69"/>
  <c r="AB96" i="69"/>
  <c r="AG95" i="69"/>
  <c r="AB95" i="69"/>
  <c r="AG93" i="69"/>
  <c r="AB93" i="69"/>
  <c r="AG91" i="69"/>
  <c r="AB91" i="69"/>
  <c r="AG90" i="69"/>
  <c r="AG89" i="69"/>
  <c r="AB89" i="69"/>
  <c r="AG87" i="69"/>
  <c r="AB87" i="69"/>
  <c r="AG85" i="69"/>
  <c r="AB85" i="69"/>
  <c r="AG83" i="69"/>
  <c r="AB83" i="69"/>
  <c r="AB81" i="69"/>
  <c r="AG79" i="69"/>
  <c r="AB79" i="69"/>
  <c r="AG78" i="69"/>
  <c r="AG77" i="69"/>
  <c r="AB77" i="69"/>
  <c r="AG75" i="69"/>
  <c r="AB75" i="69"/>
  <c r="AG73" i="69"/>
  <c r="AB73" i="69"/>
  <c r="AG71" i="69"/>
  <c r="AB71" i="69"/>
  <c r="AG24" i="69"/>
  <c r="AB24" i="69"/>
  <c r="AG23" i="69"/>
  <c r="AB23" i="69"/>
  <c r="AB22" i="69"/>
  <c r="AB21" i="69"/>
  <c r="AB20" i="69"/>
  <c r="AB18" i="69"/>
  <c r="AG16" i="69"/>
  <c r="AB16" i="69"/>
  <c r="AO23" i="69" l="1"/>
  <c r="AO39" i="69"/>
  <c r="AO63" i="69"/>
  <c r="AO79" i="69"/>
  <c r="AO25" i="69"/>
  <c r="AO53" i="69"/>
  <c r="AO77" i="69"/>
  <c r="AO101" i="69"/>
  <c r="AO22" i="69"/>
  <c r="AO73" i="69"/>
  <c r="AO46" i="69"/>
  <c r="AO82" i="69"/>
  <c r="R36" i="69"/>
  <c r="AO36" i="69" s="1"/>
  <c r="R56" i="69"/>
  <c r="AO56" i="69" s="1"/>
  <c r="AO21" i="69"/>
  <c r="AO41" i="69"/>
  <c r="AO61" i="69"/>
  <c r="AO81" i="69"/>
  <c r="AO105" i="69"/>
  <c r="AO30" i="69"/>
  <c r="AO50" i="69"/>
  <c r="AO74" i="69"/>
  <c r="AO94" i="69"/>
  <c r="AO106" i="69"/>
  <c r="AO80" i="69"/>
  <c r="AO92" i="69"/>
  <c r="AO45" i="69"/>
  <c r="AO38" i="69"/>
  <c r="AO60" i="69"/>
  <c r="AO18" i="69"/>
  <c r="AO42" i="69"/>
  <c r="AO66" i="69"/>
  <c r="AO86" i="69"/>
  <c r="AO102" i="69"/>
  <c r="AO15" i="69"/>
  <c r="AO31" i="69"/>
  <c r="AO47" i="69"/>
  <c r="AO55" i="69"/>
  <c r="AO71" i="69"/>
  <c r="AO87" i="69"/>
  <c r="AO95" i="69"/>
  <c r="AO103" i="69"/>
  <c r="AO37" i="69"/>
  <c r="AO65" i="69"/>
  <c r="AO89" i="69"/>
  <c r="R38" i="69"/>
  <c r="R62" i="69"/>
  <c r="AO62" i="69" s="1"/>
  <c r="R78" i="69"/>
  <c r="AO78" i="69" s="1"/>
  <c r="AO12" i="69"/>
  <c r="R16" i="69"/>
  <c r="AO16" i="69" s="1"/>
  <c r="AO44" i="69"/>
  <c r="AO76" i="69"/>
  <c r="AO96" i="69"/>
  <c r="AO97" i="69"/>
  <c r="R14" i="69"/>
  <c r="AO14" i="69" s="1"/>
  <c r="AO19" i="69"/>
  <c r="AO27" i="69"/>
  <c r="AO35" i="69"/>
  <c r="AO43" i="69"/>
  <c r="AO51" i="69"/>
  <c r="AO59" i="69"/>
  <c r="AO67" i="69"/>
  <c r="AO75" i="69"/>
  <c r="AO83" i="69"/>
  <c r="AO91" i="69"/>
  <c r="AO99" i="69"/>
  <c r="AO107" i="69"/>
  <c r="R88" i="69"/>
  <c r="AO88" i="69" s="1"/>
  <c r="R100" i="69"/>
  <c r="AO100" i="69" s="1"/>
  <c r="AO104" i="69"/>
  <c r="AO17" i="69"/>
  <c r="R33" i="69"/>
  <c r="AO33" i="69" s="1"/>
  <c r="R45" i="69"/>
  <c r="R57" i="69"/>
  <c r="AO57" i="69" s="1"/>
  <c r="AO69" i="69"/>
  <c r="R85" i="69"/>
  <c r="AO85" i="69" s="1"/>
  <c r="AO93" i="69"/>
  <c r="R22" i="69"/>
  <c r="AO26" i="69"/>
  <c r="R34" i="69"/>
  <c r="AO34" i="69" s="1"/>
  <c r="R46" i="69"/>
  <c r="AO54" i="69"/>
  <c r="R58" i="69"/>
  <c r="AO58" i="69" s="1"/>
  <c r="R70" i="69"/>
  <c r="AO70" i="69" s="1"/>
  <c r="R82" i="69"/>
  <c r="AO90" i="69"/>
  <c r="R98" i="69"/>
  <c r="AO98" i="69" s="1"/>
  <c r="AO24" i="69"/>
  <c r="R28" i="69"/>
  <c r="AO28" i="69" s="1"/>
  <c r="AO32" i="69"/>
  <c r="AO40" i="69"/>
  <c r="AO48" i="69"/>
  <c r="AO52" i="69"/>
  <c r="R60" i="69"/>
  <c r="AO64" i="69"/>
  <c r="R68" i="69"/>
  <c r="AO68" i="69" s="1"/>
  <c r="AO72" i="69"/>
  <c r="AO84" i="69"/>
  <c r="R13" i="69"/>
  <c r="AO13" i="69" s="1"/>
  <c r="R29" i="69"/>
  <c r="AO29" i="69" s="1"/>
  <c r="R49" i="69"/>
  <c r="AO49" i="69" s="1"/>
  <c r="W17" i="69"/>
  <c r="W19" i="69"/>
  <c r="W21" i="69"/>
  <c r="W23" i="69"/>
  <c r="W70" i="69"/>
  <c r="W72" i="69"/>
  <c r="W74" i="69"/>
  <c r="W76" i="69"/>
  <c r="W78" i="69"/>
  <c r="W80" i="69"/>
  <c r="W82" i="69"/>
  <c r="W84" i="69"/>
  <c r="W86" i="69"/>
  <c r="W88" i="69"/>
  <c r="W90" i="69"/>
  <c r="W92" i="69"/>
  <c r="W95" i="69"/>
  <c r="W97" i="69"/>
  <c r="W99" i="69"/>
  <c r="W101" i="69"/>
  <c r="W103" i="69"/>
  <c r="W105" i="69"/>
  <c r="W107" i="69"/>
  <c r="W47" i="69"/>
  <c r="W51" i="69"/>
  <c r="W54" i="69"/>
  <c r="W58" i="69"/>
  <c r="W62" i="69"/>
  <c r="W66" i="69"/>
  <c r="W94" i="69"/>
  <c r="W13" i="69"/>
  <c r="W15" i="69"/>
  <c r="W26" i="69"/>
  <c r="W28" i="69"/>
  <c r="W30" i="69"/>
  <c r="W32" i="69"/>
  <c r="W34" i="69"/>
  <c r="W36" i="69"/>
  <c r="W38" i="69"/>
  <c r="W40" i="69"/>
  <c r="W42" i="69"/>
  <c r="W44" i="69"/>
  <c r="W48" i="69"/>
  <c r="W53" i="69"/>
  <c r="W57" i="69"/>
  <c r="W61" i="69"/>
  <c r="W65" i="69"/>
  <c r="W69" i="69"/>
  <c r="AH68" i="69"/>
  <c r="AB68" i="69"/>
  <c r="AH34" i="69"/>
  <c r="AI34" i="69" s="1"/>
  <c r="AH35" i="69"/>
  <c r="AI35" i="69" s="1"/>
  <c r="AB35" i="69"/>
  <c r="W16" i="69"/>
  <c r="W18" i="69"/>
  <c r="W20" i="69"/>
  <c r="W22" i="69"/>
  <c r="W24" i="69"/>
  <c r="W71" i="69"/>
  <c r="W73" i="69"/>
  <c r="W75" i="69"/>
  <c r="W77" i="69"/>
  <c r="W79" i="69"/>
  <c r="W81" i="69"/>
  <c r="W83" i="69"/>
  <c r="W85" i="69"/>
  <c r="W87" i="69"/>
  <c r="W89" i="69"/>
  <c r="W91" i="69"/>
  <c r="W93" i="69"/>
  <c r="W96" i="69"/>
  <c r="W98" i="69"/>
  <c r="W100" i="69"/>
  <c r="W102" i="69"/>
  <c r="W104" i="69"/>
  <c r="W106" i="69"/>
  <c r="W45" i="69"/>
  <c r="W49" i="69"/>
  <c r="W52" i="69"/>
  <c r="AH56" i="69"/>
  <c r="AI56" i="69" s="1"/>
  <c r="W56" i="69"/>
  <c r="W60" i="69"/>
  <c r="W64" i="69"/>
  <c r="W68" i="69"/>
  <c r="AH12" i="69"/>
  <c r="AI12" i="69" s="1"/>
  <c r="W12" i="69"/>
  <c r="W14" i="69"/>
  <c r="W25" i="69"/>
  <c r="W27" i="69"/>
  <c r="AH29" i="69"/>
  <c r="W29" i="69"/>
  <c r="W31" i="69"/>
  <c r="W33" i="69"/>
  <c r="W35" i="69"/>
  <c r="W37" i="69"/>
  <c r="W39" i="69"/>
  <c r="W41" i="69"/>
  <c r="W43" i="69"/>
  <c r="W46" i="69"/>
  <c r="W50" i="69"/>
  <c r="AH55" i="69"/>
  <c r="AI55" i="69" s="1"/>
  <c r="W55" i="69"/>
  <c r="W59" i="69"/>
  <c r="AH63" i="69"/>
  <c r="W63" i="69"/>
  <c r="W67" i="69"/>
  <c r="AH69" i="69"/>
  <c r="AI69" i="69" s="1"/>
  <c r="AJ69" i="69" s="1"/>
  <c r="AB69" i="69"/>
  <c r="W11" i="69"/>
  <c r="AH45" i="69"/>
  <c r="AH17" i="69"/>
  <c r="AI17" i="69" s="1"/>
  <c r="AJ17" i="69" s="1"/>
  <c r="AH18" i="69"/>
  <c r="AI18" i="69" s="1"/>
  <c r="AH87" i="69"/>
  <c r="AI87" i="69" s="1"/>
  <c r="AH95" i="69"/>
  <c r="AI95" i="69" s="1"/>
  <c r="AH96" i="69"/>
  <c r="AI96" i="69" s="1"/>
  <c r="AH97" i="69"/>
  <c r="AI97" i="69" s="1"/>
  <c r="AH100" i="69"/>
  <c r="AI100" i="69" s="1"/>
  <c r="AH47" i="69"/>
  <c r="AI47" i="69" s="1"/>
  <c r="AH60" i="69"/>
  <c r="AI60" i="69" s="1"/>
  <c r="AH13" i="69"/>
  <c r="AI13" i="69" s="1"/>
  <c r="AJ13" i="69" s="1"/>
  <c r="AH14" i="69"/>
  <c r="AH15" i="69"/>
  <c r="AI15" i="69" s="1"/>
  <c r="AH27" i="69"/>
  <c r="AI27" i="69" s="1"/>
  <c r="AH30" i="69"/>
  <c r="AH31" i="69"/>
  <c r="AH36" i="69"/>
  <c r="AI36" i="69" s="1"/>
  <c r="AH39" i="69"/>
  <c r="AI39" i="69" s="1"/>
  <c r="AH40" i="69"/>
  <c r="AI40" i="69" s="1"/>
  <c r="AH43" i="69"/>
  <c r="AI43" i="69" s="1"/>
  <c r="AH50" i="69"/>
  <c r="AI50" i="69" s="1"/>
  <c r="AH57" i="69"/>
  <c r="AI57" i="69" s="1"/>
  <c r="AH59" i="69"/>
  <c r="AI59" i="69" s="1"/>
  <c r="AH65" i="69"/>
  <c r="AI65" i="69" s="1"/>
  <c r="AJ65" i="69" s="1"/>
  <c r="AH67" i="69"/>
  <c r="AI67" i="69" s="1"/>
  <c r="AH103" i="69"/>
  <c r="AI103" i="69" s="1"/>
  <c r="AH64" i="69"/>
  <c r="AI64" i="69" s="1"/>
  <c r="AH61" i="69"/>
  <c r="AI61" i="69" s="1"/>
  <c r="AH88" i="69"/>
  <c r="AI88" i="69" s="1"/>
  <c r="AH25" i="69"/>
  <c r="AI25" i="69" s="1"/>
  <c r="AH44" i="69"/>
  <c r="AI44" i="69" s="1"/>
  <c r="AJ44" i="69" s="1"/>
  <c r="AH46" i="69"/>
  <c r="AI46" i="69" s="1"/>
  <c r="AH53" i="69"/>
  <c r="AI53" i="69" s="1"/>
  <c r="AH33" i="69"/>
  <c r="AI33" i="69" s="1"/>
  <c r="AH73" i="69"/>
  <c r="AI73" i="69" s="1"/>
  <c r="AH85" i="69"/>
  <c r="AI85" i="69" s="1"/>
  <c r="AH20" i="69"/>
  <c r="AI20" i="69" s="1"/>
  <c r="AH70" i="69"/>
  <c r="AI70" i="69" s="1"/>
  <c r="AH86" i="69"/>
  <c r="AI86" i="69" s="1"/>
  <c r="AH58" i="69"/>
  <c r="AI58" i="69" s="1"/>
  <c r="AH42" i="69"/>
  <c r="AI42" i="69" s="1"/>
  <c r="AH19" i="69"/>
  <c r="AI19" i="69" s="1"/>
  <c r="AH26" i="69"/>
  <c r="AI26" i="69" s="1"/>
  <c r="AH66" i="69"/>
  <c r="AI66" i="69" s="1"/>
  <c r="AH80" i="69"/>
  <c r="AI80" i="69" s="1"/>
  <c r="AH23" i="69"/>
  <c r="AI23" i="69" s="1"/>
  <c r="AH84" i="69"/>
  <c r="AI84" i="69" s="1"/>
  <c r="AH92" i="69"/>
  <c r="AI92" i="69" s="1"/>
  <c r="AH101" i="69"/>
  <c r="AI101" i="69" s="1"/>
  <c r="AH102" i="69"/>
  <c r="AI102" i="69" s="1"/>
  <c r="AH49" i="69"/>
  <c r="AI49" i="69" s="1"/>
  <c r="AH94" i="69"/>
  <c r="AI94" i="69" s="1"/>
  <c r="AH28" i="69"/>
  <c r="AI28" i="69" s="1"/>
  <c r="AH32" i="69"/>
  <c r="AI32" i="69" s="1"/>
  <c r="AH37" i="69"/>
  <c r="AI37" i="69" s="1"/>
  <c r="AH41" i="69"/>
  <c r="AI41" i="69" s="1"/>
  <c r="AH11" i="69"/>
  <c r="AI11" i="69" s="1"/>
  <c r="AH48" i="69"/>
  <c r="AI48" i="69" s="1"/>
  <c r="AH107" i="69"/>
  <c r="AI107" i="69" s="1"/>
  <c r="AH38" i="69"/>
  <c r="AI38" i="69" s="1"/>
  <c r="AH74" i="69"/>
  <c r="AI74" i="69" s="1"/>
  <c r="AJ55" i="69"/>
  <c r="AJ40" i="69"/>
  <c r="AJ43" i="69"/>
  <c r="AJ28" i="69"/>
  <c r="AH21" i="69"/>
  <c r="AH72" i="69"/>
  <c r="AI72" i="69" s="1"/>
  <c r="AH76" i="69"/>
  <c r="AH78" i="69"/>
  <c r="AH82" i="69"/>
  <c r="AH90" i="69"/>
  <c r="AH99" i="69"/>
  <c r="AI99" i="69" s="1"/>
  <c r="AH105" i="69"/>
  <c r="AH51" i="69"/>
  <c r="AH54" i="69"/>
  <c r="AI54" i="69" s="1"/>
  <c r="AH16" i="69"/>
  <c r="AH22" i="69"/>
  <c r="AI22" i="69" s="1"/>
  <c r="AH24" i="69"/>
  <c r="AH71" i="69"/>
  <c r="AH75" i="69"/>
  <c r="AI75" i="69" s="1"/>
  <c r="AH77" i="69"/>
  <c r="AI77" i="69" s="1"/>
  <c r="AH79" i="69"/>
  <c r="AI79" i="69" s="1"/>
  <c r="AH81" i="69"/>
  <c r="AH83" i="69"/>
  <c r="AI83" i="69" s="1"/>
  <c r="AH89" i="69"/>
  <c r="AH91" i="69"/>
  <c r="AI91" i="69" s="1"/>
  <c r="AH93" i="69"/>
  <c r="AH98" i="69"/>
  <c r="AH104" i="69"/>
  <c r="AH106" i="69"/>
  <c r="AI106" i="69" s="1"/>
  <c r="AH52" i="69"/>
  <c r="AI52" i="69" s="1"/>
  <c r="AH62" i="69"/>
  <c r="AI30" i="69"/>
  <c r="AI45" i="69"/>
  <c r="AI14" i="69"/>
  <c r="AI68" i="69"/>
  <c r="AJ15" i="69"/>
  <c r="AI29" i="69"/>
  <c r="AJ53" i="69"/>
  <c r="AI31" i="69"/>
  <c r="AI63" i="69"/>
  <c r="AJ100" i="69"/>
  <c r="AK65" i="69" l="1"/>
  <c r="AK43" i="69"/>
  <c r="AK100" i="69"/>
  <c r="AK17" i="69"/>
  <c r="AK28" i="69"/>
  <c r="AK53" i="69"/>
  <c r="AK44" i="69"/>
  <c r="AK40" i="69"/>
  <c r="AK15" i="69"/>
  <c r="AK13" i="69"/>
  <c r="AK69" i="69"/>
  <c r="AK55" i="69"/>
  <c r="AJ101" i="69"/>
  <c r="AK101" i="69" s="1"/>
  <c r="AJ66" i="69"/>
  <c r="AK66" i="69" s="1"/>
  <c r="AJ36" i="69"/>
  <c r="AK36" i="69" s="1"/>
  <c r="AJ96" i="69"/>
  <c r="AK96" i="69" s="1"/>
  <c r="AJ107" i="69"/>
  <c r="AK107" i="69" s="1"/>
  <c r="AJ67" i="69"/>
  <c r="AK67" i="69" s="1"/>
  <c r="AJ88" i="69"/>
  <c r="AK88" i="69" s="1"/>
  <c r="AJ92" i="69"/>
  <c r="AK92" i="69" s="1"/>
  <c r="AJ86" i="69"/>
  <c r="AK86" i="69" s="1"/>
  <c r="AJ73" i="69"/>
  <c r="AK73" i="69" s="1"/>
  <c r="AJ46" i="69"/>
  <c r="AK46" i="69" s="1"/>
  <c r="AJ74" i="69"/>
  <c r="AK74" i="69" s="1"/>
  <c r="AJ49" i="69"/>
  <c r="AK49" i="69" s="1"/>
  <c r="AJ42" i="69"/>
  <c r="AK42" i="69" s="1"/>
  <c r="AJ85" i="69"/>
  <c r="AK85" i="69" s="1"/>
  <c r="AJ94" i="69"/>
  <c r="AK94" i="69" s="1"/>
  <c r="AJ84" i="69"/>
  <c r="AK84" i="69" s="1"/>
  <c r="AJ32" i="69"/>
  <c r="AK32" i="69" s="1"/>
  <c r="AJ102" i="69"/>
  <c r="AK102" i="69" s="1"/>
  <c r="AJ23" i="69"/>
  <c r="AK23" i="69" s="1"/>
  <c r="AJ80" i="69"/>
  <c r="AK80" i="69" s="1"/>
  <c r="AJ11" i="69"/>
  <c r="AK11" i="69" s="1"/>
  <c r="AJ19" i="69"/>
  <c r="AK19" i="69" s="1"/>
  <c r="AJ58" i="69"/>
  <c r="AK58" i="69" s="1"/>
  <c r="AJ56" i="69"/>
  <c r="AK56" i="69" s="1"/>
  <c r="AJ26" i="69"/>
  <c r="AK26" i="69" s="1"/>
  <c r="AJ60" i="69"/>
  <c r="AK60" i="69" s="1"/>
  <c r="AJ64" i="69"/>
  <c r="AK64" i="69" s="1"/>
  <c r="AJ38" i="69"/>
  <c r="AK38" i="69" s="1"/>
  <c r="AI62" i="69"/>
  <c r="AI93" i="69"/>
  <c r="AI89" i="69"/>
  <c r="AI81" i="69"/>
  <c r="AI71" i="69"/>
  <c r="AI16" i="69"/>
  <c r="AJ20" i="69"/>
  <c r="AK20" i="69" s="1"/>
  <c r="AJ47" i="69"/>
  <c r="AK47" i="69" s="1"/>
  <c r="AJ70" i="69"/>
  <c r="AK70" i="69" s="1"/>
  <c r="AI51" i="69"/>
  <c r="AI82" i="69"/>
  <c r="AI21" i="69"/>
  <c r="AJ97" i="69"/>
  <c r="AK97" i="69" s="1"/>
  <c r="AI104" i="69"/>
  <c r="AI98" i="69"/>
  <c r="AI24" i="69"/>
  <c r="AI105" i="69"/>
  <c r="AI90" i="69"/>
  <c r="AI78" i="69"/>
  <c r="AI76" i="69"/>
  <c r="AJ34" i="69"/>
  <c r="AK34" i="69" s="1"/>
  <c r="AJ30" i="69"/>
  <c r="AK30" i="69" s="1"/>
  <c r="AJ54" i="69"/>
  <c r="AK54" i="69" s="1"/>
  <c r="AJ52" i="69"/>
  <c r="AK52" i="69" s="1"/>
  <c r="AJ50" i="69"/>
  <c r="AK50" i="69" s="1"/>
  <c r="AJ48" i="69"/>
  <c r="AK48" i="69" s="1"/>
  <c r="AJ12" i="69"/>
  <c r="AK12" i="69" s="1"/>
  <c r="AJ106" i="69"/>
  <c r="AK106" i="69" s="1"/>
  <c r="AJ79" i="69"/>
  <c r="AK79" i="69" s="1"/>
  <c r="AJ77" i="69"/>
  <c r="AK77" i="69" s="1"/>
  <c r="AJ75" i="69"/>
  <c r="AK75" i="69" s="1"/>
  <c r="AJ25" i="69"/>
  <c r="AK25" i="69" s="1"/>
  <c r="AJ103" i="69"/>
  <c r="AK103" i="69" s="1"/>
  <c r="AJ95" i="69"/>
  <c r="AK95" i="69" s="1"/>
  <c r="AJ87" i="69"/>
  <c r="AK87" i="69" s="1"/>
  <c r="AJ68" i="69"/>
  <c r="AK68" i="69" s="1"/>
  <c r="AJ41" i="69"/>
  <c r="AK41" i="69" s="1"/>
  <c r="AJ22" i="69"/>
  <c r="AK22" i="69" s="1"/>
  <c r="AJ14" i="69"/>
  <c r="AK14" i="69" s="1"/>
  <c r="AJ99" i="69"/>
  <c r="AK99" i="69" s="1"/>
  <c r="AJ91" i="69"/>
  <c r="AK91" i="69" s="1"/>
  <c r="AJ83" i="69"/>
  <c r="AK83" i="69" s="1"/>
  <c r="AJ72" i="69"/>
  <c r="AK72" i="69" s="1"/>
  <c r="AJ45" i="69"/>
  <c r="AK45" i="69" s="1"/>
  <c r="AJ18" i="69"/>
  <c r="AK18" i="69" s="1"/>
  <c r="AJ63" i="69"/>
  <c r="AK63" i="69" s="1"/>
  <c r="AJ35" i="69"/>
  <c r="AK35" i="69" s="1"/>
  <c r="AJ27" i="69"/>
  <c r="AK27" i="69" s="1"/>
  <c r="AJ61" i="69"/>
  <c r="AK61" i="69" s="1"/>
  <c r="AJ37" i="69"/>
  <c r="AK37" i="69" s="1"/>
  <c r="AJ29" i="69"/>
  <c r="AK29" i="69" s="1"/>
  <c r="AJ59" i="69"/>
  <c r="AK59" i="69" s="1"/>
  <c r="AJ39" i="69"/>
  <c r="AK39" i="69" s="1"/>
  <c r="AJ31" i="69"/>
  <c r="AK31" i="69" s="1"/>
  <c r="AJ57" i="69"/>
  <c r="AK57" i="69" s="1"/>
  <c r="AJ33" i="69"/>
  <c r="AK33" i="69" s="1"/>
  <c r="AA31" i="69" l="1"/>
  <c r="V31" i="69"/>
  <c r="AL31" i="69"/>
  <c r="AF31" i="69"/>
  <c r="AM31" i="69"/>
  <c r="AN31" i="69"/>
  <c r="AA63" i="69"/>
  <c r="V63" i="69"/>
  <c r="AN63" i="69"/>
  <c r="AF63" i="69"/>
  <c r="AL63" i="69"/>
  <c r="AM63" i="69"/>
  <c r="V22" i="69"/>
  <c r="AF22" i="69"/>
  <c r="AL22" i="69"/>
  <c r="AN22" i="69"/>
  <c r="AA22" i="69"/>
  <c r="AM22" i="69"/>
  <c r="AA77" i="69"/>
  <c r="V77" i="69"/>
  <c r="AF77" i="69"/>
  <c r="AM77" i="69"/>
  <c r="AL77" i="69"/>
  <c r="AN77" i="69"/>
  <c r="V30" i="69"/>
  <c r="AF30" i="69"/>
  <c r="AL30" i="69"/>
  <c r="AN30" i="69"/>
  <c r="AM30" i="69"/>
  <c r="AA30" i="69"/>
  <c r="AA60" i="69"/>
  <c r="AF60" i="69"/>
  <c r="V60" i="69"/>
  <c r="AM60" i="69"/>
  <c r="AL60" i="69"/>
  <c r="AN60" i="69"/>
  <c r="V102" i="69"/>
  <c r="AF102" i="69"/>
  <c r="AA102" i="69"/>
  <c r="AL102" i="69"/>
  <c r="AM102" i="69"/>
  <c r="AN102" i="69"/>
  <c r="V46" i="69"/>
  <c r="AF46" i="69"/>
  <c r="AL46" i="69"/>
  <c r="AN46" i="69"/>
  <c r="AM46" i="69"/>
  <c r="AA46" i="69"/>
  <c r="AA36" i="69"/>
  <c r="AF36" i="69"/>
  <c r="V36" i="69"/>
  <c r="AM36" i="69"/>
  <c r="AL36" i="69"/>
  <c r="AN36" i="69"/>
  <c r="AA69" i="69"/>
  <c r="AF69" i="69"/>
  <c r="AL69" i="69"/>
  <c r="AM69" i="69"/>
  <c r="AN69" i="69"/>
  <c r="V69" i="69"/>
  <c r="AA100" i="69"/>
  <c r="AF100" i="69"/>
  <c r="V100" i="69"/>
  <c r="AM100" i="69"/>
  <c r="AL100" i="69"/>
  <c r="AN100" i="69"/>
  <c r="V39" i="69"/>
  <c r="AA39" i="69"/>
  <c r="AF39" i="69"/>
  <c r="AN39" i="69"/>
  <c r="AM39" i="69"/>
  <c r="AL39" i="69"/>
  <c r="AA61" i="69"/>
  <c r="V61" i="69"/>
  <c r="AF61" i="69"/>
  <c r="AM61" i="69"/>
  <c r="AL61" i="69"/>
  <c r="AN61" i="69"/>
  <c r="V18" i="69"/>
  <c r="AA18" i="69"/>
  <c r="AF18" i="69"/>
  <c r="AL18" i="69"/>
  <c r="AN18" i="69"/>
  <c r="AM18" i="69"/>
  <c r="AF91" i="69"/>
  <c r="AA91" i="69"/>
  <c r="AL91" i="69"/>
  <c r="AN91" i="69"/>
  <c r="V91" i="69"/>
  <c r="AM91" i="69"/>
  <c r="V103" i="69"/>
  <c r="AA103" i="69"/>
  <c r="AF103" i="69"/>
  <c r="AM103" i="69"/>
  <c r="AN103" i="69"/>
  <c r="AL103" i="69"/>
  <c r="AA79" i="69"/>
  <c r="V79" i="69"/>
  <c r="AN79" i="69"/>
  <c r="AF79" i="69"/>
  <c r="AL79" i="69"/>
  <c r="AM79" i="69"/>
  <c r="V50" i="69"/>
  <c r="AA50" i="69"/>
  <c r="AF50" i="69"/>
  <c r="AL50" i="69"/>
  <c r="AN50" i="69"/>
  <c r="AM50" i="69"/>
  <c r="V34" i="69"/>
  <c r="AA34" i="69"/>
  <c r="AL34" i="69"/>
  <c r="AN34" i="69"/>
  <c r="AF34" i="69"/>
  <c r="AM34" i="69"/>
  <c r="V97" i="69"/>
  <c r="AF97" i="69"/>
  <c r="AA97" i="69"/>
  <c r="AM97" i="69"/>
  <c r="AN97" i="69"/>
  <c r="AL97" i="69"/>
  <c r="V70" i="69"/>
  <c r="AF70" i="69"/>
  <c r="AA70" i="69"/>
  <c r="AL70" i="69"/>
  <c r="AM70" i="69"/>
  <c r="AN70" i="69"/>
  <c r="V26" i="69"/>
  <c r="AA26" i="69"/>
  <c r="AL26" i="69"/>
  <c r="AN26" i="69"/>
  <c r="AM26" i="69"/>
  <c r="AF26" i="69"/>
  <c r="AF11" i="69"/>
  <c r="AA11" i="69"/>
  <c r="V11" i="69"/>
  <c r="AA32" i="69"/>
  <c r="AF32" i="69"/>
  <c r="AM32" i="69"/>
  <c r="AL32" i="69"/>
  <c r="V32" i="69"/>
  <c r="AN32" i="69"/>
  <c r="V42" i="69"/>
  <c r="AA42" i="69"/>
  <c r="AL42" i="69"/>
  <c r="AN42" i="69"/>
  <c r="AM42" i="69"/>
  <c r="AF42" i="69"/>
  <c r="AF73" i="69"/>
  <c r="V73" i="69"/>
  <c r="AM73" i="69"/>
  <c r="AL73" i="69"/>
  <c r="AA73" i="69"/>
  <c r="AN73" i="69"/>
  <c r="AF67" i="69"/>
  <c r="V67" i="69"/>
  <c r="AL67" i="69"/>
  <c r="AN67" i="69"/>
  <c r="AA67" i="69"/>
  <c r="AM67" i="69"/>
  <c r="V66" i="69"/>
  <c r="AA66" i="69"/>
  <c r="AL66" i="69"/>
  <c r="AF66" i="69"/>
  <c r="AM66" i="69"/>
  <c r="AN66" i="69"/>
  <c r="AA13" i="69"/>
  <c r="V13" i="69"/>
  <c r="AF13" i="69"/>
  <c r="AL13" i="69"/>
  <c r="AM13" i="69"/>
  <c r="AN13" i="69"/>
  <c r="AA53" i="69"/>
  <c r="V53" i="69"/>
  <c r="AN53" i="69"/>
  <c r="AL53" i="69"/>
  <c r="AM53" i="69"/>
  <c r="AF53" i="69"/>
  <c r="AF43" i="69"/>
  <c r="AA43" i="69"/>
  <c r="AL43" i="69"/>
  <c r="AN43" i="69"/>
  <c r="AM43" i="69"/>
  <c r="V43" i="69"/>
  <c r="V33" i="69"/>
  <c r="AF33" i="69"/>
  <c r="AA33" i="69"/>
  <c r="AM33" i="69"/>
  <c r="AN33" i="69"/>
  <c r="AL33" i="69"/>
  <c r="AF59" i="69"/>
  <c r="AA59" i="69"/>
  <c r="AL59" i="69"/>
  <c r="AN59" i="69"/>
  <c r="V59" i="69"/>
  <c r="AM59" i="69"/>
  <c r="AF27" i="69"/>
  <c r="AA27" i="69"/>
  <c r="AL27" i="69"/>
  <c r="AN27" i="69"/>
  <c r="AM27" i="69"/>
  <c r="V27" i="69"/>
  <c r="AA45" i="69"/>
  <c r="V45" i="69"/>
  <c r="AF45" i="69"/>
  <c r="AL45" i="69"/>
  <c r="AM45" i="69"/>
  <c r="AN45" i="69"/>
  <c r="AF99" i="69"/>
  <c r="V99" i="69"/>
  <c r="AL99" i="69"/>
  <c r="AN99" i="69"/>
  <c r="AM99" i="69"/>
  <c r="AA99" i="69"/>
  <c r="AA68" i="69"/>
  <c r="AF68" i="69"/>
  <c r="V68" i="69"/>
  <c r="AM68" i="69"/>
  <c r="AL68" i="69"/>
  <c r="AN68" i="69"/>
  <c r="AF25" i="69"/>
  <c r="V25" i="69"/>
  <c r="AM25" i="69"/>
  <c r="AA25" i="69"/>
  <c r="AN25" i="69"/>
  <c r="AL25" i="69"/>
  <c r="V106" i="69"/>
  <c r="AA106" i="69"/>
  <c r="AL106" i="69"/>
  <c r="AF106" i="69"/>
  <c r="AN106" i="69"/>
  <c r="AM106" i="69"/>
  <c r="AA52" i="69"/>
  <c r="AF52" i="69"/>
  <c r="V52" i="69"/>
  <c r="AM52" i="69"/>
  <c r="AL52" i="69"/>
  <c r="AN52" i="69"/>
  <c r="AA47" i="69"/>
  <c r="V47" i="69"/>
  <c r="AF47" i="69"/>
  <c r="AN47" i="69"/>
  <c r="AL47" i="69"/>
  <c r="AM47" i="69"/>
  <c r="V38" i="69"/>
  <c r="AF38" i="69"/>
  <c r="AA38" i="69"/>
  <c r="AL38" i="69"/>
  <c r="AN38" i="69"/>
  <c r="AM38" i="69"/>
  <c r="AA56" i="69"/>
  <c r="AF56" i="69"/>
  <c r="AM56" i="69"/>
  <c r="V56" i="69"/>
  <c r="AL56" i="69"/>
  <c r="AN56" i="69"/>
  <c r="AA80" i="69"/>
  <c r="AF80" i="69"/>
  <c r="AM80" i="69"/>
  <c r="AL80" i="69"/>
  <c r="V80" i="69"/>
  <c r="AN80" i="69"/>
  <c r="AA84" i="69"/>
  <c r="AF84" i="69"/>
  <c r="V84" i="69"/>
  <c r="AM84" i="69"/>
  <c r="AL84" i="69"/>
  <c r="AN84" i="69"/>
  <c r="V49" i="69"/>
  <c r="AF49" i="69"/>
  <c r="AA49" i="69"/>
  <c r="AM49" i="69"/>
  <c r="AN49" i="69"/>
  <c r="AL49" i="69"/>
  <c r="V86" i="69"/>
  <c r="AF86" i="69"/>
  <c r="AL86" i="69"/>
  <c r="AA86" i="69"/>
  <c r="AM86" i="69"/>
  <c r="AN86" i="69"/>
  <c r="AF107" i="69"/>
  <c r="AA107" i="69"/>
  <c r="AL107" i="69"/>
  <c r="AN107" i="69"/>
  <c r="AM107" i="69"/>
  <c r="V107" i="69"/>
  <c r="AA101" i="69"/>
  <c r="V101" i="69"/>
  <c r="AL101" i="69"/>
  <c r="AF101" i="69"/>
  <c r="AM101" i="69"/>
  <c r="AN101" i="69"/>
  <c r="AA15" i="69"/>
  <c r="V15" i="69"/>
  <c r="AN15" i="69"/>
  <c r="AF15" i="69"/>
  <c r="AL15" i="69"/>
  <c r="AM15" i="69"/>
  <c r="AA28" i="69"/>
  <c r="AF28" i="69"/>
  <c r="V28" i="69"/>
  <c r="AM28" i="69"/>
  <c r="AL28" i="69"/>
  <c r="AN28" i="69"/>
  <c r="V65" i="69"/>
  <c r="AF65" i="69"/>
  <c r="AA65" i="69"/>
  <c r="AM65" i="69"/>
  <c r="AN65" i="69"/>
  <c r="AL65" i="69"/>
  <c r="AF57" i="69"/>
  <c r="V57" i="69"/>
  <c r="AM57" i="69"/>
  <c r="AL57" i="69"/>
  <c r="AN57" i="69"/>
  <c r="AA57" i="69"/>
  <c r="AA29" i="69"/>
  <c r="V29" i="69"/>
  <c r="AF29" i="69"/>
  <c r="AL29" i="69"/>
  <c r="AM29" i="69"/>
  <c r="AN29" i="69"/>
  <c r="AF35" i="69"/>
  <c r="V35" i="69"/>
  <c r="AL35" i="69"/>
  <c r="AM35" i="69"/>
  <c r="AN35" i="69"/>
  <c r="AA35" i="69"/>
  <c r="AA72" i="69"/>
  <c r="AF72" i="69"/>
  <c r="V72" i="69"/>
  <c r="AM72" i="69"/>
  <c r="AL72" i="69"/>
  <c r="AN72" i="69"/>
  <c r="V14" i="69"/>
  <c r="AF14" i="69"/>
  <c r="AL14" i="69"/>
  <c r="AN14" i="69"/>
  <c r="AM14" i="69"/>
  <c r="AA14" i="69"/>
  <c r="V87" i="69"/>
  <c r="AA87" i="69"/>
  <c r="AF87" i="69"/>
  <c r="AM87" i="69"/>
  <c r="AN87" i="69"/>
  <c r="AL87" i="69"/>
  <c r="AF75" i="69"/>
  <c r="AA75" i="69"/>
  <c r="V75" i="69"/>
  <c r="AL75" i="69"/>
  <c r="AN75" i="69"/>
  <c r="AM75" i="69"/>
  <c r="AA12" i="69"/>
  <c r="AF12" i="69"/>
  <c r="V12" i="69"/>
  <c r="AM12" i="69"/>
  <c r="AL12" i="69"/>
  <c r="AN12" i="69"/>
  <c r="V54" i="69"/>
  <c r="AF54" i="69"/>
  <c r="AL54" i="69"/>
  <c r="AN54" i="69"/>
  <c r="AA54" i="69"/>
  <c r="AM54" i="69"/>
  <c r="AA20" i="69"/>
  <c r="AF20" i="69"/>
  <c r="V20" i="69"/>
  <c r="AM20" i="69"/>
  <c r="AL20" i="69"/>
  <c r="AN20" i="69"/>
  <c r="AA64" i="69"/>
  <c r="AF64" i="69"/>
  <c r="AM64" i="69"/>
  <c r="AL64" i="69"/>
  <c r="AN64" i="69"/>
  <c r="V64" i="69"/>
  <c r="V58" i="69"/>
  <c r="AA58" i="69"/>
  <c r="AL58" i="69"/>
  <c r="AN58" i="69"/>
  <c r="AF58" i="69"/>
  <c r="AM58" i="69"/>
  <c r="V23" i="69"/>
  <c r="AA23" i="69"/>
  <c r="AF23" i="69"/>
  <c r="AN23" i="69"/>
  <c r="AM23" i="69"/>
  <c r="AL23" i="69"/>
  <c r="V94" i="69"/>
  <c r="AF94" i="69"/>
  <c r="AL94" i="69"/>
  <c r="AM94" i="69"/>
  <c r="AA94" i="69"/>
  <c r="AN94" i="69"/>
  <c r="V74" i="69"/>
  <c r="AA74" i="69"/>
  <c r="AL74" i="69"/>
  <c r="AN74" i="69"/>
  <c r="AM74" i="69"/>
  <c r="AF74" i="69"/>
  <c r="AA92" i="69"/>
  <c r="AF92" i="69"/>
  <c r="V92" i="69"/>
  <c r="AM92" i="69"/>
  <c r="AL92" i="69"/>
  <c r="AN92" i="69"/>
  <c r="AA96" i="69"/>
  <c r="AF96" i="69"/>
  <c r="AM96" i="69"/>
  <c r="AL96" i="69"/>
  <c r="V96" i="69"/>
  <c r="AN96" i="69"/>
  <c r="V55" i="69"/>
  <c r="AA55" i="69"/>
  <c r="AF55" i="69"/>
  <c r="AM55" i="69"/>
  <c r="AN55" i="69"/>
  <c r="AL55" i="69"/>
  <c r="AA40" i="69"/>
  <c r="AF40" i="69"/>
  <c r="V40" i="69"/>
  <c r="AM40" i="69"/>
  <c r="AL40" i="69"/>
  <c r="AN40" i="69"/>
  <c r="V17" i="69"/>
  <c r="AF17" i="69"/>
  <c r="AA17" i="69"/>
  <c r="AM17" i="69"/>
  <c r="AN17" i="69"/>
  <c r="AL17" i="69"/>
  <c r="AA37" i="69"/>
  <c r="AN37" i="69"/>
  <c r="V37" i="69"/>
  <c r="AL37" i="69"/>
  <c r="AF37" i="69"/>
  <c r="AM37" i="69"/>
  <c r="AF83" i="69"/>
  <c r="V83" i="69"/>
  <c r="AA83" i="69"/>
  <c r="AL83" i="69"/>
  <c r="AN83" i="69"/>
  <c r="AM83" i="69"/>
  <c r="AA95" i="69"/>
  <c r="V95" i="69"/>
  <c r="AN95" i="69"/>
  <c r="AL95" i="69"/>
  <c r="AM95" i="69"/>
  <c r="AF95" i="69"/>
  <c r="AA48" i="69"/>
  <c r="AF48" i="69"/>
  <c r="AM48" i="69"/>
  <c r="AL48" i="69"/>
  <c r="AN48" i="69"/>
  <c r="V48" i="69"/>
  <c r="AF19" i="69"/>
  <c r="V19" i="69"/>
  <c r="AA19" i="69"/>
  <c r="AL19" i="69"/>
  <c r="AM19" i="69"/>
  <c r="AN19" i="69"/>
  <c r="AA85" i="69"/>
  <c r="AF85" i="69"/>
  <c r="AL85" i="69"/>
  <c r="V85" i="69"/>
  <c r="AM85" i="69"/>
  <c r="AN85" i="69"/>
  <c r="AA88" i="69"/>
  <c r="AF88" i="69"/>
  <c r="AM88" i="69"/>
  <c r="V88" i="69"/>
  <c r="AL88" i="69"/>
  <c r="AN88" i="69"/>
  <c r="AA44" i="69"/>
  <c r="AF44" i="69"/>
  <c r="V44" i="69"/>
  <c r="AM44" i="69"/>
  <c r="AL44" i="69"/>
  <c r="AN44" i="69"/>
  <c r="AF41" i="69"/>
  <c r="V41" i="69"/>
  <c r="AA41" i="69"/>
  <c r="AM41" i="69"/>
  <c r="AL41" i="69"/>
  <c r="AN41" i="69"/>
  <c r="AJ82" i="69"/>
  <c r="AK82" i="69" s="1"/>
  <c r="AJ76" i="69"/>
  <c r="AK76" i="69" s="1"/>
  <c r="AJ104" i="69"/>
  <c r="AK104" i="69" s="1"/>
  <c r="AJ21" i="69"/>
  <c r="AK21" i="69" s="1"/>
  <c r="AJ90" i="69"/>
  <c r="AK90" i="69" s="1"/>
  <c r="AJ78" i="69"/>
  <c r="AK78" i="69" s="1"/>
  <c r="AJ98" i="69"/>
  <c r="AK98" i="69" s="1"/>
  <c r="AJ51" i="69"/>
  <c r="AK51" i="69" s="1"/>
  <c r="AJ71" i="69"/>
  <c r="AK71" i="69" s="1"/>
  <c r="AJ105" i="69"/>
  <c r="AK105" i="69" s="1"/>
  <c r="AJ24" i="69"/>
  <c r="AK24" i="69" s="1"/>
  <c r="AJ62" i="69"/>
  <c r="AK62" i="69" s="1"/>
  <c r="AJ16" i="69"/>
  <c r="AK16" i="69" s="1"/>
  <c r="AJ81" i="69"/>
  <c r="AK81" i="69" s="1"/>
  <c r="AJ89" i="69"/>
  <c r="AK89" i="69" s="1"/>
  <c r="AJ93" i="69"/>
  <c r="AK93" i="69" s="1"/>
  <c r="AA16" i="69" l="1"/>
  <c r="AF16" i="69"/>
  <c r="AM16" i="69"/>
  <c r="AL16" i="69"/>
  <c r="AN16" i="69"/>
  <c r="V16" i="69"/>
  <c r="V82" i="69"/>
  <c r="AA82" i="69"/>
  <c r="AF82" i="69"/>
  <c r="AL82" i="69"/>
  <c r="AM82" i="69"/>
  <c r="AN82" i="69"/>
  <c r="AA93" i="69"/>
  <c r="V93" i="69"/>
  <c r="AF93" i="69"/>
  <c r="AM93" i="69"/>
  <c r="AL93" i="69"/>
  <c r="AN93" i="69"/>
  <c r="V62" i="69"/>
  <c r="AF62" i="69"/>
  <c r="AL62" i="69"/>
  <c r="AA62" i="69"/>
  <c r="AM62" i="69"/>
  <c r="AN62" i="69"/>
  <c r="AF51" i="69"/>
  <c r="V51" i="69"/>
  <c r="AL51" i="69"/>
  <c r="AM51" i="69"/>
  <c r="AA51" i="69"/>
  <c r="AN51" i="69"/>
  <c r="AA21" i="69"/>
  <c r="AN21" i="69"/>
  <c r="AF21" i="69"/>
  <c r="AL21" i="69"/>
  <c r="V21" i="69"/>
  <c r="AM21" i="69"/>
  <c r="V81" i="69"/>
  <c r="AF81" i="69"/>
  <c r="AA81" i="69"/>
  <c r="AN81" i="69"/>
  <c r="AL81" i="69"/>
  <c r="AM81" i="69"/>
  <c r="AF105" i="69"/>
  <c r="V105" i="69"/>
  <c r="AA105" i="69"/>
  <c r="AM105" i="69"/>
  <c r="AL105" i="69"/>
  <c r="AN105" i="69"/>
  <c r="V78" i="69"/>
  <c r="AF78" i="69"/>
  <c r="AL78" i="69"/>
  <c r="AM78" i="69"/>
  <c r="AA78" i="69"/>
  <c r="AN78" i="69"/>
  <c r="AA76" i="69"/>
  <c r="AF76" i="69"/>
  <c r="V76" i="69"/>
  <c r="AM76" i="69"/>
  <c r="AL76" i="69"/>
  <c r="AN76" i="69"/>
  <c r="V71" i="69"/>
  <c r="AA71" i="69"/>
  <c r="AF71" i="69"/>
  <c r="AM71" i="69"/>
  <c r="AN71" i="69"/>
  <c r="AL71" i="69"/>
  <c r="V90" i="69"/>
  <c r="AA90" i="69"/>
  <c r="AL90" i="69"/>
  <c r="AF90" i="69"/>
  <c r="AN90" i="69"/>
  <c r="AM90" i="69"/>
  <c r="AF89" i="69"/>
  <c r="V89" i="69"/>
  <c r="AA89" i="69"/>
  <c r="AM89" i="69"/>
  <c r="AL89" i="69"/>
  <c r="AN89" i="69"/>
  <c r="AA24" i="69"/>
  <c r="AF24" i="69"/>
  <c r="AM24" i="69"/>
  <c r="V24" i="69"/>
  <c r="AL24" i="69"/>
  <c r="AN24" i="69"/>
  <c r="V98" i="69"/>
  <c r="AA98" i="69"/>
  <c r="AL98" i="69"/>
  <c r="AF98" i="69"/>
  <c r="AM98" i="69"/>
  <c r="AN98" i="69"/>
  <c r="AA104" i="69"/>
  <c r="AF104" i="69"/>
  <c r="V104" i="69"/>
  <c r="AM104" i="69"/>
  <c r="AL104" i="69"/>
  <c r="AN104" i="69"/>
  <c r="U109" i="71" l="1"/>
  <c r="U108" i="71"/>
  <c r="U107" i="71"/>
  <c r="U106" i="71"/>
  <c r="U105" i="71"/>
  <c r="U104" i="71"/>
  <c r="U103" i="71"/>
  <c r="U102" i="71"/>
  <c r="U101" i="71"/>
  <c r="U100" i="71"/>
  <c r="U99" i="71"/>
  <c r="U98" i="71"/>
  <c r="U97" i="71"/>
  <c r="U96" i="71"/>
  <c r="U95" i="71"/>
  <c r="U94" i="71"/>
  <c r="U93" i="71"/>
  <c r="U92" i="71"/>
  <c r="U91" i="71"/>
  <c r="U90" i="71"/>
  <c r="U89" i="71"/>
  <c r="U88" i="71"/>
  <c r="U87" i="71"/>
  <c r="U86" i="71"/>
  <c r="U85" i="71"/>
  <c r="U84" i="71"/>
  <c r="U83" i="71"/>
  <c r="U82" i="71"/>
  <c r="U81" i="71"/>
  <c r="U80" i="71"/>
  <c r="U79" i="71"/>
  <c r="U78" i="71"/>
  <c r="U77" i="71"/>
  <c r="U76" i="71"/>
  <c r="U75" i="71"/>
  <c r="U74" i="71"/>
  <c r="U73" i="71"/>
  <c r="U72" i="71"/>
  <c r="U71" i="71"/>
  <c r="U70" i="71"/>
  <c r="U69" i="71"/>
  <c r="U68" i="71"/>
  <c r="U67" i="71"/>
  <c r="U66" i="71"/>
  <c r="U65" i="71"/>
  <c r="U64" i="71"/>
  <c r="U63" i="71"/>
  <c r="U62" i="71"/>
  <c r="U61" i="71"/>
  <c r="U60" i="71"/>
  <c r="U59" i="71"/>
  <c r="U58" i="71"/>
  <c r="U57" i="71"/>
  <c r="U56" i="71"/>
  <c r="U55" i="71"/>
  <c r="U54" i="71"/>
  <c r="U53" i="71"/>
  <c r="U52" i="71"/>
  <c r="U51" i="71"/>
  <c r="U50" i="71"/>
  <c r="U49" i="71"/>
  <c r="U48" i="71"/>
  <c r="U47" i="71"/>
  <c r="U46" i="71"/>
  <c r="U45" i="71"/>
  <c r="U44" i="71"/>
  <c r="U43" i="71"/>
  <c r="U42" i="71"/>
  <c r="U41" i="71"/>
  <c r="U40" i="71"/>
  <c r="U39" i="71"/>
  <c r="U38" i="71"/>
  <c r="U37" i="71"/>
  <c r="U36" i="71"/>
  <c r="U35" i="71"/>
  <c r="U34" i="71"/>
  <c r="U33" i="71"/>
  <c r="U32" i="71"/>
  <c r="U31" i="71"/>
  <c r="U30" i="71"/>
  <c r="U29" i="71"/>
  <c r="U28" i="71"/>
  <c r="U27" i="71"/>
  <c r="U26" i="71"/>
  <c r="U25" i="71"/>
  <c r="U24" i="71"/>
  <c r="U23" i="71"/>
  <c r="U22" i="71"/>
  <c r="U21" i="71"/>
  <c r="U20" i="71"/>
  <c r="U19" i="71"/>
  <c r="U18" i="71"/>
  <c r="U17" i="71"/>
  <c r="U16" i="71"/>
  <c r="U15" i="71"/>
  <c r="U14" i="71"/>
  <c r="U13" i="71"/>
  <c r="U12" i="71"/>
  <c r="U11" i="71"/>
  <c r="U10" i="71"/>
  <c r="R107" i="70"/>
  <c r="AM107" i="70" s="1"/>
  <c r="AN107" i="70" s="1"/>
  <c r="R106" i="70"/>
  <c r="AM106" i="70" s="1"/>
  <c r="AN106" i="70" s="1"/>
  <c r="R105" i="70"/>
  <c r="AM105" i="70" s="1"/>
  <c r="AN105" i="70" s="1"/>
  <c r="R104" i="70"/>
  <c r="AM104" i="70" s="1"/>
  <c r="AN104" i="70" s="1"/>
  <c r="R103" i="70"/>
  <c r="AM103" i="70" s="1"/>
  <c r="AN103" i="70" s="1"/>
  <c r="R102" i="70"/>
  <c r="AM102" i="70" s="1"/>
  <c r="AN102" i="70" s="1"/>
  <c r="R101" i="70"/>
  <c r="AM101" i="70" s="1"/>
  <c r="AN101" i="70" s="1"/>
  <c r="R100" i="70"/>
  <c r="AM100" i="70" s="1"/>
  <c r="AN100" i="70" s="1"/>
  <c r="R99" i="70"/>
  <c r="AM99" i="70" s="1"/>
  <c r="AN99" i="70" s="1"/>
  <c r="R98" i="70"/>
  <c r="AM98" i="70" s="1"/>
  <c r="AN98" i="70" s="1"/>
  <c r="R97" i="70"/>
  <c r="AM97" i="70" s="1"/>
  <c r="AN97" i="70" s="1"/>
  <c r="R96" i="70"/>
  <c r="AM96" i="70" s="1"/>
  <c r="AN96" i="70" s="1"/>
  <c r="R95" i="70"/>
  <c r="AM95" i="70" s="1"/>
  <c r="AN95" i="70" s="1"/>
  <c r="R94" i="70"/>
  <c r="AM94" i="70" s="1"/>
  <c r="AN94" i="70" s="1"/>
  <c r="R93" i="70"/>
  <c r="AM93" i="70" s="1"/>
  <c r="AN93" i="70" s="1"/>
  <c r="R92" i="70"/>
  <c r="AM92" i="70" s="1"/>
  <c r="AN92" i="70" s="1"/>
  <c r="R91" i="70"/>
  <c r="AM91" i="70" s="1"/>
  <c r="AN91" i="70" s="1"/>
  <c r="R90" i="70"/>
  <c r="AM90" i="70" s="1"/>
  <c r="AN90" i="70" s="1"/>
  <c r="R89" i="70"/>
  <c r="AM89" i="70" s="1"/>
  <c r="AN89" i="70" s="1"/>
  <c r="R88" i="70"/>
  <c r="AM88" i="70" s="1"/>
  <c r="AN88" i="70" s="1"/>
  <c r="R87" i="70"/>
  <c r="AM87" i="70" s="1"/>
  <c r="AN87" i="70" s="1"/>
  <c r="R86" i="70"/>
  <c r="AM86" i="70" s="1"/>
  <c r="AN86" i="70" s="1"/>
  <c r="R85" i="70"/>
  <c r="AM85" i="70" s="1"/>
  <c r="AN85" i="70" s="1"/>
  <c r="R84" i="70"/>
  <c r="AM84" i="70" s="1"/>
  <c r="AN84" i="70" s="1"/>
  <c r="R83" i="70"/>
  <c r="AM83" i="70" s="1"/>
  <c r="AN83" i="70" s="1"/>
  <c r="R82" i="70"/>
  <c r="AM82" i="70" s="1"/>
  <c r="AN82" i="70" s="1"/>
  <c r="R81" i="70"/>
  <c r="AM81" i="70" s="1"/>
  <c r="AN81" i="70" s="1"/>
  <c r="R80" i="70"/>
  <c r="AM80" i="70" s="1"/>
  <c r="AN80" i="70" s="1"/>
  <c r="R79" i="70"/>
  <c r="AM79" i="70" s="1"/>
  <c r="AN79" i="70" s="1"/>
  <c r="R78" i="70"/>
  <c r="AM78" i="70" s="1"/>
  <c r="AN78" i="70" s="1"/>
  <c r="R77" i="70"/>
  <c r="AM77" i="70" s="1"/>
  <c r="AN77" i="70" s="1"/>
  <c r="R76" i="70"/>
  <c r="AM76" i="70" s="1"/>
  <c r="AN76" i="70" s="1"/>
  <c r="R75" i="70"/>
  <c r="AM75" i="70" s="1"/>
  <c r="AN75" i="70" s="1"/>
  <c r="R74" i="70"/>
  <c r="AM74" i="70" s="1"/>
  <c r="AN74" i="70" s="1"/>
  <c r="R73" i="70"/>
  <c r="AM73" i="70" s="1"/>
  <c r="AN73" i="70" s="1"/>
  <c r="R72" i="70"/>
  <c r="AM72" i="70" s="1"/>
  <c r="AN72" i="70" s="1"/>
  <c r="R71" i="70"/>
  <c r="AM71" i="70" s="1"/>
  <c r="AN71" i="70" s="1"/>
  <c r="R70" i="70"/>
  <c r="AM70" i="70" s="1"/>
  <c r="AN70" i="70" s="1"/>
  <c r="R69" i="70"/>
  <c r="AM69" i="70" s="1"/>
  <c r="AN69" i="70" s="1"/>
  <c r="R68" i="70"/>
  <c r="AM68" i="70" s="1"/>
  <c r="AN68" i="70" s="1"/>
  <c r="R67" i="70"/>
  <c r="AM67" i="70" s="1"/>
  <c r="AN67" i="70" s="1"/>
  <c r="R66" i="70"/>
  <c r="AM66" i="70" s="1"/>
  <c r="AN66" i="70" s="1"/>
  <c r="R65" i="70"/>
  <c r="AM65" i="70" s="1"/>
  <c r="AN65" i="70" s="1"/>
  <c r="R64" i="70"/>
  <c r="AM64" i="70" s="1"/>
  <c r="AN64" i="70" s="1"/>
  <c r="R63" i="70"/>
  <c r="AM63" i="70" s="1"/>
  <c r="AN63" i="70" s="1"/>
  <c r="R62" i="70"/>
  <c r="AM62" i="70" s="1"/>
  <c r="AN62" i="70" s="1"/>
  <c r="R61" i="70"/>
  <c r="AM61" i="70" s="1"/>
  <c r="AN61" i="70" s="1"/>
  <c r="R60" i="70"/>
  <c r="AM60" i="70" s="1"/>
  <c r="AN60" i="70" s="1"/>
  <c r="R59" i="70"/>
  <c r="AM59" i="70" s="1"/>
  <c r="AN59" i="70" s="1"/>
  <c r="R58" i="70"/>
  <c r="AM58" i="70" s="1"/>
  <c r="AN58" i="70" s="1"/>
  <c r="R57" i="70"/>
  <c r="AM57" i="70" s="1"/>
  <c r="AN57" i="70" s="1"/>
  <c r="R56" i="70"/>
  <c r="AM56" i="70" s="1"/>
  <c r="AN56" i="70" s="1"/>
  <c r="R55" i="70"/>
  <c r="AM55" i="70" s="1"/>
  <c r="AN55" i="70" s="1"/>
  <c r="R54" i="70"/>
  <c r="AM54" i="70" s="1"/>
  <c r="AN54" i="70" s="1"/>
  <c r="R53" i="70"/>
  <c r="AM53" i="70" s="1"/>
  <c r="AN53" i="70" s="1"/>
  <c r="R52" i="70"/>
  <c r="AM52" i="70" s="1"/>
  <c r="AN52" i="70" s="1"/>
  <c r="R51" i="70"/>
  <c r="AM51" i="70" s="1"/>
  <c r="AN51" i="70" s="1"/>
  <c r="R50" i="70"/>
  <c r="AM50" i="70" s="1"/>
  <c r="AN50" i="70" s="1"/>
  <c r="R49" i="70"/>
  <c r="AM49" i="70" s="1"/>
  <c r="AN49" i="70" s="1"/>
  <c r="R48" i="70"/>
  <c r="AM48" i="70" s="1"/>
  <c r="AN48" i="70" s="1"/>
  <c r="R47" i="70"/>
  <c r="AM47" i="70" s="1"/>
  <c r="AN47" i="70" s="1"/>
  <c r="R46" i="70"/>
  <c r="AM46" i="70" s="1"/>
  <c r="AN46" i="70" s="1"/>
  <c r="R45" i="70"/>
  <c r="AM45" i="70" s="1"/>
  <c r="AN45" i="70" s="1"/>
  <c r="R44" i="70"/>
  <c r="AM44" i="70" s="1"/>
  <c r="AN44" i="70" s="1"/>
  <c r="R43" i="70"/>
  <c r="AM43" i="70" s="1"/>
  <c r="AN43" i="70" s="1"/>
  <c r="R42" i="70"/>
  <c r="AM42" i="70" s="1"/>
  <c r="AN42" i="70" s="1"/>
  <c r="R41" i="70"/>
  <c r="AM41" i="70" s="1"/>
  <c r="AN41" i="70" s="1"/>
  <c r="R40" i="70"/>
  <c r="AM40" i="70" s="1"/>
  <c r="AN40" i="70" s="1"/>
  <c r="R39" i="70"/>
  <c r="AM39" i="70" s="1"/>
  <c r="AN39" i="70" s="1"/>
  <c r="R38" i="70"/>
  <c r="AM38" i="70" s="1"/>
  <c r="AN38" i="70" s="1"/>
  <c r="R37" i="70"/>
  <c r="AM37" i="70" s="1"/>
  <c r="AN37" i="70" s="1"/>
  <c r="R36" i="70"/>
  <c r="AM36" i="70" s="1"/>
  <c r="AN36" i="70" s="1"/>
  <c r="R35" i="70"/>
  <c r="AM35" i="70" s="1"/>
  <c r="AN35" i="70" s="1"/>
  <c r="R34" i="70"/>
  <c r="AM34" i="70" s="1"/>
  <c r="AN34" i="70" s="1"/>
  <c r="R33" i="70"/>
  <c r="AM33" i="70" s="1"/>
  <c r="AN33" i="70" s="1"/>
  <c r="R32" i="70"/>
  <c r="AM32" i="70" s="1"/>
  <c r="AN32" i="70" s="1"/>
  <c r="R31" i="70"/>
  <c r="AM31" i="70" s="1"/>
  <c r="AN31" i="70" s="1"/>
  <c r="R30" i="70"/>
  <c r="AM30" i="70" s="1"/>
  <c r="AN30" i="70" s="1"/>
  <c r="R29" i="70"/>
  <c r="AM29" i="70" s="1"/>
  <c r="AN29" i="70" s="1"/>
  <c r="R28" i="70"/>
  <c r="AM28" i="70" s="1"/>
  <c r="AN28" i="70" s="1"/>
  <c r="R27" i="70"/>
  <c r="AM27" i="70" s="1"/>
  <c r="AN27" i="70" s="1"/>
  <c r="R26" i="70"/>
  <c r="AM26" i="70" s="1"/>
  <c r="AN26" i="70" s="1"/>
  <c r="R25" i="70"/>
  <c r="AM25" i="70" s="1"/>
  <c r="AN25" i="70" s="1"/>
  <c r="R24" i="70"/>
  <c r="AM24" i="70" s="1"/>
  <c r="AN24" i="70" s="1"/>
  <c r="R23" i="70"/>
  <c r="AM23" i="70" s="1"/>
  <c r="AN23" i="70" s="1"/>
  <c r="R22" i="70"/>
  <c r="AM22" i="70" s="1"/>
  <c r="AN22" i="70" s="1"/>
  <c r="R21" i="70"/>
  <c r="AM21" i="70" s="1"/>
  <c r="AN21" i="70" s="1"/>
  <c r="R20" i="70"/>
  <c r="AM20" i="70" s="1"/>
  <c r="AN20" i="70" s="1"/>
  <c r="R19" i="70"/>
  <c r="AM19" i="70" s="1"/>
  <c r="AN19" i="70" s="1"/>
  <c r="R18" i="70"/>
  <c r="AM18" i="70" s="1"/>
  <c r="AN18" i="70" s="1"/>
  <c r="R17" i="70"/>
  <c r="AM17" i="70" s="1"/>
  <c r="AN17" i="70" s="1"/>
  <c r="R16" i="70"/>
  <c r="AM16" i="70" s="1"/>
  <c r="AN16" i="70" s="1"/>
  <c r="R15" i="70"/>
  <c r="AM15" i="70" s="1"/>
  <c r="AN15" i="70" s="1"/>
  <c r="R14" i="70"/>
  <c r="AM14" i="70" s="1"/>
  <c r="AN14" i="70" s="1"/>
  <c r="R13" i="70"/>
  <c r="AM13" i="70" s="1"/>
  <c r="AN13" i="70" s="1"/>
  <c r="R12" i="70"/>
  <c r="AM12" i="70" s="1"/>
  <c r="AN12" i="70" s="1"/>
  <c r="R11" i="70"/>
  <c r="AM11" i="70" s="1"/>
  <c r="AN11" i="70" s="1"/>
  <c r="R10" i="70"/>
  <c r="P109" i="42"/>
  <c r="AF109" i="42" s="1"/>
  <c r="AG109" i="42" s="1"/>
  <c r="P108" i="42"/>
  <c r="AF108" i="42" s="1"/>
  <c r="AG108" i="42" s="1"/>
  <c r="P107" i="42"/>
  <c r="AF107" i="42" s="1"/>
  <c r="AG107" i="42" s="1"/>
  <c r="P106" i="42"/>
  <c r="AF106" i="42" s="1"/>
  <c r="AG106" i="42" s="1"/>
  <c r="P105" i="42"/>
  <c r="P104" i="42"/>
  <c r="P103" i="42"/>
  <c r="P102" i="42"/>
  <c r="P101" i="42"/>
  <c r="P100" i="42"/>
  <c r="P99" i="42"/>
  <c r="P98" i="42"/>
  <c r="P97" i="42"/>
  <c r="P96" i="42"/>
  <c r="P95" i="42"/>
  <c r="P94" i="42"/>
  <c r="P93" i="42"/>
  <c r="P92" i="42"/>
  <c r="P91" i="42"/>
  <c r="P90" i="42"/>
  <c r="P89" i="42"/>
  <c r="P88" i="42"/>
  <c r="P87" i="42"/>
  <c r="P86" i="42"/>
  <c r="P85" i="42"/>
  <c r="P84" i="42"/>
  <c r="P83" i="42"/>
  <c r="P82" i="42"/>
  <c r="P81" i="42"/>
  <c r="P80" i="42"/>
  <c r="P79" i="42"/>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28" i="42"/>
  <c r="P27" i="42"/>
  <c r="P26" i="42"/>
  <c r="P25" i="42"/>
  <c r="P24" i="42"/>
  <c r="P23" i="42"/>
  <c r="P22" i="42"/>
  <c r="P21" i="42"/>
  <c r="P20" i="42"/>
  <c r="P19" i="42"/>
  <c r="P18" i="42"/>
  <c r="P17" i="42"/>
  <c r="P16" i="42"/>
  <c r="P15" i="42"/>
  <c r="P14" i="42"/>
  <c r="P13" i="42"/>
  <c r="P12" i="42"/>
  <c r="P11" i="42"/>
  <c r="P10" i="42"/>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P10" i="69"/>
  <c r="Q10" i="69" s="1"/>
  <c r="J13" i="20"/>
  <c r="K13" i="20"/>
  <c r="AC22" i="20"/>
  <c r="AO11" i="69" s="1"/>
  <c r="Q12" i="42" l="1"/>
  <c r="AF12" i="42"/>
  <c r="AG12" i="42" s="1"/>
  <c r="Q24" i="42"/>
  <c r="AF24" i="42"/>
  <c r="AG24" i="42" s="1"/>
  <c r="Q36" i="42"/>
  <c r="AF36" i="42"/>
  <c r="AG36" i="42" s="1"/>
  <c r="Q48" i="42"/>
  <c r="AF48" i="42"/>
  <c r="AG48" i="42" s="1"/>
  <c r="Q64" i="42"/>
  <c r="AF64" i="42"/>
  <c r="AG64" i="42" s="1"/>
  <c r="Q76" i="42"/>
  <c r="AF76" i="42"/>
  <c r="AG76" i="42" s="1"/>
  <c r="Q88" i="42"/>
  <c r="AF88" i="42"/>
  <c r="AG88" i="42" s="1"/>
  <c r="Q17" i="42"/>
  <c r="AF17" i="42"/>
  <c r="AG17" i="42" s="1"/>
  <c r="Q25" i="42"/>
  <c r="AF25" i="42"/>
  <c r="AG25" i="42" s="1"/>
  <c r="Q37" i="42"/>
  <c r="AF37" i="42"/>
  <c r="AG37" i="42" s="1"/>
  <c r="Q49" i="42"/>
  <c r="AF49" i="42"/>
  <c r="AG49" i="42" s="1"/>
  <c r="Q57" i="42"/>
  <c r="AF57" i="42"/>
  <c r="AG57" i="42" s="1"/>
  <c r="Q69" i="42"/>
  <c r="AF69" i="42"/>
  <c r="AG69" i="42" s="1"/>
  <c r="Q81" i="42"/>
  <c r="AF81" i="42"/>
  <c r="AG81" i="42" s="1"/>
  <c r="Q97" i="42"/>
  <c r="AF97" i="42"/>
  <c r="AG97" i="42" s="1"/>
  <c r="Q18" i="42"/>
  <c r="AF18" i="42"/>
  <c r="AG18" i="42" s="1"/>
  <c r="Q30" i="42"/>
  <c r="AF30" i="42"/>
  <c r="AG30" i="42" s="1"/>
  <c r="Q42" i="42"/>
  <c r="AF42" i="42"/>
  <c r="AG42" i="42" s="1"/>
  <c r="Q54" i="42"/>
  <c r="AF54" i="42"/>
  <c r="AG54" i="42" s="1"/>
  <c r="Q66" i="42"/>
  <c r="AF66" i="42"/>
  <c r="AG66" i="42" s="1"/>
  <c r="Q78" i="42"/>
  <c r="AF78" i="42"/>
  <c r="AG78" i="42" s="1"/>
  <c r="Q90" i="42"/>
  <c r="AF90" i="42"/>
  <c r="AG90" i="42" s="1"/>
  <c r="Q102" i="42"/>
  <c r="AF102" i="42"/>
  <c r="AG102" i="42" s="1"/>
  <c r="Q16" i="42"/>
  <c r="AF16" i="42"/>
  <c r="AG16" i="42" s="1"/>
  <c r="Q20" i="42"/>
  <c r="AF20" i="42"/>
  <c r="AG20" i="42" s="1"/>
  <c r="Q28" i="42"/>
  <c r="AF28" i="42"/>
  <c r="AG28" i="42" s="1"/>
  <c r="Q32" i="42"/>
  <c r="AF32" i="42"/>
  <c r="AG32" i="42" s="1"/>
  <c r="Q40" i="42"/>
  <c r="AF40" i="42"/>
  <c r="AG40" i="42" s="1"/>
  <c r="Q44" i="42"/>
  <c r="AF44" i="42"/>
  <c r="AG44" i="42" s="1"/>
  <c r="Q52" i="42"/>
  <c r="AF52" i="42"/>
  <c r="AG52" i="42" s="1"/>
  <c r="Q56" i="42"/>
  <c r="AF56" i="42"/>
  <c r="AG56" i="42" s="1"/>
  <c r="Q60" i="42"/>
  <c r="AF60" i="42"/>
  <c r="AG60" i="42" s="1"/>
  <c r="Q68" i="42"/>
  <c r="AF68" i="42"/>
  <c r="AG68" i="42" s="1"/>
  <c r="Q72" i="42"/>
  <c r="AF72" i="42"/>
  <c r="AG72" i="42" s="1"/>
  <c r="Q80" i="42"/>
  <c r="AF80" i="42"/>
  <c r="AG80" i="42" s="1"/>
  <c r="Q84" i="42"/>
  <c r="AF84" i="42"/>
  <c r="AG84" i="42" s="1"/>
  <c r="Q92" i="42"/>
  <c r="AF92" i="42"/>
  <c r="AG92" i="42" s="1"/>
  <c r="Q96" i="42"/>
  <c r="AF96" i="42"/>
  <c r="AG96" i="42" s="1"/>
  <c r="Q100" i="42"/>
  <c r="AF100" i="42"/>
  <c r="AG100" i="42" s="1"/>
  <c r="Q104" i="42"/>
  <c r="AF104" i="42"/>
  <c r="AG104" i="42" s="1"/>
  <c r="Q13" i="42"/>
  <c r="AF13" i="42"/>
  <c r="AG13" i="42" s="1"/>
  <c r="Q21" i="42"/>
  <c r="AF21" i="42"/>
  <c r="AG21" i="42" s="1"/>
  <c r="Q29" i="42"/>
  <c r="AF29" i="42"/>
  <c r="AG29" i="42" s="1"/>
  <c r="Q33" i="42"/>
  <c r="AF33" i="42"/>
  <c r="AG33" i="42" s="1"/>
  <c r="Q41" i="42"/>
  <c r="AF41" i="42"/>
  <c r="AG41" i="42" s="1"/>
  <c r="Q45" i="42"/>
  <c r="AF45" i="42"/>
  <c r="AG45" i="42" s="1"/>
  <c r="Q53" i="42"/>
  <c r="AF53" i="42"/>
  <c r="AG53" i="42" s="1"/>
  <c r="Q61" i="42"/>
  <c r="AF61" i="42"/>
  <c r="AG61" i="42" s="1"/>
  <c r="Q65" i="42"/>
  <c r="AF65" i="42"/>
  <c r="AG65" i="42" s="1"/>
  <c r="Q73" i="42"/>
  <c r="AF73" i="42"/>
  <c r="AG73" i="42" s="1"/>
  <c r="Q77" i="42"/>
  <c r="AF77" i="42"/>
  <c r="AG77" i="42" s="1"/>
  <c r="Q85" i="42"/>
  <c r="AF85" i="42"/>
  <c r="AG85" i="42" s="1"/>
  <c r="Q89" i="42"/>
  <c r="AF89" i="42"/>
  <c r="AG89" i="42" s="1"/>
  <c r="Q93" i="42"/>
  <c r="AF93" i="42"/>
  <c r="AG93" i="42" s="1"/>
  <c r="Q101" i="42"/>
  <c r="AF101" i="42"/>
  <c r="AG101" i="42" s="1"/>
  <c r="Q105" i="42"/>
  <c r="AF105" i="42"/>
  <c r="AG105" i="42" s="1"/>
  <c r="Q10" i="42"/>
  <c r="Q14" i="42"/>
  <c r="AF14" i="42"/>
  <c r="AG14" i="42" s="1"/>
  <c r="Q22" i="42"/>
  <c r="AF22" i="42"/>
  <c r="AG22" i="42" s="1"/>
  <c r="Q26" i="42"/>
  <c r="AF26" i="42"/>
  <c r="AG26" i="42" s="1"/>
  <c r="Q34" i="42"/>
  <c r="AF34" i="42"/>
  <c r="AG34" i="42" s="1"/>
  <c r="Q38" i="42"/>
  <c r="AF38" i="42"/>
  <c r="AG38" i="42" s="1"/>
  <c r="Q46" i="42"/>
  <c r="AF46" i="42"/>
  <c r="AG46" i="42" s="1"/>
  <c r="Q50" i="42"/>
  <c r="AF50" i="42"/>
  <c r="AG50" i="42" s="1"/>
  <c r="Q58" i="42"/>
  <c r="AF58" i="42"/>
  <c r="AG58" i="42" s="1"/>
  <c r="Q62" i="42"/>
  <c r="AF62" i="42"/>
  <c r="AG62" i="42" s="1"/>
  <c r="Q70" i="42"/>
  <c r="AF70" i="42"/>
  <c r="AG70" i="42" s="1"/>
  <c r="Q74" i="42"/>
  <c r="AF74" i="42"/>
  <c r="AG74" i="42" s="1"/>
  <c r="Q82" i="42"/>
  <c r="AF82" i="42"/>
  <c r="AG82" i="42" s="1"/>
  <c r="Q86" i="42"/>
  <c r="AF86" i="42"/>
  <c r="AG86" i="42" s="1"/>
  <c r="Q94" i="42"/>
  <c r="AF94" i="42"/>
  <c r="AG94" i="42" s="1"/>
  <c r="Q98" i="42"/>
  <c r="AF98" i="42"/>
  <c r="AG98" i="42" s="1"/>
  <c r="U10" i="69"/>
  <c r="AE10" i="69"/>
  <c r="Z10" i="69"/>
  <c r="T10" i="69"/>
  <c r="AC10" i="69"/>
  <c r="X10" i="69"/>
  <c r="S10" i="69"/>
  <c r="AD10" i="69"/>
  <c r="AG10" i="69" s="1"/>
  <c r="Y10" i="69"/>
  <c r="Q11" i="42"/>
  <c r="AF11" i="42"/>
  <c r="AG11" i="42" s="1"/>
  <c r="Q15" i="42"/>
  <c r="AF15" i="42"/>
  <c r="AG15" i="42" s="1"/>
  <c r="Q19" i="42"/>
  <c r="AF19" i="42"/>
  <c r="AG19" i="42" s="1"/>
  <c r="Q23" i="42"/>
  <c r="AF23" i="42"/>
  <c r="AG23" i="42" s="1"/>
  <c r="Q27" i="42"/>
  <c r="AF27" i="42"/>
  <c r="AG27" i="42" s="1"/>
  <c r="Q31" i="42"/>
  <c r="AF31" i="42"/>
  <c r="AG31" i="42" s="1"/>
  <c r="Q35" i="42"/>
  <c r="AF35" i="42"/>
  <c r="AG35" i="42" s="1"/>
  <c r="Q39" i="42"/>
  <c r="AF39" i="42"/>
  <c r="AG39" i="42" s="1"/>
  <c r="Q43" i="42"/>
  <c r="AF43" i="42"/>
  <c r="AG43" i="42" s="1"/>
  <c r="Q47" i="42"/>
  <c r="AF47" i="42"/>
  <c r="AG47" i="42" s="1"/>
  <c r="Q51" i="42"/>
  <c r="AF51" i="42"/>
  <c r="AG51" i="42" s="1"/>
  <c r="Q55" i="42"/>
  <c r="AF55" i="42"/>
  <c r="AG55" i="42" s="1"/>
  <c r="Q59" i="42"/>
  <c r="AF59" i="42"/>
  <c r="AG59" i="42" s="1"/>
  <c r="Q63" i="42"/>
  <c r="AF63" i="42"/>
  <c r="AG63" i="42" s="1"/>
  <c r="Q67" i="42"/>
  <c r="AF67" i="42"/>
  <c r="AG67" i="42" s="1"/>
  <c r="Q71" i="42"/>
  <c r="AF71" i="42"/>
  <c r="AG71" i="42" s="1"/>
  <c r="Q75" i="42"/>
  <c r="AF75" i="42"/>
  <c r="AG75" i="42" s="1"/>
  <c r="Q79" i="42"/>
  <c r="AF79" i="42"/>
  <c r="AG79" i="42" s="1"/>
  <c r="Q83" i="42"/>
  <c r="AF83" i="42"/>
  <c r="AG83" i="42" s="1"/>
  <c r="Q87" i="42"/>
  <c r="AF87" i="42"/>
  <c r="AG87" i="42" s="1"/>
  <c r="Q91" i="42"/>
  <c r="AF91" i="42"/>
  <c r="AG91" i="42" s="1"/>
  <c r="Q95" i="42"/>
  <c r="AF95" i="42"/>
  <c r="AG95" i="42" s="1"/>
  <c r="Q99" i="42"/>
  <c r="AF99" i="42"/>
  <c r="AG99" i="42" s="1"/>
  <c r="Q103" i="42"/>
  <c r="AF103" i="42"/>
  <c r="AG103" i="42" s="1"/>
  <c r="AN11" i="69"/>
  <c r="AL11" i="69"/>
  <c r="AM11" i="69"/>
  <c r="Q106" i="42"/>
  <c r="Q108" i="42"/>
  <c r="Q107" i="42"/>
  <c r="Q109" i="42"/>
  <c r="V10" i="71"/>
  <c r="Z10" i="71" s="1"/>
  <c r="V12" i="71"/>
  <c r="AN12" i="71"/>
  <c r="AO12" i="71" s="1"/>
  <c r="V14" i="71"/>
  <c r="AN14" i="71"/>
  <c r="AO14" i="71" s="1"/>
  <c r="V16" i="71"/>
  <c r="AN16" i="71"/>
  <c r="AO16" i="71" s="1"/>
  <c r="V18" i="71"/>
  <c r="AN18" i="71"/>
  <c r="AO18" i="71" s="1"/>
  <c r="V20" i="71"/>
  <c r="AN20" i="71"/>
  <c r="AO20" i="71" s="1"/>
  <c r="V22" i="71"/>
  <c r="AN22" i="71"/>
  <c r="AO22" i="71" s="1"/>
  <c r="V24" i="71"/>
  <c r="AN24" i="71"/>
  <c r="AO24" i="71" s="1"/>
  <c r="V26" i="71"/>
  <c r="AN26" i="71"/>
  <c r="AO26" i="71" s="1"/>
  <c r="V28" i="71"/>
  <c r="AN28" i="71"/>
  <c r="AO28" i="71" s="1"/>
  <c r="V30" i="71"/>
  <c r="AN30" i="71"/>
  <c r="AO30" i="71" s="1"/>
  <c r="V32" i="71"/>
  <c r="AN32" i="71"/>
  <c r="AO32" i="71" s="1"/>
  <c r="V34" i="71"/>
  <c r="AN34" i="71"/>
  <c r="AO34" i="71" s="1"/>
  <c r="V36" i="71"/>
  <c r="AN36" i="71"/>
  <c r="AO36" i="71" s="1"/>
  <c r="V38" i="71"/>
  <c r="AN38" i="71"/>
  <c r="AO38" i="71" s="1"/>
  <c r="V40" i="71"/>
  <c r="AN40" i="71"/>
  <c r="AO40" i="71" s="1"/>
  <c r="V42" i="71"/>
  <c r="AN42" i="71"/>
  <c r="AO42" i="71" s="1"/>
  <c r="V44" i="71"/>
  <c r="AN44" i="71"/>
  <c r="AO44" i="71" s="1"/>
  <c r="V46" i="71"/>
  <c r="AN46" i="71"/>
  <c r="AO46" i="71" s="1"/>
  <c r="V48" i="71"/>
  <c r="AN48" i="71"/>
  <c r="AO48" i="71" s="1"/>
  <c r="V50" i="71"/>
  <c r="AN50" i="71"/>
  <c r="AO50" i="71" s="1"/>
  <c r="V52" i="71"/>
  <c r="AN52" i="71"/>
  <c r="AO52" i="71" s="1"/>
  <c r="V54" i="71"/>
  <c r="AN54" i="71"/>
  <c r="AO54" i="71" s="1"/>
  <c r="V56" i="71"/>
  <c r="AN56" i="71"/>
  <c r="AO56" i="71" s="1"/>
  <c r="V58" i="71"/>
  <c r="AN58" i="71"/>
  <c r="AO58" i="71" s="1"/>
  <c r="V60" i="71"/>
  <c r="AN60" i="71"/>
  <c r="AO60" i="71" s="1"/>
  <c r="V62" i="71"/>
  <c r="AN62" i="71"/>
  <c r="AO62" i="71" s="1"/>
  <c r="V64" i="71"/>
  <c r="AN64" i="71"/>
  <c r="AO64" i="71" s="1"/>
  <c r="V66" i="71"/>
  <c r="AN66" i="71"/>
  <c r="AO66" i="71" s="1"/>
  <c r="V68" i="71"/>
  <c r="AN68" i="71"/>
  <c r="AO68" i="71" s="1"/>
  <c r="V70" i="71"/>
  <c r="AN70" i="71"/>
  <c r="AO70" i="71" s="1"/>
  <c r="V72" i="71"/>
  <c r="AN72" i="71"/>
  <c r="AO72" i="71" s="1"/>
  <c r="V74" i="71"/>
  <c r="AN74" i="71"/>
  <c r="AO74" i="71" s="1"/>
  <c r="V76" i="71"/>
  <c r="AN76" i="71"/>
  <c r="AO76" i="71" s="1"/>
  <c r="V78" i="71"/>
  <c r="AN78" i="71"/>
  <c r="AO78" i="71" s="1"/>
  <c r="V80" i="71"/>
  <c r="AN80" i="71"/>
  <c r="AO80" i="71" s="1"/>
  <c r="V82" i="71"/>
  <c r="AN82" i="71"/>
  <c r="AO82" i="71" s="1"/>
  <c r="V84" i="71"/>
  <c r="AN84" i="71"/>
  <c r="AO84" i="71" s="1"/>
  <c r="V86" i="71"/>
  <c r="AN86" i="71"/>
  <c r="AO86" i="71" s="1"/>
  <c r="V88" i="71"/>
  <c r="AN88" i="71"/>
  <c r="AO88" i="71" s="1"/>
  <c r="V90" i="71"/>
  <c r="AN90" i="71"/>
  <c r="AO90" i="71" s="1"/>
  <c r="V92" i="71"/>
  <c r="AN92" i="71"/>
  <c r="AO92" i="71" s="1"/>
  <c r="V94" i="71"/>
  <c r="AN94" i="71"/>
  <c r="AO94" i="71" s="1"/>
  <c r="V96" i="71"/>
  <c r="AN96" i="71"/>
  <c r="AO96" i="71" s="1"/>
  <c r="V98" i="71"/>
  <c r="AN98" i="71"/>
  <c r="AO98" i="71" s="1"/>
  <c r="V100" i="71"/>
  <c r="AN100" i="71"/>
  <c r="AO100" i="71" s="1"/>
  <c r="V102" i="71"/>
  <c r="AN102" i="71"/>
  <c r="AO102" i="71" s="1"/>
  <c r="V104" i="71"/>
  <c r="AN104" i="71"/>
  <c r="AO104" i="71" s="1"/>
  <c r="V106" i="71"/>
  <c r="AN106" i="71"/>
  <c r="AO106" i="71" s="1"/>
  <c r="V108" i="71"/>
  <c r="AN108" i="71"/>
  <c r="AO108" i="71" s="1"/>
  <c r="V11" i="71"/>
  <c r="AN11" i="71"/>
  <c r="AO11" i="71" s="1"/>
  <c r="V13" i="71"/>
  <c r="AN13" i="71"/>
  <c r="AO13" i="71" s="1"/>
  <c r="V15" i="71"/>
  <c r="AN15" i="71"/>
  <c r="AO15" i="71" s="1"/>
  <c r="V17" i="71"/>
  <c r="AN17" i="71"/>
  <c r="AO17" i="71" s="1"/>
  <c r="V19" i="71"/>
  <c r="AN19" i="71"/>
  <c r="AO19" i="71" s="1"/>
  <c r="V21" i="71"/>
  <c r="AN21" i="71"/>
  <c r="AO21" i="71" s="1"/>
  <c r="V23" i="71"/>
  <c r="AN23" i="71"/>
  <c r="AO23" i="71" s="1"/>
  <c r="V25" i="71"/>
  <c r="AN25" i="71"/>
  <c r="AO25" i="71" s="1"/>
  <c r="V27" i="71"/>
  <c r="AN27" i="71"/>
  <c r="AO27" i="71" s="1"/>
  <c r="V29" i="71"/>
  <c r="AN29" i="71"/>
  <c r="AO29" i="71" s="1"/>
  <c r="V31" i="71"/>
  <c r="AN31" i="71"/>
  <c r="AO31" i="71" s="1"/>
  <c r="V33" i="71"/>
  <c r="AN33" i="71"/>
  <c r="AO33" i="71" s="1"/>
  <c r="V35" i="71"/>
  <c r="AN35" i="71"/>
  <c r="AO35" i="71" s="1"/>
  <c r="V37" i="71"/>
  <c r="AN37" i="71"/>
  <c r="AO37" i="71" s="1"/>
  <c r="V39" i="71"/>
  <c r="AN39" i="71"/>
  <c r="AO39" i="71" s="1"/>
  <c r="V41" i="71"/>
  <c r="AN41" i="71"/>
  <c r="AO41" i="71" s="1"/>
  <c r="V43" i="71"/>
  <c r="AN43" i="71"/>
  <c r="AO43" i="71" s="1"/>
  <c r="V45" i="71"/>
  <c r="AN45" i="71"/>
  <c r="AO45" i="71" s="1"/>
  <c r="V47" i="71"/>
  <c r="AN47" i="71"/>
  <c r="AO47" i="71" s="1"/>
  <c r="V49" i="71"/>
  <c r="AN49" i="71"/>
  <c r="AO49" i="71" s="1"/>
  <c r="V51" i="71"/>
  <c r="AN51" i="71"/>
  <c r="AO51" i="71" s="1"/>
  <c r="V53" i="71"/>
  <c r="AN53" i="71"/>
  <c r="AO53" i="71" s="1"/>
  <c r="V55" i="71"/>
  <c r="AN55" i="71"/>
  <c r="AO55" i="71" s="1"/>
  <c r="V57" i="71"/>
  <c r="AN57" i="71"/>
  <c r="AO57" i="71" s="1"/>
  <c r="V59" i="71"/>
  <c r="AN59" i="71"/>
  <c r="AO59" i="71" s="1"/>
  <c r="V61" i="71"/>
  <c r="AN61" i="71"/>
  <c r="AO61" i="71" s="1"/>
  <c r="V63" i="71"/>
  <c r="AN63" i="71"/>
  <c r="AO63" i="71" s="1"/>
  <c r="V65" i="71"/>
  <c r="AN65" i="71"/>
  <c r="AO65" i="71" s="1"/>
  <c r="V67" i="71"/>
  <c r="AN67" i="71"/>
  <c r="AO67" i="71" s="1"/>
  <c r="V69" i="71"/>
  <c r="AN69" i="71"/>
  <c r="AO69" i="71" s="1"/>
  <c r="V71" i="71"/>
  <c r="AN71" i="71"/>
  <c r="AO71" i="71" s="1"/>
  <c r="V73" i="71"/>
  <c r="AN73" i="71"/>
  <c r="AO73" i="71" s="1"/>
  <c r="V75" i="71"/>
  <c r="AN75" i="71"/>
  <c r="AO75" i="71" s="1"/>
  <c r="V77" i="71"/>
  <c r="AN77" i="71"/>
  <c r="AO77" i="71" s="1"/>
  <c r="V79" i="71"/>
  <c r="AN79" i="71"/>
  <c r="AO79" i="71" s="1"/>
  <c r="V81" i="71"/>
  <c r="AN81" i="71"/>
  <c r="AO81" i="71" s="1"/>
  <c r="V83" i="71"/>
  <c r="AN83" i="71"/>
  <c r="AO83" i="71" s="1"/>
  <c r="V85" i="71"/>
  <c r="AN85" i="71"/>
  <c r="AO85" i="71" s="1"/>
  <c r="V87" i="71"/>
  <c r="AN87" i="71"/>
  <c r="AO87" i="71" s="1"/>
  <c r="V89" i="71"/>
  <c r="AN89" i="71"/>
  <c r="AO89" i="71" s="1"/>
  <c r="V91" i="71"/>
  <c r="AN91" i="71"/>
  <c r="AO91" i="71" s="1"/>
  <c r="V93" i="71"/>
  <c r="AN93" i="71"/>
  <c r="AO93" i="71" s="1"/>
  <c r="V95" i="71"/>
  <c r="AN95" i="71"/>
  <c r="AO95" i="71" s="1"/>
  <c r="V97" i="71"/>
  <c r="AN97" i="71"/>
  <c r="AO97" i="71" s="1"/>
  <c r="V99" i="71"/>
  <c r="AN99" i="71"/>
  <c r="AO99" i="71" s="1"/>
  <c r="V101" i="71"/>
  <c r="AN101" i="71"/>
  <c r="AO101" i="71" s="1"/>
  <c r="V103" i="71"/>
  <c r="AN103" i="71"/>
  <c r="AO103" i="71" s="1"/>
  <c r="V105" i="71"/>
  <c r="AN105" i="71"/>
  <c r="AO105" i="71" s="1"/>
  <c r="V107" i="71"/>
  <c r="AN107" i="71"/>
  <c r="AO107" i="71" s="1"/>
  <c r="V109" i="71"/>
  <c r="AN109" i="71"/>
  <c r="AO109" i="71" s="1"/>
  <c r="S10" i="1"/>
  <c r="S12" i="1"/>
  <c r="AL12" i="1"/>
  <c r="AM12" i="1" s="1"/>
  <c r="S14" i="1"/>
  <c r="AL14" i="1"/>
  <c r="AM14" i="1" s="1"/>
  <c r="S16" i="1"/>
  <c r="AL16" i="1"/>
  <c r="AM16" i="1" s="1"/>
  <c r="S18" i="1"/>
  <c r="AL18" i="1"/>
  <c r="AM18" i="1" s="1"/>
  <c r="S20" i="1"/>
  <c r="AL20" i="1"/>
  <c r="AM20" i="1" s="1"/>
  <c r="S22" i="1"/>
  <c r="AL22" i="1"/>
  <c r="AM22" i="1" s="1"/>
  <c r="S24" i="1"/>
  <c r="AL24" i="1"/>
  <c r="AM24" i="1" s="1"/>
  <c r="S26" i="1"/>
  <c r="AL26" i="1"/>
  <c r="AM26" i="1" s="1"/>
  <c r="S28" i="1"/>
  <c r="AL28" i="1"/>
  <c r="AM28" i="1" s="1"/>
  <c r="S30" i="1"/>
  <c r="AL30" i="1"/>
  <c r="AM30" i="1" s="1"/>
  <c r="S32" i="1"/>
  <c r="AL32" i="1"/>
  <c r="AM32" i="1" s="1"/>
  <c r="S34" i="1"/>
  <c r="AL34" i="1"/>
  <c r="AM34" i="1" s="1"/>
  <c r="S36" i="1"/>
  <c r="AL36" i="1"/>
  <c r="AM36" i="1" s="1"/>
  <c r="S38" i="1"/>
  <c r="AL38" i="1"/>
  <c r="AM38" i="1" s="1"/>
  <c r="S40" i="1"/>
  <c r="AL40" i="1"/>
  <c r="AM40" i="1" s="1"/>
  <c r="S42" i="1"/>
  <c r="AL42" i="1"/>
  <c r="AM42" i="1" s="1"/>
  <c r="S44" i="1"/>
  <c r="AL44" i="1"/>
  <c r="AM44" i="1" s="1"/>
  <c r="S46" i="1"/>
  <c r="AL46" i="1"/>
  <c r="AM46" i="1" s="1"/>
  <c r="S48" i="1"/>
  <c r="AL48" i="1"/>
  <c r="AM48" i="1" s="1"/>
  <c r="S50" i="1"/>
  <c r="AL50" i="1"/>
  <c r="AM50" i="1" s="1"/>
  <c r="S52" i="1"/>
  <c r="AL52" i="1"/>
  <c r="AM52" i="1" s="1"/>
  <c r="S54" i="1"/>
  <c r="AL54" i="1"/>
  <c r="AM54" i="1" s="1"/>
  <c r="S56" i="1"/>
  <c r="AL56" i="1"/>
  <c r="AM56" i="1" s="1"/>
  <c r="S58" i="1"/>
  <c r="AL58" i="1"/>
  <c r="AM58" i="1" s="1"/>
  <c r="S60" i="1"/>
  <c r="AL60" i="1"/>
  <c r="AM60" i="1" s="1"/>
  <c r="S62" i="1"/>
  <c r="AL62" i="1"/>
  <c r="AM62" i="1" s="1"/>
  <c r="S64" i="1"/>
  <c r="AL64" i="1"/>
  <c r="AM64" i="1" s="1"/>
  <c r="S66" i="1"/>
  <c r="AL66" i="1"/>
  <c r="AM66" i="1" s="1"/>
  <c r="S68" i="1"/>
  <c r="AL68" i="1"/>
  <c r="AM68" i="1" s="1"/>
  <c r="S70" i="1"/>
  <c r="AL70" i="1"/>
  <c r="AM70" i="1" s="1"/>
  <c r="S72" i="1"/>
  <c r="AL72" i="1"/>
  <c r="AM72" i="1" s="1"/>
  <c r="S74" i="1"/>
  <c r="AL74" i="1"/>
  <c r="AM74" i="1" s="1"/>
  <c r="S76" i="1"/>
  <c r="AL76" i="1"/>
  <c r="AM76" i="1" s="1"/>
  <c r="S78" i="1"/>
  <c r="AL78" i="1"/>
  <c r="AM78" i="1" s="1"/>
  <c r="S80" i="1"/>
  <c r="AL80" i="1"/>
  <c r="AM80" i="1" s="1"/>
  <c r="S82" i="1"/>
  <c r="AL82" i="1"/>
  <c r="AM82" i="1" s="1"/>
  <c r="S84" i="1"/>
  <c r="AL84" i="1"/>
  <c r="AM84" i="1" s="1"/>
  <c r="S86" i="1"/>
  <c r="AL86" i="1"/>
  <c r="AM86" i="1" s="1"/>
  <c r="S88" i="1"/>
  <c r="AL88" i="1"/>
  <c r="AM88" i="1" s="1"/>
  <c r="S90" i="1"/>
  <c r="AL90" i="1"/>
  <c r="AM90" i="1" s="1"/>
  <c r="S92" i="1"/>
  <c r="AL92" i="1"/>
  <c r="AM92" i="1" s="1"/>
  <c r="S94" i="1"/>
  <c r="AL94" i="1"/>
  <c r="AM94" i="1" s="1"/>
  <c r="S96" i="1"/>
  <c r="AL96" i="1"/>
  <c r="AM96" i="1" s="1"/>
  <c r="S98" i="1"/>
  <c r="AL98" i="1"/>
  <c r="AM98" i="1" s="1"/>
  <c r="S100" i="1"/>
  <c r="AL100" i="1"/>
  <c r="AM100" i="1" s="1"/>
  <c r="S102" i="1"/>
  <c r="AL102" i="1"/>
  <c r="AM102" i="1" s="1"/>
  <c r="S104" i="1"/>
  <c r="AL104" i="1"/>
  <c r="AM104" i="1" s="1"/>
  <c r="S106" i="1"/>
  <c r="AL106" i="1"/>
  <c r="AM106" i="1" s="1"/>
  <c r="S11" i="1"/>
  <c r="AL11" i="1"/>
  <c r="AM11" i="1" s="1"/>
  <c r="S13" i="1"/>
  <c r="AL13" i="1"/>
  <c r="AM13" i="1" s="1"/>
  <c r="S15" i="1"/>
  <c r="AL15" i="1"/>
  <c r="AM15" i="1" s="1"/>
  <c r="S17" i="1"/>
  <c r="AL17" i="1"/>
  <c r="AM17" i="1" s="1"/>
  <c r="S19" i="1"/>
  <c r="AL19" i="1"/>
  <c r="AM19" i="1" s="1"/>
  <c r="S21" i="1"/>
  <c r="AL21" i="1"/>
  <c r="AM21" i="1" s="1"/>
  <c r="S23" i="1"/>
  <c r="AL23" i="1"/>
  <c r="AM23" i="1" s="1"/>
  <c r="S25" i="1"/>
  <c r="AL25" i="1"/>
  <c r="AM25" i="1" s="1"/>
  <c r="S27" i="1"/>
  <c r="AL27" i="1"/>
  <c r="AM27" i="1" s="1"/>
  <c r="S29" i="1"/>
  <c r="AL29" i="1"/>
  <c r="AM29" i="1" s="1"/>
  <c r="S31" i="1"/>
  <c r="AL31" i="1"/>
  <c r="AM31" i="1" s="1"/>
  <c r="S33" i="1"/>
  <c r="AL33" i="1"/>
  <c r="AM33" i="1" s="1"/>
  <c r="S35" i="1"/>
  <c r="AL35" i="1"/>
  <c r="AM35" i="1" s="1"/>
  <c r="S37" i="1"/>
  <c r="AL37" i="1"/>
  <c r="AM37" i="1" s="1"/>
  <c r="S39" i="1"/>
  <c r="AL39" i="1"/>
  <c r="AM39" i="1" s="1"/>
  <c r="S41" i="1"/>
  <c r="AL41" i="1"/>
  <c r="AM41" i="1" s="1"/>
  <c r="S43" i="1"/>
  <c r="AL43" i="1"/>
  <c r="AM43" i="1" s="1"/>
  <c r="S45" i="1"/>
  <c r="AL45" i="1"/>
  <c r="AM45" i="1" s="1"/>
  <c r="S47" i="1"/>
  <c r="AL47" i="1"/>
  <c r="AM47" i="1" s="1"/>
  <c r="S49" i="1"/>
  <c r="AL49" i="1"/>
  <c r="AM49" i="1" s="1"/>
  <c r="S51" i="1"/>
  <c r="AL51" i="1"/>
  <c r="AM51" i="1" s="1"/>
  <c r="S53" i="1"/>
  <c r="AL53" i="1"/>
  <c r="AM53" i="1" s="1"/>
  <c r="S55" i="1"/>
  <c r="AL55" i="1"/>
  <c r="AM55" i="1" s="1"/>
  <c r="S57" i="1"/>
  <c r="AL57" i="1"/>
  <c r="AM57" i="1" s="1"/>
  <c r="S59" i="1"/>
  <c r="AL59" i="1"/>
  <c r="AM59" i="1" s="1"/>
  <c r="S61" i="1"/>
  <c r="AL61" i="1"/>
  <c r="AM61" i="1" s="1"/>
  <c r="S63" i="1"/>
  <c r="AL63" i="1"/>
  <c r="AM63" i="1" s="1"/>
  <c r="S65" i="1"/>
  <c r="AL65" i="1"/>
  <c r="AM65" i="1" s="1"/>
  <c r="S67" i="1"/>
  <c r="AL67" i="1"/>
  <c r="AM67" i="1" s="1"/>
  <c r="S69" i="1"/>
  <c r="AL69" i="1"/>
  <c r="AM69" i="1" s="1"/>
  <c r="S71" i="1"/>
  <c r="AL71" i="1"/>
  <c r="AM71" i="1" s="1"/>
  <c r="S73" i="1"/>
  <c r="AL73" i="1"/>
  <c r="AM73" i="1" s="1"/>
  <c r="S75" i="1"/>
  <c r="AL75" i="1"/>
  <c r="AM75" i="1" s="1"/>
  <c r="S77" i="1"/>
  <c r="AL77" i="1"/>
  <c r="AM77" i="1" s="1"/>
  <c r="S79" i="1"/>
  <c r="AL79" i="1"/>
  <c r="AM79" i="1" s="1"/>
  <c r="S81" i="1"/>
  <c r="AL81" i="1"/>
  <c r="AM81" i="1" s="1"/>
  <c r="S83" i="1"/>
  <c r="AL83" i="1"/>
  <c r="AM83" i="1" s="1"/>
  <c r="S85" i="1"/>
  <c r="AL85" i="1"/>
  <c r="AM85" i="1" s="1"/>
  <c r="S87" i="1"/>
  <c r="AL87" i="1"/>
  <c r="AM87" i="1" s="1"/>
  <c r="S89" i="1"/>
  <c r="AL89" i="1"/>
  <c r="AM89" i="1" s="1"/>
  <c r="S91" i="1"/>
  <c r="AL91" i="1"/>
  <c r="AM91" i="1" s="1"/>
  <c r="S93" i="1"/>
  <c r="AL93" i="1"/>
  <c r="AM93" i="1" s="1"/>
  <c r="S95" i="1"/>
  <c r="AL95" i="1"/>
  <c r="AM95" i="1" s="1"/>
  <c r="S97" i="1"/>
  <c r="AL97" i="1"/>
  <c r="AM97" i="1" s="1"/>
  <c r="S99" i="1"/>
  <c r="AL99" i="1"/>
  <c r="AM99" i="1" s="1"/>
  <c r="S101" i="1"/>
  <c r="AL101" i="1"/>
  <c r="AM101" i="1" s="1"/>
  <c r="S103" i="1"/>
  <c r="AL103" i="1"/>
  <c r="AM103" i="1" s="1"/>
  <c r="S105" i="1"/>
  <c r="AL105" i="1"/>
  <c r="AM105" i="1" s="1"/>
  <c r="S107" i="1"/>
  <c r="AL107" i="1"/>
  <c r="AM107" i="1" s="1"/>
  <c r="S16" i="70"/>
  <c r="S24" i="70"/>
  <c r="S32" i="70"/>
  <c r="S40" i="70"/>
  <c r="S48" i="70"/>
  <c r="S56" i="70"/>
  <c r="S64" i="70"/>
  <c r="S72" i="70"/>
  <c r="S80" i="70"/>
  <c r="S88" i="70"/>
  <c r="S96" i="70"/>
  <c r="S104" i="70"/>
  <c r="S17" i="70"/>
  <c r="S25" i="70"/>
  <c r="S33" i="70"/>
  <c r="S41" i="70"/>
  <c r="S49" i="70"/>
  <c r="S57" i="70"/>
  <c r="S65" i="70"/>
  <c r="S73" i="70"/>
  <c r="S81" i="70"/>
  <c r="S89" i="70"/>
  <c r="S97" i="70"/>
  <c r="S105" i="70"/>
  <c r="S10" i="70"/>
  <c r="S14" i="70"/>
  <c r="S18" i="70"/>
  <c r="S22" i="70"/>
  <c r="S26" i="70"/>
  <c r="S30" i="70"/>
  <c r="S34" i="70"/>
  <c r="S38" i="70"/>
  <c r="S42" i="70"/>
  <c r="S46" i="70"/>
  <c r="S50" i="70"/>
  <c r="S54" i="70"/>
  <c r="S58" i="70"/>
  <c r="S62" i="70"/>
  <c r="S66" i="70"/>
  <c r="S70" i="70"/>
  <c r="S74" i="70"/>
  <c r="S78" i="70"/>
  <c r="S82" i="70"/>
  <c r="S86" i="70"/>
  <c r="S90" i="70"/>
  <c r="S94" i="70"/>
  <c r="S98" i="70"/>
  <c r="S102" i="70"/>
  <c r="S106" i="70"/>
  <c r="S12" i="70"/>
  <c r="S20" i="70"/>
  <c r="S28" i="70"/>
  <c r="S36" i="70"/>
  <c r="S44" i="70"/>
  <c r="S52" i="70"/>
  <c r="S60" i="70"/>
  <c r="S68" i="70"/>
  <c r="S76" i="70"/>
  <c r="S84" i="70"/>
  <c r="S92" i="70"/>
  <c r="S100" i="70"/>
  <c r="S13" i="70"/>
  <c r="S21" i="70"/>
  <c r="S29" i="70"/>
  <c r="S37" i="70"/>
  <c r="S45" i="70"/>
  <c r="S53" i="70"/>
  <c r="S61" i="70"/>
  <c r="S69" i="70"/>
  <c r="S77" i="70"/>
  <c r="S85" i="70"/>
  <c r="S93" i="70"/>
  <c r="S101" i="70"/>
  <c r="S11" i="70"/>
  <c r="S15" i="70"/>
  <c r="S19" i="70"/>
  <c r="S23" i="70"/>
  <c r="S27" i="70"/>
  <c r="S31" i="70"/>
  <c r="S35" i="70"/>
  <c r="S39" i="70"/>
  <c r="S43" i="70"/>
  <c r="S47" i="70"/>
  <c r="S51" i="70"/>
  <c r="S55" i="70"/>
  <c r="S59" i="70"/>
  <c r="S63" i="70"/>
  <c r="S67" i="70"/>
  <c r="S71" i="70"/>
  <c r="S75" i="70"/>
  <c r="S79" i="70"/>
  <c r="S83" i="70"/>
  <c r="S87" i="70"/>
  <c r="S91" i="70"/>
  <c r="S95" i="70"/>
  <c r="S99" i="70"/>
  <c r="S103" i="70"/>
  <c r="S107" i="70"/>
  <c r="AB10" i="69"/>
  <c r="W63" i="70" l="1"/>
  <c r="AE63" i="70" s="1"/>
  <c r="U63" i="70"/>
  <c r="Y63" i="70"/>
  <c r="AB63" i="70"/>
  <c r="AD63" i="70" s="1"/>
  <c r="V63" i="70"/>
  <c r="Z63" i="70"/>
  <c r="AC63" i="70"/>
  <c r="W85" i="70"/>
  <c r="AE85" i="70" s="1"/>
  <c r="V85" i="70"/>
  <c r="Z85" i="70"/>
  <c r="AC85" i="70"/>
  <c r="U85" i="70"/>
  <c r="Y85" i="70"/>
  <c r="AB85" i="70"/>
  <c r="W52" i="70"/>
  <c r="AE52" i="70" s="1"/>
  <c r="U52" i="70"/>
  <c r="AB52" i="70"/>
  <c r="V52" i="70"/>
  <c r="AC52" i="70"/>
  <c r="Y52" i="70"/>
  <c r="AA52" i="70" s="1"/>
  <c r="Z52" i="70"/>
  <c r="W66" i="70"/>
  <c r="AE66" i="70" s="1"/>
  <c r="V66" i="70"/>
  <c r="AC66" i="70"/>
  <c r="Y66" i="70"/>
  <c r="Z66" i="70"/>
  <c r="U66" i="70"/>
  <c r="AB66" i="70"/>
  <c r="AD66" i="70" s="1"/>
  <c r="W97" i="70"/>
  <c r="AE97" i="70" s="1"/>
  <c r="V97" i="70"/>
  <c r="Z97" i="70"/>
  <c r="AC97" i="70"/>
  <c r="U97" i="70"/>
  <c r="Y97" i="70"/>
  <c r="AB97" i="70"/>
  <c r="W64" i="70"/>
  <c r="AE64" i="70" s="1"/>
  <c r="Y64" i="70"/>
  <c r="Z64" i="70"/>
  <c r="U64" i="70"/>
  <c r="AB64" i="70"/>
  <c r="V64" i="70"/>
  <c r="AC64" i="70"/>
  <c r="AB99" i="1"/>
  <c r="AC99" i="1" s="1"/>
  <c r="AG99" i="1"/>
  <c r="AH99" i="1" s="1"/>
  <c r="W99" i="1"/>
  <c r="X99" i="1" s="1"/>
  <c r="U99" i="1"/>
  <c r="V99" i="1"/>
  <c r="AA99" i="1"/>
  <c r="AD99" i="1" s="1"/>
  <c r="AO99" i="1" s="1"/>
  <c r="Z99" i="1"/>
  <c r="AE99" i="1"/>
  <c r="AF99" i="1"/>
  <c r="AG87" i="1"/>
  <c r="AH87" i="1" s="1"/>
  <c r="W87" i="1"/>
  <c r="X87" i="1" s="1"/>
  <c r="AB87" i="1"/>
  <c r="AC87" i="1" s="1"/>
  <c r="U87" i="1"/>
  <c r="V87" i="1"/>
  <c r="Y87" i="1" s="1"/>
  <c r="AA87" i="1"/>
  <c r="Z87" i="1"/>
  <c r="AE87" i="1"/>
  <c r="AF87" i="1"/>
  <c r="AG71" i="1"/>
  <c r="AH71" i="1" s="1"/>
  <c r="W71" i="1"/>
  <c r="X71" i="1" s="1"/>
  <c r="AB71" i="1"/>
  <c r="AC71" i="1" s="1"/>
  <c r="U71" i="1"/>
  <c r="Y71" i="1" s="1"/>
  <c r="V71" i="1"/>
  <c r="AA71" i="1"/>
  <c r="Z71" i="1"/>
  <c r="AE71" i="1"/>
  <c r="AF71" i="1"/>
  <c r="AG55" i="1"/>
  <c r="AH55" i="1" s="1"/>
  <c r="W55" i="1"/>
  <c r="X55" i="1" s="1"/>
  <c r="AB55" i="1"/>
  <c r="AC55" i="1" s="1"/>
  <c r="U55" i="1"/>
  <c r="V55" i="1"/>
  <c r="AA55" i="1"/>
  <c r="Z55" i="1"/>
  <c r="AD55" i="1" s="1"/>
  <c r="AO55" i="1" s="1"/>
  <c r="AE55" i="1"/>
  <c r="AF55" i="1"/>
  <c r="AG43" i="1"/>
  <c r="AH43" i="1" s="1"/>
  <c r="W43" i="1"/>
  <c r="X43" i="1" s="1"/>
  <c r="AB43" i="1"/>
  <c r="AC43" i="1" s="1"/>
  <c r="U43" i="1"/>
  <c r="V43" i="1"/>
  <c r="AA43" i="1"/>
  <c r="Z43" i="1"/>
  <c r="AE43" i="1"/>
  <c r="AF43" i="1"/>
  <c r="AG31" i="1"/>
  <c r="AH31" i="1" s="1"/>
  <c r="W31" i="1"/>
  <c r="X31" i="1" s="1"/>
  <c r="AB31" i="1"/>
  <c r="AC31" i="1" s="1"/>
  <c r="U31" i="1"/>
  <c r="V31" i="1"/>
  <c r="T31" i="1" s="1"/>
  <c r="AQ31" i="1" s="1"/>
  <c r="AA31" i="1"/>
  <c r="AE31" i="1"/>
  <c r="AF31" i="1"/>
  <c r="Z31" i="1"/>
  <c r="AD31" i="1" s="1"/>
  <c r="AG15" i="1"/>
  <c r="AH15" i="1" s="1"/>
  <c r="W15" i="1"/>
  <c r="X15" i="1" s="1"/>
  <c r="AB15" i="1"/>
  <c r="AC15" i="1" s="1"/>
  <c r="U15" i="1"/>
  <c r="Y15" i="1" s="1"/>
  <c r="V15" i="1"/>
  <c r="AA15" i="1"/>
  <c r="AE15" i="1"/>
  <c r="Z15" i="1"/>
  <c r="AD15" i="1" s="1"/>
  <c r="AO15" i="1" s="1"/>
  <c r="AF15" i="1"/>
  <c r="AB96" i="1"/>
  <c r="AC96" i="1" s="1"/>
  <c r="AG96" i="1"/>
  <c r="AH96" i="1" s="1"/>
  <c r="W96" i="1"/>
  <c r="X96" i="1" s="1"/>
  <c r="U96" i="1"/>
  <c r="AA96" i="1"/>
  <c r="V96" i="1"/>
  <c r="Z96" i="1"/>
  <c r="AD96" i="1" s="1"/>
  <c r="AO96" i="1" s="1"/>
  <c r="AE96" i="1"/>
  <c r="AF96" i="1"/>
  <c r="W76" i="1"/>
  <c r="X76" i="1" s="1"/>
  <c r="AG76" i="1"/>
  <c r="AH76" i="1" s="1"/>
  <c r="AB76" i="1"/>
  <c r="AC76" i="1" s="1"/>
  <c r="V76" i="1"/>
  <c r="AA76" i="1"/>
  <c r="U76" i="1"/>
  <c r="Z76" i="1"/>
  <c r="AE76" i="1"/>
  <c r="AF76" i="1"/>
  <c r="W60" i="1"/>
  <c r="X60" i="1" s="1"/>
  <c r="AG60" i="1"/>
  <c r="AH60" i="1" s="1"/>
  <c r="AB60" i="1"/>
  <c r="AC60" i="1" s="1"/>
  <c r="V60" i="1"/>
  <c r="AA60" i="1"/>
  <c r="AD60" i="1" s="1"/>
  <c r="AO60" i="1" s="1"/>
  <c r="Z60" i="1"/>
  <c r="AE60" i="1"/>
  <c r="U60" i="1"/>
  <c r="AF60" i="1"/>
  <c r="AI60" i="1" s="1"/>
  <c r="AP60" i="1" s="1"/>
  <c r="AG48" i="1"/>
  <c r="AH48" i="1" s="1"/>
  <c r="AB48" i="1"/>
  <c r="AC48" i="1" s="1"/>
  <c r="W48" i="1"/>
  <c r="X48" i="1" s="1"/>
  <c r="Z48" i="1"/>
  <c r="AD48" i="1" s="1"/>
  <c r="AO48" i="1" s="1"/>
  <c r="U48" i="1"/>
  <c r="AA48" i="1"/>
  <c r="V48" i="1"/>
  <c r="AE48" i="1"/>
  <c r="AF48" i="1"/>
  <c r="AG32" i="1"/>
  <c r="AH32" i="1" s="1"/>
  <c r="AB32" i="1"/>
  <c r="AC32" i="1" s="1"/>
  <c r="W32" i="1"/>
  <c r="X32" i="1" s="1"/>
  <c r="Z32" i="1"/>
  <c r="U32" i="1"/>
  <c r="AA32" i="1"/>
  <c r="V32" i="1"/>
  <c r="AE32" i="1"/>
  <c r="AF32" i="1"/>
  <c r="AG16" i="1"/>
  <c r="AH16" i="1" s="1"/>
  <c r="AB16" i="1"/>
  <c r="AC16" i="1" s="1"/>
  <c r="W16" i="1"/>
  <c r="X16" i="1" s="1"/>
  <c r="Z16" i="1"/>
  <c r="U16" i="1"/>
  <c r="AA16" i="1"/>
  <c r="AD16" i="1" s="1"/>
  <c r="AO16" i="1" s="1"/>
  <c r="V16" i="1"/>
  <c r="AE16" i="1"/>
  <c r="AF16" i="1"/>
  <c r="W47" i="70"/>
  <c r="AE47" i="70" s="1"/>
  <c r="U47" i="70"/>
  <c r="Y47" i="70"/>
  <c r="AB47" i="70"/>
  <c r="V47" i="70"/>
  <c r="Z47" i="70"/>
  <c r="AC47" i="70"/>
  <c r="W53" i="70"/>
  <c r="AE53" i="70" s="1"/>
  <c r="V53" i="70"/>
  <c r="Z53" i="70"/>
  <c r="AC53" i="70"/>
  <c r="U53" i="70"/>
  <c r="Y53" i="70"/>
  <c r="AA53" i="70" s="1"/>
  <c r="AB53" i="70"/>
  <c r="W98" i="70"/>
  <c r="AE98" i="70" s="1"/>
  <c r="V98" i="70"/>
  <c r="AC98" i="70"/>
  <c r="Y98" i="70"/>
  <c r="Z98" i="70"/>
  <c r="U98" i="70"/>
  <c r="AB98" i="70"/>
  <c r="W34" i="70"/>
  <c r="AE34" i="70" s="1"/>
  <c r="V34" i="70"/>
  <c r="AC34" i="70"/>
  <c r="Y34" i="70"/>
  <c r="Z34" i="70"/>
  <c r="U34" i="70"/>
  <c r="AB34" i="70"/>
  <c r="W33" i="70"/>
  <c r="AE33" i="70" s="1"/>
  <c r="V33" i="70"/>
  <c r="Z33" i="70"/>
  <c r="AC33" i="70"/>
  <c r="U33" i="70"/>
  <c r="Y33" i="70"/>
  <c r="AB33" i="70"/>
  <c r="AB107" i="1"/>
  <c r="AC107" i="1" s="1"/>
  <c r="AG107" i="1"/>
  <c r="AH107" i="1" s="1"/>
  <c r="W107" i="1"/>
  <c r="X107" i="1" s="1"/>
  <c r="U107" i="1"/>
  <c r="V107" i="1"/>
  <c r="AA107" i="1"/>
  <c r="Z107" i="1"/>
  <c r="AE107" i="1"/>
  <c r="AF107" i="1"/>
  <c r="AG91" i="1"/>
  <c r="AH91" i="1" s="1"/>
  <c r="W91" i="1"/>
  <c r="X91" i="1" s="1"/>
  <c r="AB91" i="1"/>
  <c r="AC91" i="1" s="1"/>
  <c r="U91" i="1"/>
  <c r="V91" i="1"/>
  <c r="T91" i="1" s="1"/>
  <c r="AQ91" i="1" s="1"/>
  <c r="AA91" i="1"/>
  <c r="Z91" i="1"/>
  <c r="AE91" i="1"/>
  <c r="AF91" i="1"/>
  <c r="AI91" i="1" s="1"/>
  <c r="AG79" i="1"/>
  <c r="AH79" i="1" s="1"/>
  <c r="W79" i="1"/>
  <c r="X79" i="1" s="1"/>
  <c r="AB79" i="1"/>
  <c r="AC79" i="1" s="1"/>
  <c r="U79" i="1"/>
  <c r="Y79" i="1" s="1"/>
  <c r="V79" i="1"/>
  <c r="AA79" i="1"/>
  <c r="Z79" i="1"/>
  <c r="AE79" i="1"/>
  <c r="AF79" i="1"/>
  <c r="AG63" i="1"/>
  <c r="AH63" i="1" s="1"/>
  <c r="W63" i="1"/>
  <c r="X63" i="1" s="1"/>
  <c r="AB63" i="1"/>
  <c r="AC63" i="1" s="1"/>
  <c r="U63" i="1"/>
  <c r="V63" i="1"/>
  <c r="AA63" i="1"/>
  <c r="Z63" i="1"/>
  <c r="AD63" i="1" s="1"/>
  <c r="AO63" i="1" s="1"/>
  <c r="AE63" i="1"/>
  <c r="AF63" i="1"/>
  <c r="AG51" i="1"/>
  <c r="AH51" i="1" s="1"/>
  <c r="W51" i="1"/>
  <c r="X51" i="1" s="1"/>
  <c r="AB51" i="1"/>
  <c r="AC51" i="1" s="1"/>
  <c r="U51" i="1"/>
  <c r="V51" i="1"/>
  <c r="AA51" i="1"/>
  <c r="AD51" i="1" s="1"/>
  <c r="AO51" i="1" s="1"/>
  <c r="Z51" i="1"/>
  <c r="AE51" i="1"/>
  <c r="AF51" i="1"/>
  <c r="AG35" i="1"/>
  <c r="AH35" i="1" s="1"/>
  <c r="W35" i="1"/>
  <c r="X35" i="1" s="1"/>
  <c r="AB35" i="1"/>
  <c r="AC35" i="1" s="1"/>
  <c r="U35" i="1"/>
  <c r="V35" i="1"/>
  <c r="T35" i="1" s="1"/>
  <c r="AQ35" i="1" s="1"/>
  <c r="AA35" i="1"/>
  <c r="Z35" i="1"/>
  <c r="AE35" i="1"/>
  <c r="AF35" i="1"/>
  <c r="AI35" i="1" s="1"/>
  <c r="AG23" i="1"/>
  <c r="AH23" i="1" s="1"/>
  <c r="W23" i="1"/>
  <c r="X23" i="1" s="1"/>
  <c r="AB23" i="1"/>
  <c r="AC23" i="1" s="1"/>
  <c r="U23" i="1"/>
  <c r="Y23" i="1" s="1"/>
  <c r="V23" i="1"/>
  <c r="AA23" i="1"/>
  <c r="AE23" i="1"/>
  <c r="Z23" i="1"/>
  <c r="AD23" i="1" s="1"/>
  <c r="AF23" i="1"/>
  <c r="AB104" i="1"/>
  <c r="AC104" i="1" s="1"/>
  <c r="W104" i="1"/>
  <c r="X104" i="1" s="1"/>
  <c r="AG104" i="1"/>
  <c r="AH104" i="1" s="1"/>
  <c r="U104" i="1"/>
  <c r="AA104" i="1"/>
  <c r="V104" i="1"/>
  <c r="AE104" i="1"/>
  <c r="AI104" i="1" s="1"/>
  <c r="AP104" i="1" s="1"/>
  <c r="Z104" i="1"/>
  <c r="AF104" i="1"/>
  <c r="W92" i="1"/>
  <c r="X92" i="1" s="1"/>
  <c r="AG92" i="1"/>
  <c r="AH92" i="1" s="1"/>
  <c r="AB92" i="1"/>
  <c r="AC92" i="1" s="1"/>
  <c r="V92" i="1"/>
  <c r="AA92" i="1"/>
  <c r="Z92" i="1"/>
  <c r="AD92" i="1" s="1"/>
  <c r="AO92" i="1" s="1"/>
  <c r="AE92" i="1"/>
  <c r="U92" i="1"/>
  <c r="AF92" i="1"/>
  <c r="AG80" i="1"/>
  <c r="AH80" i="1" s="1"/>
  <c r="AB80" i="1"/>
  <c r="AC80" i="1" s="1"/>
  <c r="W80" i="1"/>
  <c r="X80" i="1" s="1"/>
  <c r="U80" i="1"/>
  <c r="AA80" i="1"/>
  <c r="AD80" i="1" s="1"/>
  <c r="V80" i="1"/>
  <c r="Z80" i="1"/>
  <c r="AE80" i="1"/>
  <c r="AF80" i="1"/>
  <c r="AI80" i="1" s="1"/>
  <c r="AP80" i="1" s="1"/>
  <c r="AG64" i="1"/>
  <c r="AH64" i="1" s="1"/>
  <c r="AB64" i="1"/>
  <c r="AC64" i="1" s="1"/>
  <c r="W64" i="1"/>
  <c r="X64" i="1" s="1"/>
  <c r="U64" i="1"/>
  <c r="Y64" i="1" s="1"/>
  <c r="AA64" i="1"/>
  <c r="V64" i="1"/>
  <c r="Z64" i="1"/>
  <c r="AE64" i="1"/>
  <c r="AI64" i="1" s="1"/>
  <c r="AF64" i="1"/>
  <c r="W44" i="1"/>
  <c r="X44" i="1" s="1"/>
  <c r="AG44" i="1"/>
  <c r="AH44" i="1" s="1"/>
  <c r="AB44" i="1"/>
  <c r="AC44" i="1" s="1"/>
  <c r="Z44" i="1"/>
  <c r="V44" i="1"/>
  <c r="AA44" i="1"/>
  <c r="U44" i="1"/>
  <c r="AE44" i="1"/>
  <c r="AF44" i="1"/>
  <c r="W28" i="1"/>
  <c r="X28" i="1" s="1"/>
  <c r="AG28" i="1"/>
  <c r="AH28" i="1" s="1"/>
  <c r="AB28" i="1"/>
  <c r="AC28" i="1" s="1"/>
  <c r="Z28" i="1"/>
  <c r="V28" i="1"/>
  <c r="AA28" i="1"/>
  <c r="AE28" i="1"/>
  <c r="U28" i="1"/>
  <c r="AF28" i="1"/>
  <c r="W12" i="1"/>
  <c r="X12" i="1" s="1"/>
  <c r="AG12" i="1"/>
  <c r="AH12" i="1" s="1"/>
  <c r="AB12" i="1"/>
  <c r="AC12" i="1" s="1"/>
  <c r="Z12" i="1"/>
  <c r="V12" i="1"/>
  <c r="AA12" i="1"/>
  <c r="U12" i="1"/>
  <c r="AE12" i="1"/>
  <c r="AF12" i="1"/>
  <c r="AI12" i="1" s="1"/>
  <c r="AC108" i="42"/>
  <c r="Y108" i="42"/>
  <c r="U108" i="42"/>
  <c r="T108" i="42"/>
  <c r="R108" i="42" s="1"/>
  <c r="AK108" i="42" s="1"/>
  <c r="X108" i="42"/>
  <c r="AB108" i="42"/>
  <c r="S108" i="42"/>
  <c r="W108" i="42"/>
  <c r="Z108" i="42" s="1"/>
  <c r="AA108" i="42"/>
  <c r="W107" i="70"/>
  <c r="AE107" i="70" s="1"/>
  <c r="U107" i="70"/>
  <c r="Y107" i="70"/>
  <c r="AA107" i="70" s="1"/>
  <c r="AB107" i="70"/>
  <c r="V107" i="70"/>
  <c r="Z107" i="70"/>
  <c r="AC107" i="70"/>
  <c r="AD107" i="70" s="1"/>
  <c r="W59" i="70"/>
  <c r="AE59" i="70" s="1"/>
  <c r="U59" i="70"/>
  <c r="Y59" i="70"/>
  <c r="AB59" i="70"/>
  <c r="V59" i="70"/>
  <c r="Z59" i="70"/>
  <c r="AC59" i="70"/>
  <c r="W27" i="70"/>
  <c r="AE27" i="70" s="1"/>
  <c r="U27" i="70"/>
  <c r="Y27" i="70"/>
  <c r="AB27" i="70"/>
  <c r="V27" i="70"/>
  <c r="Z27" i="70"/>
  <c r="AC27" i="70"/>
  <c r="W45" i="70"/>
  <c r="AE45" i="70" s="1"/>
  <c r="V45" i="70"/>
  <c r="Z45" i="70"/>
  <c r="AC45" i="70"/>
  <c r="U45" i="70"/>
  <c r="Y45" i="70"/>
  <c r="AA45" i="70" s="1"/>
  <c r="AB45" i="70"/>
  <c r="W12" i="70"/>
  <c r="AE12" i="70" s="1"/>
  <c r="U12" i="70"/>
  <c r="AB12" i="70"/>
  <c r="AD12" i="70" s="1"/>
  <c r="V12" i="70"/>
  <c r="AC12" i="70"/>
  <c r="Y12" i="70"/>
  <c r="Z12" i="70"/>
  <c r="AA12" i="70" s="1"/>
  <c r="W62" i="70"/>
  <c r="AE62" i="70" s="1"/>
  <c r="Z62" i="70"/>
  <c r="U62" i="70"/>
  <c r="AB62" i="70"/>
  <c r="AD62" i="70" s="1"/>
  <c r="V62" i="70"/>
  <c r="AC62" i="70"/>
  <c r="Y62" i="70"/>
  <c r="W14" i="70"/>
  <c r="AE14" i="70" s="1"/>
  <c r="Z14" i="70"/>
  <c r="U14" i="70"/>
  <c r="AB14" i="70"/>
  <c r="V14" i="70"/>
  <c r="AC14" i="70"/>
  <c r="Y14" i="70"/>
  <c r="W56" i="70"/>
  <c r="AE56" i="70" s="1"/>
  <c r="Y56" i="70"/>
  <c r="AA56" i="70" s="1"/>
  <c r="Z56" i="70"/>
  <c r="U56" i="70"/>
  <c r="AB56" i="70"/>
  <c r="V56" i="70"/>
  <c r="AC56" i="70"/>
  <c r="AC109" i="42"/>
  <c r="Y109" i="42"/>
  <c r="U109" i="42"/>
  <c r="S109" i="42"/>
  <c r="T109" i="42"/>
  <c r="W109" i="42"/>
  <c r="X109" i="42"/>
  <c r="Z109" i="42" s="1"/>
  <c r="AA109" i="42"/>
  <c r="AB109" i="42"/>
  <c r="AC106" i="42"/>
  <c r="U106" i="42"/>
  <c r="Y106" i="42"/>
  <c r="T106" i="42"/>
  <c r="X106" i="42"/>
  <c r="AB106" i="42"/>
  <c r="AD106" i="42" s="1"/>
  <c r="S106" i="42"/>
  <c r="W106" i="42"/>
  <c r="AA106" i="42"/>
  <c r="AC99" i="42"/>
  <c r="U99" i="42"/>
  <c r="Y99" i="42"/>
  <c r="S99" i="42"/>
  <c r="T99" i="42"/>
  <c r="R99" i="42" s="1"/>
  <c r="AK99" i="42" s="1"/>
  <c r="W99" i="42"/>
  <c r="X99" i="42"/>
  <c r="AA99" i="42"/>
  <c r="AB99" i="42"/>
  <c r="AD99" i="42" s="1"/>
  <c r="AJ99" i="42" s="1"/>
  <c r="U75" i="42"/>
  <c r="AC75" i="42"/>
  <c r="Y75" i="42"/>
  <c r="S75" i="42"/>
  <c r="V75" i="42" s="1"/>
  <c r="AH75" i="42" s="1"/>
  <c r="T75" i="42"/>
  <c r="W75" i="42"/>
  <c r="X75" i="42"/>
  <c r="AA75" i="42"/>
  <c r="AD75" i="42" s="1"/>
  <c r="AJ75" i="42" s="1"/>
  <c r="AB75" i="42"/>
  <c r="U51" i="42"/>
  <c r="AC51" i="42"/>
  <c r="Y51" i="42"/>
  <c r="S51" i="42"/>
  <c r="T51" i="42"/>
  <c r="W51" i="42"/>
  <c r="X51" i="42"/>
  <c r="Z51" i="42" s="1"/>
  <c r="AI51" i="42" s="1"/>
  <c r="AA51" i="42"/>
  <c r="AB51" i="42"/>
  <c r="U27" i="42"/>
  <c r="AC27" i="42"/>
  <c r="Y27" i="42"/>
  <c r="S27" i="42"/>
  <c r="T27" i="42"/>
  <c r="W27" i="42"/>
  <c r="X27" i="42"/>
  <c r="AA27" i="42"/>
  <c r="AB27" i="42"/>
  <c r="AO10" i="69"/>
  <c r="Y86" i="42"/>
  <c r="AC86" i="42"/>
  <c r="U86" i="42"/>
  <c r="W86" i="42"/>
  <c r="Z86" i="42" s="1"/>
  <c r="AI86" i="42" s="1"/>
  <c r="AA86" i="42"/>
  <c r="S86" i="42"/>
  <c r="T86" i="42"/>
  <c r="X86" i="42"/>
  <c r="AB86" i="42"/>
  <c r="AC50" i="42"/>
  <c r="Y50" i="42"/>
  <c r="U50" i="42"/>
  <c r="S50" i="42"/>
  <c r="T50" i="42"/>
  <c r="X50" i="42"/>
  <c r="AB50" i="42"/>
  <c r="W50" i="42"/>
  <c r="AA50" i="42"/>
  <c r="AC26" i="42"/>
  <c r="Y26" i="42"/>
  <c r="U26" i="42"/>
  <c r="S26" i="42"/>
  <c r="T26" i="42"/>
  <c r="X26" i="42"/>
  <c r="Z26" i="42" s="1"/>
  <c r="AI26" i="42" s="1"/>
  <c r="AB26" i="42"/>
  <c r="W26" i="42"/>
  <c r="AA26" i="42"/>
  <c r="AD26" i="42" s="1"/>
  <c r="AC85" i="42"/>
  <c r="Y85" i="42"/>
  <c r="U85" i="42"/>
  <c r="S85" i="42"/>
  <c r="T85" i="42"/>
  <c r="V85" i="42" s="1"/>
  <c r="W85" i="42"/>
  <c r="X85" i="42"/>
  <c r="AA85" i="42"/>
  <c r="AB85" i="42"/>
  <c r="AD85" i="42" s="1"/>
  <c r="AC45" i="42"/>
  <c r="Y45" i="42"/>
  <c r="U45" i="42"/>
  <c r="S45" i="42"/>
  <c r="V45" i="42" s="1"/>
  <c r="T45" i="42"/>
  <c r="W45" i="42"/>
  <c r="X45" i="42"/>
  <c r="AA45" i="42"/>
  <c r="AD45" i="42" s="1"/>
  <c r="AB45" i="42"/>
  <c r="AC104" i="42"/>
  <c r="Y104" i="42"/>
  <c r="U104" i="42"/>
  <c r="S104" i="42"/>
  <c r="W104" i="42"/>
  <c r="AA104" i="42"/>
  <c r="AD104" i="42" s="1"/>
  <c r="T104" i="42"/>
  <c r="V104" i="42" s="1"/>
  <c r="AH104" i="42" s="1"/>
  <c r="X104" i="42"/>
  <c r="AB104" i="42"/>
  <c r="AC72" i="42"/>
  <c r="Y72" i="42"/>
  <c r="U72" i="42"/>
  <c r="S72" i="42"/>
  <c r="W72" i="42"/>
  <c r="Z72" i="42" s="1"/>
  <c r="AA72" i="42"/>
  <c r="AD72" i="42" s="1"/>
  <c r="T72" i="42"/>
  <c r="X72" i="42"/>
  <c r="AB72" i="42"/>
  <c r="AC52" i="42"/>
  <c r="Y52" i="42"/>
  <c r="U52" i="42"/>
  <c r="S52" i="42"/>
  <c r="T52" i="42"/>
  <c r="V52" i="42" s="1"/>
  <c r="X52" i="42"/>
  <c r="AB52" i="42"/>
  <c r="AA52" i="42"/>
  <c r="W52" i="42"/>
  <c r="Z52" i="42" s="1"/>
  <c r="AC16" i="42"/>
  <c r="Y16" i="42"/>
  <c r="U16" i="42"/>
  <c r="S16" i="42"/>
  <c r="W16" i="42"/>
  <c r="AA16" i="42"/>
  <c r="AB16" i="42"/>
  <c r="T16" i="42"/>
  <c r="X16" i="42"/>
  <c r="AC18" i="42"/>
  <c r="Y18" i="42"/>
  <c r="U18" i="42"/>
  <c r="S18" i="42"/>
  <c r="T18" i="42"/>
  <c r="X18" i="42"/>
  <c r="AB18" i="42"/>
  <c r="W18" i="42"/>
  <c r="AA18" i="42"/>
  <c r="AC24" i="42"/>
  <c r="Y24" i="42"/>
  <c r="U24" i="42"/>
  <c r="S24" i="42"/>
  <c r="W24" i="42"/>
  <c r="AA24" i="42"/>
  <c r="AD24" i="42" s="1"/>
  <c r="AJ24" i="42" s="1"/>
  <c r="X24" i="42"/>
  <c r="AB24" i="42"/>
  <c r="T24" i="42"/>
  <c r="W87" i="70"/>
  <c r="AE87" i="70" s="1"/>
  <c r="U87" i="70"/>
  <c r="Y87" i="70"/>
  <c r="AB87" i="70"/>
  <c r="V87" i="70"/>
  <c r="Z87" i="70"/>
  <c r="AC87" i="70"/>
  <c r="W39" i="70"/>
  <c r="AE39" i="70" s="1"/>
  <c r="U39" i="70"/>
  <c r="Y39" i="70"/>
  <c r="AB39" i="70"/>
  <c r="V39" i="70"/>
  <c r="Z39" i="70"/>
  <c r="AC39" i="70"/>
  <c r="W37" i="70"/>
  <c r="AE37" i="70" s="1"/>
  <c r="V37" i="70"/>
  <c r="Z37" i="70"/>
  <c r="AA37" i="70" s="1"/>
  <c r="AC37" i="70"/>
  <c r="U37" i="70"/>
  <c r="Y37" i="70"/>
  <c r="AB37" i="70"/>
  <c r="AD37" i="70" s="1"/>
  <c r="W36" i="70"/>
  <c r="AE36" i="70" s="1"/>
  <c r="U36" i="70"/>
  <c r="AB36" i="70"/>
  <c r="V36" i="70"/>
  <c r="AC36" i="70"/>
  <c r="Y36" i="70"/>
  <c r="Z36" i="70"/>
  <c r="W74" i="70"/>
  <c r="AE74" i="70" s="1"/>
  <c r="V74" i="70"/>
  <c r="AC74" i="70"/>
  <c r="Y74" i="70"/>
  <c r="Z74" i="70"/>
  <c r="AA74" i="70" s="1"/>
  <c r="AB74" i="70"/>
  <c r="U74" i="70"/>
  <c r="W10" i="70"/>
  <c r="AE10" i="70" s="1"/>
  <c r="U10" i="70"/>
  <c r="AB10" i="70"/>
  <c r="V10" i="70"/>
  <c r="AC10" i="70"/>
  <c r="Y10" i="70"/>
  <c r="AA10" i="70" s="1"/>
  <c r="Z10" i="70"/>
  <c r="W17" i="70"/>
  <c r="AE17" i="70" s="1"/>
  <c r="V17" i="70"/>
  <c r="Z17" i="70"/>
  <c r="AA17" i="70" s="1"/>
  <c r="AC17" i="70"/>
  <c r="U17" i="70"/>
  <c r="Y17" i="70"/>
  <c r="AB17" i="70"/>
  <c r="AD17" i="70" s="1"/>
  <c r="W16" i="70"/>
  <c r="AE16" i="70" s="1"/>
  <c r="Y16" i="70"/>
  <c r="Z16" i="70"/>
  <c r="U16" i="70"/>
  <c r="AB16" i="70"/>
  <c r="V16" i="70"/>
  <c r="AC16" i="70"/>
  <c r="AG97" i="1"/>
  <c r="AH97" i="1" s="1"/>
  <c r="AB97" i="1"/>
  <c r="AC97" i="1" s="1"/>
  <c r="W97" i="1"/>
  <c r="X97" i="1" s="1"/>
  <c r="V97" i="1"/>
  <c r="U97" i="1"/>
  <c r="Y97" i="1" s="1"/>
  <c r="Z97" i="1"/>
  <c r="AA97" i="1"/>
  <c r="AF97" i="1"/>
  <c r="AE97" i="1"/>
  <c r="AI97" i="1" s="1"/>
  <c r="AG85" i="1"/>
  <c r="AH85" i="1" s="1"/>
  <c r="AB85" i="1"/>
  <c r="AC85" i="1" s="1"/>
  <c r="W85" i="1"/>
  <c r="X85" i="1" s="1"/>
  <c r="V85" i="1"/>
  <c r="U85" i="1"/>
  <c r="Z85" i="1"/>
  <c r="AA85" i="1"/>
  <c r="AF85" i="1"/>
  <c r="AI85" i="1" s="1"/>
  <c r="AE85" i="1"/>
  <c r="AG73" i="1"/>
  <c r="AH73" i="1" s="1"/>
  <c r="AB73" i="1"/>
  <c r="AC73" i="1" s="1"/>
  <c r="W73" i="1"/>
  <c r="X73" i="1" s="1"/>
  <c r="V73" i="1"/>
  <c r="U73" i="1"/>
  <c r="Z73" i="1"/>
  <c r="AA73" i="1"/>
  <c r="AD73" i="1" s="1"/>
  <c r="AO73" i="1" s="1"/>
  <c r="AF73" i="1"/>
  <c r="AE73" i="1"/>
  <c r="AG61" i="1"/>
  <c r="AH61" i="1" s="1"/>
  <c r="AB61" i="1"/>
  <c r="AC61" i="1" s="1"/>
  <c r="W61" i="1"/>
  <c r="X61" i="1" s="1"/>
  <c r="V61" i="1"/>
  <c r="U61" i="1"/>
  <c r="Z61" i="1"/>
  <c r="AD61" i="1" s="1"/>
  <c r="AO61" i="1" s="1"/>
  <c r="AA61" i="1"/>
  <c r="AF61" i="1"/>
  <c r="AE61" i="1"/>
  <c r="AG49" i="1"/>
  <c r="AH49" i="1" s="1"/>
  <c r="AB49" i="1"/>
  <c r="AC49" i="1" s="1"/>
  <c r="W49" i="1"/>
  <c r="X49" i="1" s="1"/>
  <c r="V49" i="1"/>
  <c r="U49" i="1"/>
  <c r="Y49" i="1" s="1"/>
  <c r="Z49" i="1"/>
  <c r="AA49" i="1"/>
  <c r="AF49" i="1"/>
  <c r="AE49" i="1"/>
  <c r="AI49" i="1" s="1"/>
  <c r="AG37" i="1"/>
  <c r="AH37" i="1" s="1"/>
  <c r="AB37" i="1"/>
  <c r="AC37" i="1" s="1"/>
  <c r="W37" i="1"/>
  <c r="X37" i="1" s="1"/>
  <c r="V37" i="1"/>
  <c r="U37" i="1"/>
  <c r="Z37" i="1"/>
  <c r="AA37" i="1"/>
  <c r="AF37" i="1"/>
  <c r="AI37" i="1" s="1"/>
  <c r="AE37" i="1"/>
  <c r="AG21" i="1"/>
  <c r="AH21" i="1" s="1"/>
  <c r="AB21" i="1"/>
  <c r="AC21" i="1" s="1"/>
  <c r="W21" i="1"/>
  <c r="X21" i="1" s="1"/>
  <c r="V21" i="1"/>
  <c r="U21" i="1"/>
  <c r="Z21" i="1"/>
  <c r="AA21" i="1"/>
  <c r="AD21" i="1" s="1"/>
  <c r="AO21" i="1" s="1"/>
  <c r="AF21" i="1"/>
  <c r="AE21" i="1"/>
  <c r="AG106" i="1"/>
  <c r="AH106" i="1" s="1"/>
  <c r="W106" i="1"/>
  <c r="X106" i="1" s="1"/>
  <c r="AB106" i="1"/>
  <c r="AC106" i="1" s="1"/>
  <c r="Z106" i="1"/>
  <c r="U106" i="1"/>
  <c r="V106" i="1"/>
  <c r="T106" i="1" s="1"/>
  <c r="AQ106" i="1" s="1"/>
  <c r="AN106" i="1" s="1"/>
  <c r="AA106" i="1"/>
  <c r="AF106" i="1"/>
  <c r="AE106" i="1"/>
  <c r="AG94" i="1"/>
  <c r="AH94" i="1" s="1"/>
  <c r="AB94" i="1"/>
  <c r="AC94" i="1" s="1"/>
  <c r="W94" i="1"/>
  <c r="X94" i="1" s="1"/>
  <c r="U94" i="1"/>
  <c r="V94" i="1"/>
  <c r="T94" i="1" s="1"/>
  <c r="AQ94" i="1" s="1"/>
  <c r="Z94" i="1"/>
  <c r="AA94" i="1"/>
  <c r="AF94" i="1"/>
  <c r="AE94" i="1"/>
  <c r="AI94" i="1" s="1"/>
  <c r="AG78" i="1"/>
  <c r="AH78" i="1" s="1"/>
  <c r="AB78" i="1"/>
  <c r="AC78" i="1" s="1"/>
  <c r="W78" i="1"/>
  <c r="X78" i="1" s="1"/>
  <c r="U78" i="1"/>
  <c r="T78" i="1" s="1"/>
  <c r="AQ78" i="1" s="1"/>
  <c r="V78" i="1"/>
  <c r="Z78" i="1"/>
  <c r="AA78" i="1"/>
  <c r="AF78" i="1"/>
  <c r="AI78" i="1" s="1"/>
  <c r="AE78" i="1"/>
  <c r="AG66" i="1"/>
  <c r="AH66" i="1" s="1"/>
  <c r="AB66" i="1"/>
  <c r="AC66" i="1" s="1"/>
  <c r="W66" i="1"/>
  <c r="X66" i="1" s="1"/>
  <c r="Z66" i="1"/>
  <c r="U66" i="1"/>
  <c r="AF66" i="1"/>
  <c r="AA66" i="1"/>
  <c r="AD66" i="1" s="1"/>
  <c r="AO66" i="1" s="1"/>
  <c r="V66" i="1"/>
  <c r="AE66" i="1"/>
  <c r="AG54" i="1"/>
  <c r="AH54" i="1" s="1"/>
  <c r="AB54" i="1"/>
  <c r="AC54" i="1" s="1"/>
  <c r="W54" i="1"/>
  <c r="X54" i="1" s="1"/>
  <c r="U54" i="1"/>
  <c r="V54" i="1"/>
  <c r="Z54" i="1"/>
  <c r="AD54" i="1" s="1"/>
  <c r="AO54" i="1" s="1"/>
  <c r="AF54" i="1"/>
  <c r="AA54" i="1"/>
  <c r="AE54" i="1"/>
  <c r="AG42" i="1"/>
  <c r="AH42" i="1" s="1"/>
  <c r="AB42" i="1"/>
  <c r="AC42" i="1" s="1"/>
  <c r="W42" i="1"/>
  <c r="X42" i="1" s="1"/>
  <c r="Z42" i="1"/>
  <c r="U42" i="1"/>
  <c r="Y42" i="1" s="1"/>
  <c r="V42" i="1"/>
  <c r="AA42" i="1"/>
  <c r="AF42" i="1"/>
  <c r="AE42" i="1"/>
  <c r="AI42" i="1" s="1"/>
  <c r="AG30" i="1"/>
  <c r="AH30" i="1" s="1"/>
  <c r="AB30" i="1"/>
  <c r="AC30" i="1" s="1"/>
  <c r="W30" i="1"/>
  <c r="X30" i="1" s="1"/>
  <c r="Z30" i="1"/>
  <c r="AD30" i="1" s="1"/>
  <c r="AO30" i="1" s="1"/>
  <c r="U30" i="1"/>
  <c r="V30" i="1"/>
  <c r="AA30" i="1"/>
  <c r="AF30" i="1"/>
  <c r="AE30" i="1"/>
  <c r="AG14" i="1"/>
  <c r="AH14" i="1" s="1"/>
  <c r="AB14" i="1"/>
  <c r="AC14" i="1" s="1"/>
  <c r="W14" i="1"/>
  <c r="X14" i="1" s="1"/>
  <c r="Z14" i="1"/>
  <c r="U14" i="1"/>
  <c r="V14" i="1"/>
  <c r="AA14" i="1"/>
  <c r="AD14" i="1" s="1"/>
  <c r="AO14" i="1" s="1"/>
  <c r="AF14" i="1"/>
  <c r="AE14" i="1"/>
  <c r="W95" i="70"/>
  <c r="AE95" i="70" s="1"/>
  <c r="U95" i="70"/>
  <c r="Y95" i="70"/>
  <c r="AB95" i="70"/>
  <c r="V95" i="70"/>
  <c r="Z95" i="70"/>
  <c r="AA95" i="70" s="1"/>
  <c r="AC95" i="70"/>
  <c r="W79" i="70"/>
  <c r="AE79" i="70" s="1"/>
  <c r="U79" i="70"/>
  <c r="Y79" i="70"/>
  <c r="AA79" i="70" s="1"/>
  <c r="AB79" i="70"/>
  <c r="V79" i="70"/>
  <c r="Z79" i="70"/>
  <c r="AC79" i="70"/>
  <c r="AD79" i="70" s="1"/>
  <c r="W31" i="70"/>
  <c r="AE31" i="70" s="1"/>
  <c r="U31" i="70"/>
  <c r="Y31" i="70"/>
  <c r="AB31" i="70"/>
  <c r="AD31" i="70" s="1"/>
  <c r="V31" i="70"/>
  <c r="Z31" i="70"/>
  <c r="AC31" i="70"/>
  <c r="W15" i="70"/>
  <c r="AE15" i="70" s="1"/>
  <c r="U15" i="70"/>
  <c r="Y15" i="70"/>
  <c r="AB15" i="70"/>
  <c r="V15" i="70"/>
  <c r="Z15" i="70"/>
  <c r="AC15" i="70"/>
  <c r="W21" i="70"/>
  <c r="AE21" i="70" s="1"/>
  <c r="V21" i="70"/>
  <c r="Z21" i="70"/>
  <c r="AC21" i="70"/>
  <c r="U21" i="70"/>
  <c r="Y21" i="70"/>
  <c r="AA21" i="70" s="1"/>
  <c r="AB21" i="70"/>
  <c r="W84" i="70"/>
  <c r="AE84" i="70" s="1"/>
  <c r="U84" i="70"/>
  <c r="AB84" i="70"/>
  <c r="AD84" i="70" s="1"/>
  <c r="V84" i="70"/>
  <c r="AC84" i="70"/>
  <c r="Y84" i="70"/>
  <c r="Z84" i="70"/>
  <c r="AA84" i="70" s="1"/>
  <c r="W20" i="70"/>
  <c r="AE20" i="70" s="1"/>
  <c r="U20" i="70"/>
  <c r="AB20" i="70"/>
  <c r="V20" i="70"/>
  <c r="AC20" i="70"/>
  <c r="Y20" i="70"/>
  <c r="Z20" i="70"/>
  <c r="W82" i="70"/>
  <c r="AE82" i="70" s="1"/>
  <c r="V82" i="70"/>
  <c r="AC82" i="70"/>
  <c r="Y82" i="70"/>
  <c r="Z82" i="70"/>
  <c r="AA82" i="70" s="1"/>
  <c r="U82" i="70"/>
  <c r="AB82" i="70"/>
  <c r="W50" i="70"/>
  <c r="AE50" i="70" s="1"/>
  <c r="V50" i="70"/>
  <c r="AC50" i="70"/>
  <c r="Y50" i="70"/>
  <c r="Z50" i="70"/>
  <c r="U50" i="70"/>
  <c r="AB50" i="70"/>
  <c r="W18" i="70"/>
  <c r="AE18" i="70" s="1"/>
  <c r="V18" i="70"/>
  <c r="AC18" i="70"/>
  <c r="Y18" i="70"/>
  <c r="Z18" i="70"/>
  <c r="U18" i="70"/>
  <c r="AB18" i="70"/>
  <c r="AD18" i="70" s="1"/>
  <c r="W65" i="70"/>
  <c r="AE65" i="70" s="1"/>
  <c r="V65" i="70"/>
  <c r="Z65" i="70"/>
  <c r="AC65" i="70"/>
  <c r="U65" i="70"/>
  <c r="Y65" i="70"/>
  <c r="AB65" i="70"/>
  <c r="W96" i="70"/>
  <c r="AE96" i="70" s="1"/>
  <c r="Y96" i="70"/>
  <c r="Z96" i="70"/>
  <c r="U96" i="70"/>
  <c r="AB96" i="70"/>
  <c r="V96" i="70"/>
  <c r="AC96" i="70"/>
  <c r="W32" i="70"/>
  <c r="AE32" i="70" s="1"/>
  <c r="Y32" i="70"/>
  <c r="AA32" i="70" s="1"/>
  <c r="Z32" i="70"/>
  <c r="U32" i="70"/>
  <c r="AB32" i="70"/>
  <c r="V32" i="70"/>
  <c r="AC32" i="70"/>
  <c r="AB103" i="1"/>
  <c r="AC103" i="1" s="1"/>
  <c r="AG103" i="1"/>
  <c r="AH103" i="1" s="1"/>
  <c r="W103" i="1"/>
  <c r="X103" i="1" s="1"/>
  <c r="U103" i="1"/>
  <c r="V103" i="1"/>
  <c r="AA103" i="1"/>
  <c r="Z103" i="1"/>
  <c r="AD103" i="1" s="1"/>
  <c r="AO103" i="1" s="1"/>
  <c r="AE103" i="1"/>
  <c r="AF103" i="1"/>
  <c r="AB95" i="1"/>
  <c r="AC95" i="1" s="1"/>
  <c r="AG95" i="1"/>
  <c r="AH95" i="1" s="1"/>
  <c r="W95" i="1"/>
  <c r="X95" i="1" s="1"/>
  <c r="U95" i="1"/>
  <c r="V95" i="1"/>
  <c r="AA95" i="1"/>
  <c r="AD95" i="1" s="1"/>
  <c r="AO95" i="1" s="1"/>
  <c r="Z95" i="1"/>
  <c r="AE95" i="1"/>
  <c r="AF95" i="1"/>
  <c r="AG83" i="1"/>
  <c r="AH83" i="1" s="1"/>
  <c r="W83" i="1"/>
  <c r="X83" i="1" s="1"/>
  <c r="AB83" i="1"/>
  <c r="AC83" i="1" s="1"/>
  <c r="U83" i="1"/>
  <c r="V83" i="1"/>
  <c r="AA83" i="1"/>
  <c r="Z83" i="1"/>
  <c r="AE83" i="1"/>
  <c r="AF83" i="1"/>
  <c r="AI83" i="1" s="1"/>
  <c r="AG75" i="1"/>
  <c r="AH75" i="1" s="1"/>
  <c r="W75" i="1"/>
  <c r="X75" i="1" s="1"/>
  <c r="AB75" i="1"/>
  <c r="AC75" i="1" s="1"/>
  <c r="U75" i="1"/>
  <c r="T75" i="1" s="1"/>
  <c r="AQ75" i="1" s="1"/>
  <c r="V75" i="1"/>
  <c r="AA75" i="1"/>
  <c r="Z75" i="1"/>
  <c r="AE75" i="1"/>
  <c r="AI75" i="1" s="1"/>
  <c r="AF75" i="1"/>
  <c r="AG67" i="1"/>
  <c r="AH67" i="1" s="1"/>
  <c r="W67" i="1"/>
  <c r="X67" i="1" s="1"/>
  <c r="AB67" i="1"/>
  <c r="AC67" i="1" s="1"/>
  <c r="U67" i="1"/>
  <c r="V67" i="1"/>
  <c r="AA67" i="1"/>
  <c r="Z67" i="1"/>
  <c r="AD67" i="1" s="1"/>
  <c r="AO67" i="1" s="1"/>
  <c r="AE67" i="1"/>
  <c r="AF67" i="1"/>
  <c r="AG59" i="1"/>
  <c r="AH59" i="1" s="1"/>
  <c r="W59" i="1"/>
  <c r="X59" i="1" s="1"/>
  <c r="AB59" i="1"/>
  <c r="AC59" i="1" s="1"/>
  <c r="U59" i="1"/>
  <c r="V59" i="1"/>
  <c r="AA59" i="1"/>
  <c r="Z59" i="1"/>
  <c r="AE59" i="1"/>
  <c r="AF59" i="1"/>
  <c r="AG47" i="1"/>
  <c r="AH47" i="1" s="1"/>
  <c r="W47" i="1"/>
  <c r="X47" i="1" s="1"/>
  <c r="AB47" i="1"/>
  <c r="AC47" i="1" s="1"/>
  <c r="U47" i="1"/>
  <c r="V47" i="1"/>
  <c r="Y47" i="1" s="1"/>
  <c r="AN47" i="1" s="1"/>
  <c r="AA47" i="1"/>
  <c r="AE47" i="1"/>
  <c r="Z47" i="1"/>
  <c r="AF47" i="1"/>
  <c r="AI47" i="1" s="1"/>
  <c r="AP47" i="1" s="1"/>
  <c r="AG39" i="1"/>
  <c r="AH39" i="1" s="1"/>
  <c r="W39" i="1"/>
  <c r="X39" i="1" s="1"/>
  <c r="AB39" i="1"/>
  <c r="AC39" i="1" s="1"/>
  <c r="U39" i="1"/>
  <c r="Y39" i="1" s="1"/>
  <c r="V39" i="1"/>
  <c r="AA39" i="1"/>
  <c r="Z39" i="1"/>
  <c r="AE39" i="1"/>
  <c r="AI39" i="1" s="1"/>
  <c r="AF39" i="1"/>
  <c r="AG27" i="1"/>
  <c r="AH27" i="1" s="1"/>
  <c r="W27" i="1"/>
  <c r="X27" i="1" s="1"/>
  <c r="AB27" i="1"/>
  <c r="AC27" i="1" s="1"/>
  <c r="U27" i="1"/>
  <c r="V27" i="1"/>
  <c r="AA27" i="1"/>
  <c r="Z27" i="1"/>
  <c r="AE27" i="1"/>
  <c r="AF27" i="1"/>
  <c r="AG19" i="1"/>
  <c r="AH19" i="1" s="1"/>
  <c r="W19" i="1"/>
  <c r="X19" i="1" s="1"/>
  <c r="AB19" i="1"/>
  <c r="AC19" i="1" s="1"/>
  <c r="U19" i="1"/>
  <c r="V19" i="1"/>
  <c r="AA19" i="1"/>
  <c r="AD19" i="1" s="1"/>
  <c r="AO19" i="1" s="1"/>
  <c r="Z19" i="1"/>
  <c r="AE19" i="1"/>
  <c r="AF19" i="1"/>
  <c r="AG11" i="1"/>
  <c r="AH11" i="1" s="1"/>
  <c r="W11" i="1"/>
  <c r="X11" i="1" s="1"/>
  <c r="AB11" i="1"/>
  <c r="AC11" i="1" s="1"/>
  <c r="U11" i="1"/>
  <c r="V11" i="1"/>
  <c r="T11" i="1" s="1"/>
  <c r="AQ11" i="1" s="1"/>
  <c r="AA11" i="1"/>
  <c r="Z11" i="1"/>
  <c r="AE11" i="1"/>
  <c r="AF11" i="1"/>
  <c r="AI11" i="1" s="1"/>
  <c r="AB100" i="1"/>
  <c r="AC100" i="1" s="1"/>
  <c r="AG100" i="1"/>
  <c r="AH100" i="1" s="1"/>
  <c r="W100" i="1"/>
  <c r="X100" i="1" s="1"/>
  <c r="V100" i="1"/>
  <c r="AA100" i="1"/>
  <c r="AE100" i="1"/>
  <c r="Z100" i="1"/>
  <c r="U100" i="1"/>
  <c r="T100" i="1" s="1"/>
  <c r="AQ100" i="1" s="1"/>
  <c r="AF100" i="1"/>
  <c r="AB88" i="1"/>
  <c r="AC88" i="1" s="1"/>
  <c r="W88" i="1"/>
  <c r="X88" i="1" s="1"/>
  <c r="AG88" i="1"/>
  <c r="AH88" i="1" s="1"/>
  <c r="U88" i="1"/>
  <c r="AA88" i="1"/>
  <c r="V88" i="1"/>
  <c r="AE88" i="1"/>
  <c r="AI88" i="1" s="1"/>
  <c r="AP88" i="1" s="1"/>
  <c r="Z88" i="1"/>
  <c r="AF88" i="1"/>
  <c r="AG84" i="1"/>
  <c r="AH84" i="1" s="1"/>
  <c r="W84" i="1"/>
  <c r="X84" i="1" s="1"/>
  <c r="AB84" i="1"/>
  <c r="AC84" i="1" s="1"/>
  <c r="V84" i="1"/>
  <c r="AA84" i="1"/>
  <c r="U84" i="1"/>
  <c r="T84" i="1" s="1"/>
  <c r="AQ84" i="1" s="1"/>
  <c r="AE84" i="1"/>
  <c r="Z84" i="1"/>
  <c r="AF84" i="1"/>
  <c r="AB72" i="1"/>
  <c r="AC72" i="1" s="1"/>
  <c r="W72" i="1"/>
  <c r="X72" i="1" s="1"/>
  <c r="AG72" i="1"/>
  <c r="AH72" i="1" s="1"/>
  <c r="U72" i="1"/>
  <c r="AA72" i="1"/>
  <c r="AD72" i="1" s="1"/>
  <c r="AO72" i="1" s="1"/>
  <c r="V72" i="1"/>
  <c r="AE72" i="1"/>
  <c r="Z72" i="1"/>
  <c r="AF72" i="1"/>
  <c r="AI72" i="1" s="1"/>
  <c r="AP72" i="1" s="1"/>
  <c r="AG68" i="1"/>
  <c r="AH68" i="1" s="1"/>
  <c r="W68" i="1"/>
  <c r="X68" i="1" s="1"/>
  <c r="AB68" i="1"/>
  <c r="AC68" i="1" s="1"/>
  <c r="V68" i="1"/>
  <c r="AA68" i="1"/>
  <c r="AE68" i="1"/>
  <c r="Z68" i="1"/>
  <c r="U68" i="1"/>
  <c r="T68" i="1" s="1"/>
  <c r="AQ68" i="1" s="1"/>
  <c r="AF68" i="1"/>
  <c r="AB56" i="1"/>
  <c r="AC56" i="1" s="1"/>
  <c r="W56" i="1"/>
  <c r="X56" i="1" s="1"/>
  <c r="AG56" i="1"/>
  <c r="AH56" i="1" s="1"/>
  <c r="U56" i="1"/>
  <c r="AA56" i="1"/>
  <c r="V56" i="1"/>
  <c r="AE56" i="1"/>
  <c r="AI56" i="1" s="1"/>
  <c r="AP56" i="1" s="1"/>
  <c r="Z56" i="1"/>
  <c r="AF56" i="1"/>
  <c r="AG52" i="1"/>
  <c r="AH52" i="1" s="1"/>
  <c r="W52" i="1"/>
  <c r="X52" i="1" s="1"/>
  <c r="AB52" i="1"/>
  <c r="AC52" i="1" s="1"/>
  <c r="V52" i="1"/>
  <c r="AA52" i="1"/>
  <c r="U52" i="1"/>
  <c r="AE52" i="1"/>
  <c r="Z52" i="1"/>
  <c r="AF52" i="1"/>
  <c r="AB40" i="1"/>
  <c r="AC40" i="1" s="1"/>
  <c r="W40" i="1"/>
  <c r="X40" i="1" s="1"/>
  <c r="AG40" i="1"/>
  <c r="AH40" i="1" s="1"/>
  <c r="Z40" i="1"/>
  <c r="U40" i="1"/>
  <c r="T40" i="1" s="1"/>
  <c r="AQ40" i="1" s="1"/>
  <c r="AO40" i="1" s="1"/>
  <c r="AA40" i="1"/>
  <c r="V40" i="1"/>
  <c r="AE40" i="1"/>
  <c r="AF40" i="1"/>
  <c r="AG36" i="1"/>
  <c r="AH36" i="1" s="1"/>
  <c r="W36" i="1"/>
  <c r="X36" i="1" s="1"/>
  <c r="AB36" i="1"/>
  <c r="AC36" i="1" s="1"/>
  <c r="Z36" i="1"/>
  <c r="AD36" i="1" s="1"/>
  <c r="V36" i="1"/>
  <c r="AA36" i="1"/>
  <c r="AE36" i="1"/>
  <c r="U36" i="1"/>
  <c r="AF36" i="1"/>
  <c r="AB24" i="1"/>
  <c r="AC24" i="1" s="1"/>
  <c r="W24" i="1"/>
  <c r="X24" i="1" s="1"/>
  <c r="AG24" i="1"/>
  <c r="AH24" i="1" s="1"/>
  <c r="Z24" i="1"/>
  <c r="U24" i="1"/>
  <c r="AA24" i="1"/>
  <c r="V24" i="1"/>
  <c r="Y24" i="1" s="1"/>
  <c r="AE24" i="1"/>
  <c r="AF24" i="1"/>
  <c r="AG20" i="1"/>
  <c r="AH20" i="1" s="1"/>
  <c r="W20" i="1"/>
  <c r="X20" i="1" s="1"/>
  <c r="AB20" i="1"/>
  <c r="AC20" i="1" s="1"/>
  <c r="Z20" i="1"/>
  <c r="V20" i="1"/>
  <c r="AA20" i="1"/>
  <c r="AD20" i="1" s="1"/>
  <c r="AO20" i="1" s="1"/>
  <c r="U20" i="1"/>
  <c r="AE20" i="1"/>
  <c r="AF20" i="1"/>
  <c r="W91" i="70"/>
  <c r="AE91" i="70" s="1"/>
  <c r="U91" i="70"/>
  <c r="Y91" i="70"/>
  <c r="AB91" i="70"/>
  <c r="V91" i="70"/>
  <c r="Z91" i="70"/>
  <c r="AC91" i="70"/>
  <c r="W75" i="70"/>
  <c r="AE75" i="70" s="1"/>
  <c r="U75" i="70"/>
  <c r="Y75" i="70"/>
  <c r="AB75" i="70"/>
  <c r="V75" i="70"/>
  <c r="Z75" i="70"/>
  <c r="AA75" i="70" s="1"/>
  <c r="AC75" i="70"/>
  <c r="W43" i="70"/>
  <c r="AE43" i="70" s="1"/>
  <c r="U43" i="70"/>
  <c r="Y43" i="70"/>
  <c r="AB43" i="70"/>
  <c r="V43" i="70"/>
  <c r="Z43" i="70"/>
  <c r="AC43" i="70"/>
  <c r="AD43" i="70" s="1"/>
  <c r="W11" i="70"/>
  <c r="AE11" i="70" s="1"/>
  <c r="U11" i="70"/>
  <c r="Y11" i="70"/>
  <c r="AB11" i="70"/>
  <c r="AD11" i="70" s="1"/>
  <c r="V11" i="70"/>
  <c r="Z11" i="70"/>
  <c r="AC11" i="70"/>
  <c r="W77" i="70"/>
  <c r="AE77" i="70" s="1"/>
  <c r="V77" i="70"/>
  <c r="Z77" i="70"/>
  <c r="AC77" i="70"/>
  <c r="U77" i="70"/>
  <c r="Y77" i="70"/>
  <c r="AB77" i="70"/>
  <c r="W13" i="70"/>
  <c r="AE13" i="70" s="1"/>
  <c r="V13" i="70"/>
  <c r="Z13" i="70"/>
  <c r="AC13" i="70"/>
  <c r="U13" i="70"/>
  <c r="Y13" i="70"/>
  <c r="AA13" i="70" s="1"/>
  <c r="AB13" i="70"/>
  <c r="W76" i="70"/>
  <c r="AE76" i="70" s="1"/>
  <c r="U76" i="70"/>
  <c r="AB76" i="70"/>
  <c r="V76" i="70"/>
  <c r="AC76" i="70"/>
  <c r="Y76" i="70"/>
  <c r="Z76" i="70"/>
  <c r="AA76" i="70" s="1"/>
  <c r="W44" i="70"/>
  <c r="AE44" i="70" s="1"/>
  <c r="U44" i="70"/>
  <c r="AB44" i="70"/>
  <c r="V44" i="70"/>
  <c r="AC44" i="70"/>
  <c r="Y44" i="70"/>
  <c r="Z44" i="70"/>
  <c r="W94" i="70"/>
  <c r="AE94" i="70" s="1"/>
  <c r="Z94" i="70"/>
  <c r="U94" i="70"/>
  <c r="AB94" i="70"/>
  <c r="V94" i="70"/>
  <c r="AC94" i="70"/>
  <c r="Y94" i="70"/>
  <c r="W78" i="70"/>
  <c r="AE78" i="70" s="1"/>
  <c r="Z78" i="70"/>
  <c r="AA78" i="70" s="1"/>
  <c r="U78" i="70"/>
  <c r="AB78" i="70"/>
  <c r="V78" i="70"/>
  <c r="AC78" i="70"/>
  <c r="Y78" i="70"/>
  <c r="W46" i="70"/>
  <c r="AE46" i="70" s="1"/>
  <c r="Z46" i="70"/>
  <c r="U46" i="70"/>
  <c r="AB46" i="70"/>
  <c r="V46" i="70"/>
  <c r="AC46" i="70"/>
  <c r="Y46" i="70"/>
  <c r="AA46" i="70" s="1"/>
  <c r="W30" i="70"/>
  <c r="AE30" i="70" s="1"/>
  <c r="Z30" i="70"/>
  <c r="U30" i="70"/>
  <c r="AB30" i="70"/>
  <c r="AD30" i="70" s="1"/>
  <c r="V30" i="70"/>
  <c r="AC30" i="70"/>
  <c r="Y30" i="70"/>
  <c r="W89" i="70"/>
  <c r="AE89" i="70" s="1"/>
  <c r="V89" i="70"/>
  <c r="Z89" i="70"/>
  <c r="AC89" i="70"/>
  <c r="U89" i="70"/>
  <c r="Y89" i="70"/>
  <c r="AB89" i="70"/>
  <c r="W57" i="70"/>
  <c r="AE57" i="70" s="1"/>
  <c r="V57" i="70"/>
  <c r="Z57" i="70"/>
  <c r="AC57" i="70"/>
  <c r="U57" i="70"/>
  <c r="Y57" i="70"/>
  <c r="AB57" i="70"/>
  <c r="W25" i="70"/>
  <c r="AE25" i="70" s="1"/>
  <c r="V25" i="70"/>
  <c r="Z25" i="70"/>
  <c r="AA25" i="70" s="1"/>
  <c r="AC25" i="70"/>
  <c r="U25" i="70"/>
  <c r="Y25" i="70"/>
  <c r="AB25" i="70"/>
  <c r="W88" i="70"/>
  <c r="AE88" i="70" s="1"/>
  <c r="Y88" i="70"/>
  <c r="Z88" i="70"/>
  <c r="U88" i="70"/>
  <c r="AB88" i="70"/>
  <c r="V88" i="70"/>
  <c r="AC88" i="70"/>
  <c r="W24" i="70"/>
  <c r="AE24" i="70" s="1"/>
  <c r="Y24" i="70"/>
  <c r="Z24" i="70"/>
  <c r="U24" i="70"/>
  <c r="AB24" i="70"/>
  <c r="AD24" i="70" s="1"/>
  <c r="V24" i="70"/>
  <c r="AC24" i="70"/>
  <c r="AG10" i="1"/>
  <c r="AH10" i="1" s="1"/>
  <c r="AB10" i="1"/>
  <c r="AC10" i="1" s="1"/>
  <c r="W10" i="1"/>
  <c r="X10" i="1" s="1"/>
  <c r="V10" i="1"/>
  <c r="AA10" i="1"/>
  <c r="U10" i="1"/>
  <c r="Y10" i="1" s="1"/>
  <c r="Z10" i="1"/>
  <c r="AE10" i="1"/>
  <c r="AF10" i="1"/>
  <c r="U91" i="42"/>
  <c r="AC91" i="42"/>
  <c r="Y91" i="42"/>
  <c r="S91" i="42"/>
  <c r="T91" i="42"/>
  <c r="V91" i="42" s="1"/>
  <c r="W91" i="42"/>
  <c r="X91" i="42"/>
  <c r="AA91" i="42"/>
  <c r="AB91" i="42"/>
  <c r="AC83" i="42"/>
  <c r="U83" i="42"/>
  <c r="Y83" i="42"/>
  <c r="S83" i="42"/>
  <c r="R83" i="42" s="1"/>
  <c r="AK83" i="42" s="1"/>
  <c r="T83" i="42"/>
  <c r="W83" i="42"/>
  <c r="X83" i="42"/>
  <c r="AA83" i="42"/>
  <c r="AB83" i="42"/>
  <c r="U67" i="42"/>
  <c r="AC67" i="42"/>
  <c r="Y67" i="42"/>
  <c r="S67" i="42"/>
  <c r="T67" i="42"/>
  <c r="W67" i="42"/>
  <c r="X67" i="42"/>
  <c r="AA67" i="42"/>
  <c r="AB67" i="42"/>
  <c r="U59" i="42"/>
  <c r="AC59" i="42"/>
  <c r="Y59" i="42"/>
  <c r="S59" i="42"/>
  <c r="T59" i="42"/>
  <c r="W59" i="42"/>
  <c r="Z59" i="42" s="1"/>
  <c r="AI59" i="42" s="1"/>
  <c r="X59" i="42"/>
  <c r="AA59" i="42"/>
  <c r="AB59" i="42"/>
  <c r="U43" i="42"/>
  <c r="AC43" i="42"/>
  <c r="Y43" i="42"/>
  <c r="S43" i="42"/>
  <c r="T43" i="42"/>
  <c r="V43" i="42" s="1"/>
  <c r="W43" i="42"/>
  <c r="X43" i="42"/>
  <c r="AA43" i="42"/>
  <c r="AB43" i="42"/>
  <c r="AD43" i="42" s="1"/>
  <c r="U35" i="42"/>
  <c r="AC35" i="42"/>
  <c r="Y35" i="42"/>
  <c r="S35" i="42"/>
  <c r="R35" i="42" s="1"/>
  <c r="AK35" i="42" s="1"/>
  <c r="T35" i="42"/>
  <c r="W35" i="42"/>
  <c r="X35" i="42"/>
  <c r="AA35" i="42"/>
  <c r="AD35" i="42" s="1"/>
  <c r="AJ35" i="42" s="1"/>
  <c r="AB35" i="42"/>
  <c r="U19" i="42"/>
  <c r="AC19" i="42"/>
  <c r="Y19" i="42"/>
  <c r="S19" i="42"/>
  <c r="T19" i="42"/>
  <c r="W19" i="42"/>
  <c r="X19" i="42"/>
  <c r="Z19" i="42" s="1"/>
  <c r="AI19" i="42" s="1"/>
  <c r="AA19" i="42"/>
  <c r="AB19" i="42"/>
  <c r="U11" i="42"/>
  <c r="AC11" i="42"/>
  <c r="Y11" i="42"/>
  <c r="S11" i="42"/>
  <c r="T11" i="42"/>
  <c r="W11" i="42"/>
  <c r="Z11" i="42" s="1"/>
  <c r="AI11" i="42" s="1"/>
  <c r="X11" i="42"/>
  <c r="AA11" i="42"/>
  <c r="AB11" i="42"/>
  <c r="AC98" i="42"/>
  <c r="U98" i="42"/>
  <c r="Y98" i="42"/>
  <c r="S98" i="42"/>
  <c r="T98" i="42"/>
  <c r="R98" i="42" s="1"/>
  <c r="AK98" i="42" s="1"/>
  <c r="X98" i="42"/>
  <c r="AB98" i="42"/>
  <c r="W98" i="42"/>
  <c r="AA98" i="42"/>
  <c r="AD98" i="42" s="1"/>
  <c r="AC74" i="42"/>
  <c r="U74" i="42"/>
  <c r="Y74" i="42"/>
  <c r="S74" i="42"/>
  <c r="V74" i="42" s="1"/>
  <c r="T74" i="42"/>
  <c r="X74" i="42"/>
  <c r="AB74" i="42"/>
  <c r="W74" i="42"/>
  <c r="Z74" i="42" s="1"/>
  <c r="AA74" i="42"/>
  <c r="Y62" i="42"/>
  <c r="AC62" i="42"/>
  <c r="U62" i="42"/>
  <c r="W62" i="42"/>
  <c r="AA62" i="42"/>
  <c r="AD62" i="42" s="1"/>
  <c r="T62" i="42"/>
  <c r="X62" i="42"/>
  <c r="Z62" i="42" s="1"/>
  <c r="AI62" i="42" s="1"/>
  <c r="AB62" i="42"/>
  <c r="S62" i="42"/>
  <c r="Y38" i="42"/>
  <c r="AC38" i="42"/>
  <c r="U38" i="42"/>
  <c r="S38" i="42"/>
  <c r="W38" i="42"/>
  <c r="AA38" i="42"/>
  <c r="AD38" i="42" s="1"/>
  <c r="AJ38" i="42" s="1"/>
  <c r="T38" i="42"/>
  <c r="X38" i="42"/>
  <c r="AB38" i="42"/>
  <c r="Y14" i="42"/>
  <c r="AC14" i="42"/>
  <c r="U14" i="42"/>
  <c r="W14" i="42"/>
  <c r="AA14" i="42"/>
  <c r="S14" i="42"/>
  <c r="T14" i="42"/>
  <c r="X14" i="42"/>
  <c r="AB14" i="42"/>
  <c r="AC105" i="42"/>
  <c r="Y105" i="42"/>
  <c r="U105" i="42"/>
  <c r="S105" i="42"/>
  <c r="T105" i="42"/>
  <c r="W105" i="42"/>
  <c r="X105" i="42"/>
  <c r="AA105" i="42"/>
  <c r="AD105" i="42" s="1"/>
  <c r="AB105" i="42"/>
  <c r="AC93" i="42"/>
  <c r="Y93" i="42"/>
  <c r="U93" i="42"/>
  <c r="S93" i="42"/>
  <c r="T93" i="42"/>
  <c r="W93" i="42"/>
  <c r="X93" i="42"/>
  <c r="Z93" i="42" s="1"/>
  <c r="AA93" i="42"/>
  <c r="AB93" i="42"/>
  <c r="AC73" i="42"/>
  <c r="Y73" i="42"/>
  <c r="U73" i="42"/>
  <c r="S73" i="42"/>
  <c r="T73" i="42"/>
  <c r="W73" i="42"/>
  <c r="Z73" i="42" s="1"/>
  <c r="AI73" i="42" s="1"/>
  <c r="X73" i="42"/>
  <c r="AA73" i="42"/>
  <c r="AB73" i="42"/>
  <c r="AC61" i="42"/>
  <c r="Y61" i="42"/>
  <c r="U61" i="42"/>
  <c r="S61" i="42"/>
  <c r="T61" i="42"/>
  <c r="V61" i="42" s="1"/>
  <c r="W61" i="42"/>
  <c r="X61" i="42"/>
  <c r="AA61" i="42"/>
  <c r="AB61" i="42"/>
  <c r="AD61" i="42" s="1"/>
  <c r="AC33" i="42"/>
  <c r="Y33" i="42"/>
  <c r="U33" i="42"/>
  <c r="S33" i="42"/>
  <c r="T33" i="42"/>
  <c r="W33" i="42"/>
  <c r="X33" i="42"/>
  <c r="AA33" i="42"/>
  <c r="AD33" i="42" s="1"/>
  <c r="AB33" i="42"/>
  <c r="AC21" i="42"/>
  <c r="Y21" i="42"/>
  <c r="U21" i="42"/>
  <c r="S21" i="42"/>
  <c r="T21" i="42"/>
  <c r="W21" i="42"/>
  <c r="X21" i="42"/>
  <c r="AA21" i="42"/>
  <c r="AB21" i="42"/>
  <c r="AC96" i="42"/>
  <c r="Y96" i="42"/>
  <c r="U96" i="42"/>
  <c r="S96" i="42"/>
  <c r="W96" i="42"/>
  <c r="AA96" i="42"/>
  <c r="AD96" i="42" s="1"/>
  <c r="T96" i="42"/>
  <c r="X96" i="42"/>
  <c r="AB96" i="42"/>
  <c r="AC84" i="42"/>
  <c r="Y84" i="42"/>
  <c r="U84" i="42"/>
  <c r="S84" i="42"/>
  <c r="T84" i="42"/>
  <c r="X84" i="42"/>
  <c r="AB84" i="42"/>
  <c r="AA84" i="42"/>
  <c r="W84" i="42"/>
  <c r="Z84" i="42" s="1"/>
  <c r="AC60" i="42"/>
  <c r="Y60" i="42"/>
  <c r="U60" i="42"/>
  <c r="S60" i="42"/>
  <c r="T60" i="42"/>
  <c r="X60" i="42"/>
  <c r="AB60" i="42"/>
  <c r="W60" i="42"/>
  <c r="Z60" i="42" s="1"/>
  <c r="AA60" i="42"/>
  <c r="AC40" i="42"/>
  <c r="Y40" i="42"/>
  <c r="U40" i="42"/>
  <c r="S40" i="42"/>
  <c r="W40" i="42"/>
  <c r="AA40" i="42"/>
  <c r="T40" i="42"/>
  <c r="V40" i="42" s="1"/>
  <c r="X40" i="42"/>
  <c r="AB40" i="42"/>
  <c r="AC28" i="42"/>
  <c r="Y28" i="42"/>
  <c r="U28" i="42"/>
  <c r="S28" i="42"/>
  <c r="T28" i="42"/>
  <c r="X28" i="42"/>
  <c r="Z28" i="42" s="1"/>
  <c r="AI28" i="42" s="1"/>
  <c r="AB28" i="42"/>
  <c r="W28" i="42"/>
  <c r="AA28" i="42"/>
  <c r="AC90" i="42"/>
  <c r="U90" i="42"/>
  <c r="Y90" i="42"/>
  <c r="S90" i="42"/>
  <c r="T90" i="42"/>
  <c r="R90" i="42" s="1"/>
  <c r="AK90" i="42" s="1"/>
  <c r="AI90" i="42" s="1"/>
  <c r="X90" i="42"/>
  <c r="AB90" i="42"/>
  <c r="W90" i="42"/>
  <c r="Z90" i="42" s="1"/>
  <c r="AA90" i="42"/>
  <c r="AD90" i="42" s="1"/>
  <c r="AC66" i="42"/>
  <c r="Y66" i="42"/>
  <c r="U66" i="42"/>
  <c r="S66" i="42"/>
  <c r="R66" i="42" s="1"/>
  <c r="AK66" i="42" s="1"/>
  <c r="T66" i="42"/>
  <c r="X66" i="42"/>
  <c r="AB66" i="42"/>
  <c r="W66" i="42"/>
  <c r="Z66" i="42" s="1"/>
  <c r="AI66" i="42" s="1"/>
  <c r="AA66" i="42"/>
  <c r="AC42" i="42"/>
  <c r="Y42" i="42"/>
  <c r="U42" i="42"/>
  <c r="S42" i="42"/>
  <c r="T42" i="42"/>
  <c r="X42" i="42"/>
  <c r="AB42" i="42"/>
  <c r="W42" i="42"/>
  <c r="AA42" i="42"/>
  <c r="AC81" i="42"/>
  <c r="Y81" i="42"/>
  <c r="U81" i="42"/>
  <c r="S81" i="42"/>
  <c r="T81" i="42"/>
  <c r="W81" i="42"/>
  <c r="Z81" i="42" s="1"/>
  <c r="X81" i="42"/>
  <c r="AA81" i="42"/>
  <c r="AB81" i="42"/>
  <c r="AC57" i="42"/>
  <c r="Y57" i="42"/>
  <c r="U57" i="42"/>
  <c r="S57" i="42"/>
  <c r="T57" i="42"/>
  <c r="V57" i="42" s="1"/>
  <c r="W57" i="42"/>
  <c r="X57" i="42"/>
  <c r="AA57" i="42"/>
  <c r="AB57" i="42"/>
  <c r="AD57" i="42" s="1"/>
  <c r="AC37" i="42"/>
  <c r="Y37" i="42"/>
  <c r="U37" i="42"/>
  <c r="S37" i="42"/>
  <c r="R37" i="42" s="1"/>
  <c r="AK37" i="42" s="1"/>
  <c r="T37" i="42"/>
  <c r="W37" i="42"/>
  <c r="X37" i="42"/>
  <c r="AA37" i="42"/>
  <c r="AD37" i="42" s="1"/>
  <c r="AJ37" i="42" s="1"/>
  <c r="AB37" i="42"/>
  <c r="AC17" i="42"/>
  <c r="Y17" i="42"/>
  <c r="U17" i="42"/>
  <c r="S17" i="42"/>
  <c r="T17" i="42"/>
  <c r="W17" i="42"/>
  <c r="X17" i="42"/>
  <c r="Z17" i="42" s="1"/>
  <c r="AA17" i="42"/>
  <c r="AB17" i="42"/>
  <c r="AC76" i="42"/>
  <c r="Y76" i="42"/>
  <c r="U76" i="42"/>
  <c r="S76" i="42"/>
  <c r="T76" i="42"/>
  <c r="X76" i="42"/>
  <c r="AB76" i="42"/>
  <c r="W76" i="42"/>
  <c r="AA76" i="42"/>
  <c r="AC48" i="42"/>
  <c r="Y48" i="42"/>
  <c r="U48" i="42"/>
  <c r="S48" i="42"/>
  <c r="W48" i="42"/>
  <c r="AA48" i="42"/>
  <c r="AB48" i="42"/>
  <c r="T48" i="42"/>
  <c r="X48" i="42"/>
  <c r="W103" i="70"/>
  <c r="AE103" i="70" s="1"/>
  <c r="U103" i="70"/>
  <c r="Y103" i="70"/>
  <c r="AB103" i="70"/>
  <c r="AD103" i="70" s="1"/>
  <c r="V103" i="70"/>
  <c r="Z103" i="70"/>
  <c r="AC103" i="70"/>
  <c r="W71" i="70"/>
  <c r="AE71" i="70" s="1"/>
  <c r="U71" i="70"/>
  <c r="Y71" i="70"/>
  <c r="AB71" i="70"/>
  <c r="V71" i="70"/>
  <c r="Z71" i="70"/>
  <c r="AC71" i="70"/>
  <c r="W55" i="70"/>
  <c r="AE55" i="70" s="1"/>
  <c r="U55" i="70"/>
  <c r="Y55" i="70"/>
  <c r="AB55" i="70"/>
  <c r="V55" i="70"/>
  <c r="Z55" i="70"/>
  <c r="AA55" i="70" s="1"/>
  <c r="AC55" i="70"/>
  <c r="W23" i="70"/>
  <c r="AE23" i="70" s="1"/>
  <c r="U23" i="70"/>
  <c r="Y23" i="70"/>
  <c r="AA23" i="70" s="1"/>
  <c r="AB23" i="70"/>
  <c r="V23" i="70"/>
  <c r="Z23" i="70"/>
  <c r="AC23" i="70"/>
  <c r="W101" i="70"/>
  <c r="AE101" i="70" s="1"/>
  <c r="V101" i="70"/>
  <c r="Z101" i="70"/>
  <c r="AC101" i="70"/>
  <c r="U101" i="70"/>
  <c r="Y101" i="70"/>
  <c r="AB101" i="70"/>
  <c r="W69" i="70"/>
  <c r="AE69" i="70" s="1"/>
  <c r="V69" i="70"/>
  <c r="Z69" i="70"/>
  <c r="AC69" i="70"/>
  <c r="U69" i="70"/>
  <c r="Y69" i="70"/>
  <c r="AB69" i="70"/>
  <c r="W100" i="70"/>
  <c r="AE100" i="70" s="1"/>
  <c r="U100" i="70"/>
  <c r="AB100" i="70"/>
  <c r="V100" i="70"/>
  <c r="AC100" i="70"/>
  <c r="Y100" i="70"/>
  <c r="AA100" i="70" s="1"/>
  <c r="Z100" i="70"/>
  <c r="W68" i="70"/>
  <c r="AE68" i="70" s="1"/>
  <c r="U68" i="70"/>
  <c r="AB68" i="70"/>
  <c r="V68" i="70"/>
  <c r="AC68" i="70"/>
  <c r="Y68" i="70"/>
  <c r="Z68" i="70"/>
  <c r="AA68" i="70" s="1"/>
  <c r="W106" i="70"/>
  <c r="AE106" i="70" s="1"/>
  <c r="V106" i="70"/>
  <c r="AC106" i="70"/>
  <c r="Y106" i="70"/>
  <c r="Z106" i="70"/>
  <c r="AB106" i="70"/>
  <c r="U106" i="70"/>
  <c r="W90" i="70"/>
  <c r="AE90" i="70" s="1"/>
  <c r="V90" i="70"/>
  <c r="AC90" i="70"/>
  <c r="Y90" i="70"/>
  <c r="Z90" i="70"/>
  <c r="AA90" i="70" s="1"/>
  <c r="U90" i="70"/>
  <c r="AB90" i="70"/>
  <c r="W58" i="70"/>
  <c r="AE58" i="70" s="1"/>
  <c r="V58" i="70"/>
  <c r="AC58" i="70"/>
  <c r="Y58" i="70"/>
  <c r="Z58" i="70"/>
  <c r="U58" i="70"/>
  <c r="AB58" i="70"/>
  <c r="W42" i="70"/>
  <c r="AE42" i="70" s="1"/>
  <c r="V42" i="70"/>
  <c r="AC42" i="70"/>
  <c r="AD42" i="70" s="1"/>
  <c r="Y42" i="70"/>
  <c r="Z42" i="70"/>
  <c r="AB42" i="70"/>
  <c r="U42" i="70"/>
  <c r="W26" i="70"/>
  <c r="AE26" i="70" s="1"/>
  <c r="V26" i="70"/>
  <c r="AC26" i="70"/>
  <c r="Y26" i="70"/>
  <c r="AA26" i="70" s="1"/>
  <c r="Z26" i="70"/>
  <c r="U26" i="70"/>
  <c r="AB26" i="70"/>
  <c r="W81" i="70"/>
  <c r="AE81" i="70" s="1"/>
  <c r="V81" i="70"/>
  <c r="Z81" i="70"/>
  <c r="AC81" i="70"/>
  <c r="U81" i="70"/>
  <c r="Y81" i="70"/>
  <c r="AB81" i="70"/>
  <c r="W49" i="70"/>
  <c r="AE49" i="70" s="1"/>
  <c r="V49" i="70"/>
  <c r="Z49" i="70"/>
  <c r="AC49" i="70"/>
  <c r="U49" i="70"/>
  <c r="Y49" i="70"/>
  <c r="AA49" i="70" s="1"/>
  <c r="AB49" i="70"/>
  <c r="W80" i="70"/>
  <c r="AE80" i="70" s="1"/>
  <c r="Y80" i="70"/>
  <c r="Z80" i="70"/>
  <c r="AA80" i="70" s="1"/>
  <c r="U80" i="70"/>
  <c r="AB80" i="70"/>
  <c r="V80" i="70"/>
  <c r="AC80" i="70"/>
  <c r="AD80" i="70" s="1"/>
  <c r="W48" i="70"/>
  <c r="AE48" i="70" s="1"/>
  <c r="Y48" i="70"/>
  <c r="Z48" i="70"/>
  <c r="U48" i="70"/>
  <c r="AB48" i="70"/>
  <c r="V48" i="70"/>
  <c r="AC48" i="70"/>
  <c r="AG105" i="1"/>
  <c r="AH105" i="1" s="1"/>
  <c r="AB105" i="1"/>
  <c r="AC105" i="1" s="1"/>
  <c r="W105" i="1"/>
  <c r="X105" i="1" s="1"/>
  <c r="V105" i="1"/>
  <c r="U105" i="1"/>
  <c r="Y105" i="1" s="1"/>
  <c r="Z105" i="1"/>
  <c r="AA105" i="1"/>
  <c r="AF105" i="1"/>
  <c r="AE105" i="1"/>
  <c r="AI105" i="1" s="1"/>
  <c r="AG101" i="1"/>
  <c r="AH101" i="1" s="1"/>
  <c r="AB101" i="1"/>
  <c r="AC101" i="1" s="1"/>
  <c r="W101" i="1"/>
  <c r="X101" i="1" s="1"/>
  <c r="V101" i="1"/>
  <c r="T101" i="1" s="1"/>
  <c r="AQ101" i="1" s="1"/>
  <c r="U101" i="1"/>
  <c r="Z101" i="1"/>
  <c r="AA101" i="1"/>
  <c r="AF101" i="1"/>
  <c r="AI101" i="1" s="1"/>
  <c r="AE101" i="1"/>
  <c r="AG93" i="1"/>
  <c r="AH93" i="1" s="1"/>
  <c r="AB93" i="1"/>
  <c r="AC93" i="1" s="1"/>
  <c r="W93" i="1"/>
  <c r="X93" i="1" s="1"/>
  <c r="V93" i="1"/>
  <c r="U93" i="1"/>
  <c r="Z93" i="1"/>
  <c r="AA93" i="1"/>
  <c r="AF93" i="1"/>
  <c r="AE93" i="1"/>
  <c r="AG89" i="1"/>
  <c r="AH89" i="1" s="1"/>
  <c r="AB89" i="1"/>
  <c r="AC89" i="1" s="1"/>
  <c r="W89" i="1"/>
  <c r="X89" i="1" s="1"/>
  <c r="V89" i="1"/>
  <c r="U89" i="1"/>
  <c r="Y89" i="1" s="1"/>
  <c r="Z89" i="1"/>
  <c r="AD89" i="1" s="1"/>
  <c r="AO89" i="1" s="1"/>
  <c r="AA89" i="1"/>
  <c r="AF89" i="1"/>
  <c r="AE89" i="1"/>
  <c r="AI89" i="1" s="1"/>
  <c r="AG81" i="1"/>
  <c r="AH81" i="1" s="1"/>
  <c r="AB81" i="1"/>
  <c r="AC81" i="1" s="1"/>
  <c r="W81" i="1"/>
  <c r="X81" i="1" s="1"/>
  <c r="V81" i="1"/>
  <c r="U81" i="1"/>
  <c r="Y81" i="1" s="1"/>
  <c r="Z81" i="1"/>
  <c r="AA81" i="1"/>
  <c r="AF81" i="1"/>
  <c r="AE81" i="1"/>
  <c r="AI81" i="1" s="1"/>
  <c r="AG77" i="1"/>
  <c r="AH77" i="1" s="1"/>
  <c r="AB77" i="1"/>
  <c r="AC77" i="1" s="1"/>
  <c r="W77" i="1"/>
  <c r="X77" i="1" s="1"/>
  <c r="V77" i="1"/>
  <c r="T77" i="1" s="1"/>
  <c r="AQ77" i="1" s="1"/>
  <c r="U77" i="1"/>
  <c r="Z77" i="1"/>
  <c r="AA77" i="1"/>
  <c r="AF77" i="1"/>
  <c r="AI77" i="1" s="1"/>
  <c r="AE77" i="1"/>
  <c r="AG69" i="1"/>
  <c r="AH69" i="1" s="1"/>
  <c r="AB69" i="1"/>
  <c r="AC69" i="1" s="1"/>
  <c r="W69" i="1"/>
  <c r="X69" i="1" s="1"/>
  <c r="V69" i="1"/>
  <c r="U69" i="1"/>
  <c r="Z69" i="1"/>
  <c r="AA69" i="1"/>
  <c r="AF69" i="1"/>
  <c r="AE69" i="1"/>
  <c r="AG65" i="1"/>
  <c r="AH65" i="1" s="1"/>
  <c r="AB65" i="1"/>
  <c r="AC65" i="1" s="1"/>
  <c r="W65" i="1"/>
  <c r="X65" i="1" s="1"/>
  <c r="V65" i="1"/>
  <c r="U65" i="1"/>
  <c r="Z65" i="1"/>
  <c r="AD65" i="1" s="1"/>
  <c r="AA65" i="1"/>
  <c r="AF65" i="1"/>
  <c r="AE65" i="1"/>
  <c r="AI65" i="1" s="1"/>
  <c r="AG57" i="1"/>
  <c r="AH57" i="1" s="1"/>
  <c r="AB57" i="1"/>
  <c r="AC57" i="1" s="1"/>
  <c r="W57" i="1"/>
  <c r="X57" i="1" s="1"/>
  <c r="V57" i="1"/>
  <c r="U57" i="1"/>
  <c r="Y57" i="1" s="1"/>
  <c r="Z57" i="1"/>
  <c r="AA57" i="1"/>
  <c r="AF57" i="1"/>
  <c r="AE57" i="1"/>
  <c r="AI57" i="1" s="1"/>
  <c r="AG53" i="1"/>
  <c r="AH53" i="1" s="1"/>
  <c r="AB53" i="1"/>
  <c r="AC53" i="1" s="1"/>
  <c r="W53" i="1"/>
  <c r="X53" i="1" s="1"/>
  <c r="V53" i="1"/>
  <c r="T53" i="1" s="1"/>
  <c r="AQ53" i="1" s="1"/>
  <c r="U53" i="1"/>
  <c r="Z53" i="1"/>
  <c r="AA53" i="1"/>
  <c r="AF53" i="1"/>
  <c r="AI53" i="1" s="1"/>
  <c r="AE53" i="1"/>
  <c r="AG45" i="1"/>
  <c r="AH45" i="1" s="1"/>
  <c r="AB45" i="1"/>
  <c r="AC45" i="1" s="1"/>
  <c r="W45" i="1"/>
  <c r="X45" i="1" s="1"/>
  <c r="V45" i="1"/>
  <c r="U45" i="1"/>
  <c r="Z45" i="1"/>
  <c r="AA45" i="1"/>
  <c r="AD45" i="1" s="1"/>
  <c r="AO45" i="1" s="1"/>
  <c r="AF45" i="1"/>
  <c r="AE45" i="1"/>
  <c r="AG41" i="1"/>
  <c r="AH41" i="1" s="1"/>
  <c r="AB41" i="1"/>
  <c r="AC41" i="1" s="1"/>
  <c r="W41" i="1"/>
  <c r="X41" i="1" s="1"/>
  <c r="V41" i="1"/>
  <c r="U41" i="1"/>
  <c r="Y41" i="1" s="1"/>
  <c r="Z41" i="1"/>
  <c r="AD41" i="1" s="1"/>
  <c r="AO41" i="1" s="1"/>
  <c r="AA41" i="1"/>
  <c r="AF41" i="1"/>
  <c r="AE41" i="1"/>
  <c r="AI41" i="1" s="1"/>
  <c r="AG33" i="1"/>
  <c r="AH33" i="1" s="1"/>
  <c r="AB33" i="1"/>
  <c r="AC33" i="1" s="1"/>
  <c r="W33" i="1"/>
  <c r="X33" i="1" s="1"/>
  <c r="V33" i="1"/>
  <c r="U33" i="1"/>
  <c r="Y33" i="1" s="1"/>
  <c r="AN33" i="1" s="1"/>
  <c r="Z33" i="1"/>
  <c r="AA33" i="1"/>
  <c r="AF33" i="1"/>
  <c r="AE33" i="1"/>
  <c r="AI33" i="1" s="1"/>
  <c r="AG29" i="1"/>
  <c r="AH29" i="1" s="1"/>
  <c r="AB29" i="1"/>
  <c r="AC29" i="1" s="1"/>
  <c r="W29" i="1"/>
  <c r="X29" i="1" s="1"/>
  <c r="V29" i="1"/>
  <c r="U29" i="1"/>
  <c r="Z29" i="1"/>
  <c r="AA29" i="1"/>
  <c r="AF29" i="1"/>
  <c r="AE29" i="1"/>
  <c r="AG25" i="1"/>
  <c r="AH25" i="1" s="1"/>
  <c r="AB25" i="1"/>
  <c r="AC25" i="1" s="1"/>
  <c r="W25" i="1"/>
  <c r="X25" i="1" s="1"/>
  <c r="V25" i="1"/>
  <c r="U25" i="1"/>
  <c r="Z25" i="1"/>
  <c r="AA25" i="1"/>
  <c r="AD25" i="1" s="1"/>
  <c r="AO25" i="1" s="1"/>
  <c r="AF25" i="1"/>
  <c r="AE25" i="1"/>
  <c r="AG17" i="1"/>
  <c r="AH17" i="1" s="1"/>
  <c r="AB17" i="1"/>
  <c r="AC17" i="1" s="1"/>
  <c r="W17" i="1"/>
  <c r="X17" i="1" s="1"/>
  <c r="V17" i="1"/>
  <c r="U17" i="1"/>
  <c r="Z17" i="1"/>
  <c r="AD17" i="1" s="1"/>
  <c r="AO17" i="1" s="1"/>
  <c r="AA17" i="1"/>
  <c r="AF17" i="1"/>
  <c r="AE17" i="1"/>
  <c r="AI17" i="1" s="1"/>
  <c r="AG13" i="1"/>
  <c r="AH13" i="1" s="1"/>
  <c r="AB13" i="1"/>
  <c r="AC13" i="1" s="1"/>
  <c r="W13" i="1"/>
  <c r="X13" i="1" s="1"/>
  <c r="V13" i="1"/>
  <c r="U13" i="1"/>
  <c r="T13" i="1" s="1"/>
  <c r="AQ13" i="1" s="1"/>
  <c r="Z13" i="1"/>
  <c r="AA13" i="1"/>
  <c r="AF13" i="1"/>
  <c r="AE13" i="1"/>
  <c r="AI13" i="1" s="1"/>
  <c r="AG102" i="1"/>
  <c r="AH102" i="1" s="1"/>
  <c r="AB102" i="1"/>
  <c r="AC102" i="1" s="1"/>
  <c r="W102" i="1"/>
  <c r="X102" i="1" s="1"/>
  <c r="U102" i="1"/>
  <c r="T102" i="1" s="1"/>
  <c r="AQ102" i="1" s="1"/>
  <c r="AP102" i="1" s="1"/>
  <c r="V102" i="1"/>
  <c r="Z102" i="1"/>
  <c r="AF102" i="1"/>
  <c r="AA102" i="1"/>
  <c r="AE102" i="1"/>
  <c r="AG98" i="1"/>
  <c r="AH98" i="1" s="1"/>
  <c r="AB98" i="1"/>
  <c r="AC98" i="1" s="1"/>
  <c r="W98" i="1"/>
  <c r="X98" i="1" s="1"/>
  <c r="Z98" i="1"/>
  <c r="U98" i="1"/>
  <c r="AF98" i="1"/>
  <c r="AI98" i="1" s="1"/>
  <c r="AA98" i="1"/>
  <c r="AD98" i="1" s="1"/>
  <c r="AO98" i="1" s="1"/>
  <c r="V98" i="1"/>
  <c r="AE98" i="1"/>
  <c r="AG90" i="1"/>
  <c r="AH90" i="1" s="1"/>
  <c r="AB90" i="1"/>
  <c r="AC90" i="1" s="1"/>
  <c r="W90" i="1"/>
  <c r="X90" i="1" s="1"/>
  <c r="Z90" i="1"/>
  <c r="U90" i="1"/>
  <c r="Y90" i="1" s="1"/>
  <c r="AA90" i="1"/>
  <c r="AD90" i="1" s="1"/>
  <c r="AO90" i="1" s="1"/>
  <c r="AF90" i="1"/>
  <c r="V90" i="1"/>
  <c r="AE90" i="1"/>
  <c r="AI90" i="1" s="1"/>
  <c r="AG86" i="1"/>
  <c r="AH86" i="1" s="1"/>
  <c r="AB86" i="1"/>
  <c r="AC86" i="1" s="1"/>
  <c r="W86" i="1"/>
  <c r="X86" i="1" s="1"/>
  <c r="U86" i="1"/>
  <c r="V86" i="1"/>
  <c r="T86" i="1" s="1"/>
  <c r="AQ86" i="1" s="1"/>
  <c r="Z86" i="1"/>
  <c r="AF86" i="1"/>
  <c r="AA86" i="1"/>
  <c r="AE86" i="1"/>
  <c r="AI86" i="1" s="1"/>
  <c r="AG82" i="1"/>
  <c r="AH82" i="1" s="1"/>
  <c r="AB82" i="1"/>
  <c r="AC82" i="1" s="1"/>
  <c r="W82" i="1"/>
  <c r="X82" i="1" s="1"/>
  <c r="Z82" i="1"/>
  <c r="U82" i="1"/>
  <c r="V82" i="1"/>
  <c r="AF82" i="1"/>
  <c r="AI82" i="1" s="1"/>
  <c r="AA82" i="1"/>
  <c r="AE82" i="1"/>
  <c r="AG74" i="1"/>
  <c r="AH74" i="1" s="1"/>
  <c r="AB74" i="1"/>
  <c r="AC74" i="1" s="1"/>
  <c r="W74" i="1"/>
  <c r="X74" i="1" s="1"/>
  <c r="Z74" i="1"/>
  <c r="U74" i="1"/>
  <c r="V74" i="1"/>
  <c r="Y74" i="1" s="1"/>
  <c r="AA74" i="1"/>
  <c r="AD74" i="1" s="1"/>
  <c r="AO74" i="1" s="1"/>
  <c r="AF74" i="1"/>
  <c r="AE74" i="1"/>
  <c r="AG70" i="1"/>
  <c r="AH70" i="1" s="1"/>
  <c r="AB70" i="1"/>
  <c r="AC70" i="1" s="1"/>
  <c r="W70" i="1"/>
  <c r="X70" i="1" s="1"/>
  <c r="U70" i="1"/>
  <c r="V70" i="1"/>
  <c r="Y70" i="1" s="1"/>
  <c r="AN70" i="1" s="1"/>
  <c r="Z70" i="1"/>
  <c r="AF70" i="1"/>
  <c r="AA70" i="1"/>
  <c r="AE70" i="1"/>
  <c r="AG62" i="1"/>
  <c r="AH62" i="1" s="1"/>
  <c r="AB62" i="1"/>
  <c r="AC62" i="1" s="1"/>
  <c r="W62" i="1"/>
  <c r="X62" i="1" s="1"/>
  <c r="U62" i="1"/>
  <c r="V62" i="1"/>
  <c r="Z62" i="1"/>
  <c r="AA62" i="1"/>
  <c r="AF62" i="1"/>
  <c r="AE62" i="1"/>
  <c r="AG58" i="1"/>
  <c r="AH58" i="1" s="1"/>
  <c r="AB58" i="1"/>
  <c r="AC58" i="1" s="1"/>
  <c r="W58" i="1"/>
  <c r="X58" i="1" s="1"/>
  <c r="Z58" i="1"/>
  <c r="AD58" i="1" s="1"/>
  <c r="U58" i="1"/>
  <c r="AA58" i="1"/>
  <c r="AF58" i="1"/>
  <c r="AI58" i="1" s="1"/>
  <c r="V58" i="1"/>
  <c r="Y58" i="1" s="1"/>
  <c r="AE58" i="1"/>
  <c r="AG50" i="1"/>
  <c r="AH50" i="1" s="1"/>
  <c r="AB50" i="1"/>
  <c r="AC50" i="1" s="1"/>
  <c r="W50" i="1"/>
  <c r="X50" i="1" s="1"/>
  <c r="Z50" i="1"/>
  <c r="U50" i="1"/>
  <c r="V50" i="1"/>
  <c r="AF50" i="1"/>
  <c r="AI50" i="1" s="1"/>
  <c r="AP50" i="1" s="1"/>
  <c r="AA50" i="1"/>
  <c r="AE50" i="1"/>
  <c r="AG46" i="1"/>
  <c r="AH46" i="1" s="1"/>
  <c r="AB46" i="1"/>
  <c r="AC46" i="1" s="1"/>
  <c r="W46" i="1"/>
  <c r="X46" i="1" s="1"/>
  <c r="Z46" i="1"/>
  <c r="U46" i="1"/>
  <c r="V46" i="1"/>
  <c r="T46" i="1" s="1"/>
  <c r="AQ46" i="1" s="1"/>
  <c r="AP46" i="1" s="1"/>
  <c r="AA46" i="1"/>
  <c r="AF46" i="1"/>
  <c r="AE46" i="1"/>
  <c r="AG38" i="1"/>
  <c r="AH38" i="1" s="1"/>
  <c r="AB38" i="1"/>
  <c r="AC38" i="1" s="1"/>
  <c r="W38" i="1"/>
  <c r="X38" i="1" s="1"/>
  <c r="Z38" i="1"/>
  <c r="U38" i="1"/>
  <c r="T38" i="1" s="1"/>
  <c r="AQ38" i="1" s="1"/>
  <c r="V38" i="1"/>
  <c r="AF38" i="1"/>
  <c r="AA38" i="1"/>
  <c r="AE38" i="1"/>
  <c r="AI38" i="1" s="1"/>
  <c r="AG34" i="1"/>
  <c r="AH34" i="1" s="1"/>
  <c r="AB34" i="1"/>
  <c r="AC34" i="1" s="1"/>
  <c r="W34" i="1"/>
  <c r="X34" i="1" s="1"/>
  <c r="Z34" i="1"/>
  <c r="AD34" i="1" s="1"/>
  <c r="U34" i="1"/>
  <c r="AF34" i="1"/>
  <c r="AA34" i="1"/>
  <c r="V34" i="1"/>
  <c r="Y34" i="1" s="1"/>
  <c r="AE34" i="1"/>
  <c r="AG26" i="1"/>
  <c r="AH26" i="1" s="1"/>
  <c r="AB26" i="1"/>
  <c r="AC26" i="1" s="1"/>
  <c r="W26" i="1"/>
  <c r="X26" i="1" s="1"/>
  <c r="Z26" i="1"/>
  <c r="U26" i="1"/>
  <c r="AA26" i="1"/>
  <c r="AF26" i="1"/>
  <c r="AI26" i="1" s="1"/>
  <c r="AP26" i="1" s="1"/>
  <c r="V26" i="1"/>
  <c r="AE26" i="1"/>
  <c r="AG22" i="1"/>
  <c r="AH22" i="1" s="1"/>
  <c r="AB22" i="1"/>
  <c r="AC22" i="1" s="1"/>
  <c r="W22" i="1"/>
  <c r="X22" i="1" s="1"/>
  <c r="Z22" i="1"/>
  <c r="U22" i="1"/>
  <c r="V22" i="1"/>
  <c r="AF22" i="1"/>
  <c r="AA22" i="1"/>
  <c r="AE22" i="1"/>
  <c r="AG18" i="1"/>
  <c r="AH18" i="1" s="1"/>
  <c r="AB18" i="1"/>
  <c r="AC18" i="1" s="1"/>
  <c r="W18" i="1"/>
  <c r="X18" i="1" s="1"/>
  <c r="Z18" i="1"/>
  <c r="U18" i="1"/>
  <c r="Y18" i="1" s="1"/>
  <c r="V18" i="1"/>
  <c r="AF18" i="1"/>
  <c r="AA18" i="1"/>
  <c r="AE18" i="1"/>
  <c r="AI18" i="1" s="1"/>
  <c r="U107" i="42"/>
  <c r="AC107" i="42"/>
  <c r="Y107" i="42"/>
  <c r="S107" i="42"/>
  <c r="R107" i="42" s="1"/>
  <c r="AK107" i="42" s="1"/>
  <c r="T107" i="42"/>
  <c r="W107" i="42"/>
  <c r="X107" i="42"/>
  <c r="AA107" i="42"/>
  <c r="AB107" i="42"/>
  <c r="R76" i="42"/>
  <c r="W99" i="70"/>
  <c r="AE99" i="70" s="1"/>
  <c r="U99" i="70"/>
  <c r="Y99" i="70"/>
  <c r="AB99" i="70"/>
  <c r="V99" i="70"/>
  <c r="Z99" i="70"/>
  <c r="AC99" i="70"/>
  <c r="W83" i="70"/>
  <c r="AE83" i="70" s="1"/>
  <c r="U83" i="70"/>
  <c r="Y83" i="70"/>
  <c r="AB83" i="70"/>
  <c r="V83" i="70"/>
  <c r="Z83" i="70"/>
  <c r="AC83" i="70"/>
  <c r="W67" i="70"/>
  <c r="AE67" i="70" s="1"/>
  <c r="U67" i="70"/>
  <c r="Y67" i="70"/>
  <c r="AA67" i="70" s="1"/>
  <c r="AB67" i="70"/>
  <c r="V67" i="70"/>
  <c r="Z67" i="70"/>
  <c r="AC67" i="70"/>
  <c r="W51" i="70"/>
  <c r="AE51" i="70" s="1"/>
  <c r="U51" i="70"/>
  <c r="Y51" i="70"/>
  <c r="AA51" i="70" s="1"/>
  <c r="AB51" i="70"/>
  <c r="V51" i="70"/>
  <c r="Z51" i="70"/>
  <c r="AC51" i="70"/>
  <c r="W35" i="70"/>
  <c r="AE35" i="70" s="1"/>
  <c r="U35" i="70"/>
  <c r="Y35" i="70"/>
  <c r="AB35" i="70"/>
  <c r="V35" i="70"/>
  <c r="Z35" i="70"/>
  <c r="AC35" i="70"/>
  <c r="W19" i="70"/>
  <c r="AE19" i="70" s="1"/>
  <c r="U19" i="70"/>
  <c r="Y19" i="70"/>
  <c r="AB19" i="70"/>
  <c r="V19" i="70"/>
  <c r="Z19" i="70"/>
  <c r="AC19" i="70"/>
  <c r="W93" i="70"/>
  <c r="AE93" i="70" s="1"/>
  <c r="V93" i="70"/>
  <c r="Z93" i="70"/>
  <c r="AC93" i="70"/>
  <c r="U93" i="70"/>
  <c r="Y93" i="70"/>
  <c r="AB93" i="70"/>
  <c r="W61" i="70"/>
  <c r="AE61" i="70" s="1"/>
  <c r="V61" i="70"/>
  <c r="Z61" i="70"/>
  <c r="AA61" i="70" s="1"/>
  <c r="AC61" i="70"/>
  <c r="U61" i="70"/>
  <c r="Y61" i="70"/>
  <c r="AB61" i="70"/>
  <c r="W29" i="70"/>
  <c r="AE29" i="70" s="1"/>
  <c r="V29" i="70"/>
  <c r="Z29" i="70"/>
  <c r="AC29" i="70"/>
  <c r="U29" i="70"/>
  <c r="Y29" i="70"/>
  <c r="AB29" i="70"/>
  <c r="W92" i="70"/>
  <c r="AE92" i="70" s="1"/>
  <c r="U92" i="70"/>
  <c r="AB92" i="70"/>
  <c r="V92" i="70"/>
  <c r="AC92" i="70"/>
  <c r="Y92" i="70"/>
  <c r="AA92" i="70" s="1"/>
  <c r="Z92" i="70"/>
  <c r="W60" i="70"/>
  <c r="AE60" i="70" s="1"/>
  <c r="U60" i="70"/>
  <c r="AB60" i="70"/>
  <c r="V60" i="70"/>
  <c r="AC60" i="70"/>
  <c r="Y60" i="70"/>
  <c r="Z60" i="70"/>
  <c r="W28" i="70"/>
  <c r="AE28" i="70" s="1"/>
  <c r="U28" i="70"/>
  <c r="AB28" i="70"/>
  <c r="V28" i="70"/>
  <c r="AC28" i="70"/>
  <c r="Y28" i="70"/>
  <c r="Z28" i="70"/>
  <c r="AA28" i="70" s="1"/>
  <c r="W102" i="70"/>
  <c r="AE102" i="70" s="1"/>
  <c r="Z102" i="70"/>
  <c r="U102" i="70"/>
  <c r="AB102" i="70"/>
  <c r="V102" i="70"/>
  <c r="AC102" i="70"/>
  <c r="Y102" i="70"/>
  <c r="W86" i="70"/>
  <c r="AE86" i="70" s="1"/>
  <c r="Z86" i="70"/>
  <c r="AA86" i="70" s="1"/>
  <c r="U86" i="70"/>
  <c r="AB86" i="70"/>
  <c r="V86" i="70"/>
  <c r="AC86" i="70"/>
  <c r="Y86" i="70"/>
  <c r="W70" i="70"/>
  <c r="AE70" i="70" s="1"/>
  <c r="Z70" i="70"/>
  <c r="U70" i="70"/>
  <c r="AB70" i="70"/>
  <c r="V70" i="70"/>
  <c r="AC70" i="70"/>
  <c r="Y70" i="70"/>
  <c r="AA70" i="70" s="1"/>
  <c r="W54" i="70"/>
  <c r="AE54" i="70" s="1"/>
  <c r="Z54" i="70"/>
  <c r="U54" i="70"/>
  <c r="AB54" i="70"/>
  <c r="V54" i="70"/>
  <c r="AC54" i="70"/>
  <c r="Y54" i="70"/>
  <c r="AA54" i="70" s="1"/>
  <c r="W38" i="70"/>
  <c r="AE38" i="70" s="1"/>
  <c r="Z38" i="70"/>
  <c r="U38" i="70"/>
  <c r="AB38" i="70"/>
  <c r="V38" i="70"/>
  <c r="AC38" i="70"/>
  <c r="Y38" i="70"/>
  <c r="W22" i="70"/>
  <c r="AE22" i="70" s="1"/>
  <c r="Z22" i="70"/>
  <c r="U22" i="70"/>
  <c r="AB22" i="70"/>
  <c r="V22" i="70"/>
  <c r="AC22" i="70"/>
  <c r="AD22" i="70" s="1"/>
  <c r="Y22" i="70"/>
  <c r="W105" i="70"/>
  <c r="AE105" i="70" s="1"/>
  <c r="V105" i="70"/>
  <c r="Z105" i="70"/>
  <c r="AC105" i="70"/>
  <c r="U105" i="70"/>
  <c r="Y105" i="70"/>
  <c r="AB105" i="70"/>
  <c r="W73" i="70"/>
  <c r="AE73" i="70" s="1"/>
  <c r="V73" i="70"/>
  <c r="Z73" i="70"/>
  <c r="AC73" i="70"/>
  <c r="U73" i="70"/>
  <c r="Y73" i="70"/>
  <c r="AB73" i="70"/>
  <c r="W41" i="70"/>
  <c r="AE41" i="70" s="1"/>
  <c r="V41" i="70"/>
  <c r="Z41" i="70"/>
  <c r="AC41" i="70"/>
  <c r="U41" i="70"/>
  <c r="Y41" i="70"/>
  <c r="AB41" i="70"/>
  <c r="W104" i="70"/>
  <c r="AE104" i="70" s="1"/>
  <c r="Y104" i="70"/>
  <c r="Z104" i="70"/>
  <c r="U104" i="70"/>
  <c r="AB104" i="70"/>
  <c r="AC104" i="70"/>
  <c r="V104" i="70"/>
  <c r="W72" i="70"/>
  <c r="AE72" i="70" s="1"/>
  <c r="Y72" i="70"/>
  <c r="Z72" i="70"/>
  <c r="U72" i="70"/>
  <c r="AB72" i="70"/>
  <c r="AC72" i="70"/>
  <c r="V72" i="70"/>
  <c r="W40" i="70"/>
  <c r="AE40" i="70" s="1"/>
  <c r="Y40" i="70"/>
  <c r="Z40" i="70"/>
  <c r="U40" i="70"/>
  <c r="AB40" i="70"/>
  <c r="AC40" i="70"/>
  <c r="V40" i="70"/>
  <c r="R11" i="42"/>
  <c r="Y103" i="42"/>
  <c r="AC103" i="42"/>
  <c r="U103" i="42"/>
  <c r="S103" i="42"/>
  <c r="T103" i="42"/>
  <c r="W103" i="42"/>
  <c r="X103" i="42"/>
  <c r="AA103" i="42"/>
  <c r="AD103" i="42" s="1"/>
  <c r="AB103" i="42"/>
  <c r="AC95" i="42"/>
  <c r="Y95" i="42"/>
  <c r="U95" i="42"/>
  <c r="S95" i="42"/>
  <c r="T95" i="42"/>
  <c r="W95" i="42"/>
  <c r="X95" i="42"/>
  <c r="AA95" i="42"/>
  <c r="AB95" i="42"/>
  <c r="Y87" i="42"/>
  <c r="AC87" i="42"/>
  <c r="U87" i="42"/>
  <c r="S87" i="42"/>
  <c r="R87" i="42" s="1"/>
  <c r="AK87" i="42" s="1"/>
  <c r="T87" i="42"/>
  <c r="V87" i="42" s="1"/>
  <c r="W87" i="42"/>
  <c r="X87" i="42"/>
  <c r="AA87" i="42"/>
  <c r="AB87" i="42"/>
  <c r="Y79" i="42"/>
  <c r="AC79" i="42"/>
  <c r="U79" i="42"/>
  <c r="S79" i="42"/>
  <c r="T79" i="42"/>
  <c r="W79" i="42"/>
  <c r="X79" i="42"/>
  <c r="AA79" i="42"/>
  <c r="AB79" i="42"/>
  <c r="Y71" i="42"/>
  <c r="AC71" i="42"/>
  <c r="U71" i="42"/>
  <c r="S71" i="42"/>
  <c r="R71" i="42" s="1"/>
  <c r="AK71" i="42" s="1"/>
  <c r="T71" i="42"/>
  <c r="W71" i="42"/>
  <c r="X71" i="42"/>
  <c r="AA71" i="42"/>
  <c r="AD71" i="42" s="1"/>
  <c r="AB71" i="42"/>
  <c r="U63" i="42"/>
  <c r="Y63" i="42"/>
  <c r="AC63" i="42"/>
  <c r="S63" i="42"/>
  <c r="T63" i="42"/>
  <c r="W63" i="42"/>
  <c r="X63" i="42"/>
  <c r="AA63" i="42"/>
  <c r="AB63" i="42"/>
  <c r="U55" i="42"/>
  <c r="Y55" i="42"/>
  <c r="AC55" i="42"/>
  <c r="S55" i="42"/>
  <c r="R55" i="42" s="1"/>
  <c r="AK55" i="42" s="1"/>
  <c r="T55" i="42"/>
  <c r="W55" i="42"/>
  <c r="X55" i="42"/>
  <c r="AA55" i="42"/>
  <c r="AB55" i="42"/>
  <c r="U47" i="42"/>
  <c r="Y47" i="42"/>
  <c r="AC47" i="42"/>
  <c r="S47" i="42"/>
  <c r="T47" i="42"/>
  <c r="R47" i="42" s="1"/>
  <c r="AK47" i="42" s="1"/>
  <c r="W47" i="42"/>
  <c r="X47" i="42"/>
  <c r="AA47" i="42"/>
  <c r="AB47" i="42"/>
  <c r="U39" i="42"/>
  <c r="Y39" i="42"/>
  <c r="AC39" i="42"/>
  <c r="S39" i="42"/>
  <c r="R39" i="42" s="1"/>
  <c r="AK39" i="42" s="1"/>
  <c r="T39" i="42"/>
  <c r="W39" i="42"/>
  <c r="X39" i="42"/>
  <c r="AA39" i="42"/>
  <c r="AB39" i="42"/>
  <c r="U31" i="42"/>
  <c r="Y31" i="42"/>
  <c r="AC31" i="42"/>
  <c r="S31" i="42"/>
  <c r="T31" i="42"/>
  <c r="W31" i="42"/>
  <c r="X31" i="42"/>
  <c r="AA31" i="42"/>
  <c r="AB31" i="42"/>
  <c r="U23" i="42"/>
  <c r="Y23" i="42"/>
  <c r="AC23" i="42"/>
  <c r="S23" i="42"/>
  <c r="R23" i="42" s="1"/>
  <c r="AK23" i="42" s="1"/>
  <c r="T23" i="42"/>
  <c r="W23" i="42"/>
  <c r="X23" i="42"/>
  <c r="AA23" i="42"/>
  <c r="AB23" i="42"/>
  <c r="U15" i="42"/>
  <c r="Y15" i="42"/>
  <c r="AC15" i="42"/>
  <c r="S15" i="42"/>
  <c r="T15" i="42"/>
  <c r="W15" i="42"/>
  <c r="X15" i="42"/>
  <c r="AA15" i="42"/>
  <c r="AB15" i="42"/>
  <c r="R10" i="69"/>
  <c r="Y94" i="42"/>
  <c r="AC94" i="42"/>
  <c r="U94" i="42"/>
  <c r="W94" i="42"/>
  <c r="AA94" i="42"/>
  <c r="AD94" i="42" s="1"/>
  <c r="T94" i="42"/>
  <c r="R94" i="42" s="1"/>
  <c r="AK94" i="42" s="1"/>
  <c r="AJ94" i="42" s="1"/>
  <c r="X94" i="42"/>
  <c r="AB94" i="42"/>
  <c r="S94" i="42"/>
  <c r="AC82" i="42"/>
  <c r="U82" i="42"/>
  <c r="Y82" i="42"/>
  <c r="S82" i="42"/>
  <c r="R82" i="42" s="1"/>
  <c r="AK82" i="42" s="1"/>
  <c r="AJ82" i="42" s="1"/>
  <c r="T82" i="42"/>
  <c r="X82" i="42"/>
  <c r="AB82" i="42"/>
  <c r="W82" i="42"/>
  <c r="AA82" i="42"/>
  <c r="AD82" i="42" s="1"/>
  <c r="Y70" i="42"/>
  <c r="AC70" i="42"/>
  <c r="U70" i="42"/>
  <c r="S70" i="42"/>
  <c r="W70" i="42"/>
  <c r="Z70" i="42" s="1"/>
  <c r="AI70" i="42" s="1"/>
  <c r="AA70" i="42"/>
  <c r="T70" i="42"/>
  <c r="X70" i="42"/>
  <c r="AB70" i="42"/>
  <c r="AD70" i="42" s="1"/>
  <c r="AJ70" i="42" s="1"/>
  <c r="AC58" i="42"/>
  <c r="Y58" i="42"/>
  <c r="U58" i="42"/>
  <c r="S58" i="42"/>
  <c r="T58" i="42"/>
  <c r="X58" i="42"/>
  <c r="AB58" i="42"/>
  <c r="W58" i="42"/>
  <c r="AA58" i="42"/>
  <c r="Y46" i="42"/>
  <c r="AC46" i="42"/>
  <c r="U46" i="42"/>
  <c r="W46" i="42"/>
  <c r="AA46" i="42"/>
  <c r="S46" i="42"/>
  <c r="T46" i="42"/>
  <c r="X46" i="42"/>
  <c r="AB46" i="42"/>
  <c r="AC34" i="42"/>
  <c r="Y34" i="42"/>
  <c r="U34" i="42"/>
  <c r="S34" i="42"/>
  <c r="R34" i="42" s="1"/>
  <c r="AK34" i="42" s="1"/>
  <c r="T34" i="42"/>
  <c r="X34" i="42"/>
  <c r="AB34" i="42"/>
  <c r="W34" i="42"/>
  <c r="AA34" i="42"/>
  <c r="Y22" i="42"/>
  <c r="AC22" i="42"/>
  <c r="U22" i="42"/>
  <c r="W22" i="42"/>
  <c r="Z22" i="42" s="1"/>
  <c r="AA22" i="42"/>
  <c r="S22" i="42"/>
  <c r="T22" i="42"/>
  <c r="X22" i="42"/>
  <c r="AB22" i="42"/>
  <c r="AC10" i="42"/>
  <c r="Y10" i="42"/>
  <c r="U10" i="42"/>
  <c r="S10" i="42"/>
  <c r="W10" i="42"/>
  <c r="AA10" i="42"/>
  <c r="T10" i="42"/>
  <c r="X10" i="42"/>
  <c r="Z10" i="42" s="1"/>
  <c r="AB10" i="42"/>
  <c r="AC101" i="42"/>
  <c r="Y101" i="42"/>
  <c r="U101" i="42"/>
  <c r="S101" i="42"/>
  <c r="T101" i="42"/>
  <c r="R101" i="42" s="1"/>
  <c r="AK101" i="42" s="1"/>
  <c r="W101" i="42"/>
  <c r="X101" i="42"/>
  <c r="AA101" i="42"/>
  <c r="AB101" i="42"/>
  <c r="AC89" i="42"/>
  <c r="Y89" i="42"/>
  <c r="U89" i="42"/>
  <c r="S89" i="42"/>
  <c r="AK89" i="42" s="1"/>
  <c r="T89" i="42"/>
  <c r="R89" i="42" s="1"/>
  <c r="W89" i="42"/>
  <c r="Z89" i="42" s="1"/>
  <c r="AI89" i="42" s="1"/>
  <c r="X89" i="42"/>
  <c r="AA89" i="42"/>
  <c r="AB89" i="42"/>
  <c r="AC77" i="42"/>
  <c r="Y77" i="42"/>
  <c r="U77" i="42"/>
  <c r="S77" i="42"/>
  <c r="T77" i="42"/>
  <c r="W77" i="42"/>
  <c r="X77" i="42"/>
  <c r="AA77" i="42"/>
  <c r="AB77" i="42"/>
  <c r="AC65" i="42"/>
  <c r="Y65" i="42"/>
  <c r="U65" i="42"/>
  <c r="S65" i="42"/>
  <c r="T65" i="42"/>
  <c r="W65" i="42"/>
  <c r="X65" i="42"/>
  <c r="AA65" i="42"/>
  <c r="AD65" i="42" s="1"/>
  <c r="AB65" i="42"/>
  <c r="AC53" i="42"/>
  <c r="Y53" i="42"/>
  <c r="U53" i="42"/>
  <c r="S53" i="42"/>
  <c r="T53" i="42"/>
  <c r="W53" i="42"/>
  <c r="X53" i="42"/>
  <c r="AA53" i="42"/>
  <c r="AB53" i="42"/>
  <c r="AC41" i="42"/>
  <c r="Y41" i="42"/>
  <c r="U41" i="42"/>
  <c r="S41" i="42"/>
  <c r="R41" i="42" s="1"/>
  <c r="AK41" i="42" s="1"/>
  <c r="T41" i="42"/>
  <c r="W41" i="42"/>
  <c r="Z41" i="42" s="1"/>
  <c r="X41" i="42"/>
  <c r="AA41" i="42"/>
  <c r="AB41" i="42"/>
  <c r="AC29" i="42"/>
  <c r="Y29" i="42"/>
  <c r="U29" i="42"/>
  <c r="S29" i="42"/>
  <c r="T29" i="42"/>
  <c r="W29" i="42"/>
  <c r="X29" i="42"/>
  <c r="AA29" i="42"/>
  <c r="AB29" i="42"/>
  <c r="AC13" i="42"/>
  <c r="Y13" i="42"/>
  <c r="U13" i="42"/>
  <c r="S13" i="42"/>
  <c r="T13" i="42"/>
  <c r="W13" i="42"/>
  <c r="X13" i="42"/>
  <c r="AA13" i="42"/>
  <c r="AD13" i="42" s="1"/>
  <c r="AB13" i="42"/>
  <c r="AC100" i="42"/>
  <c r="Y100" i="42"/>
  <c r="U100" i="42"/>
  <c r="S100" i="42"/>
  <c r="T100" i="42"/>
  <c r="X100" i="42"/>
  <c r="AB100" i="42"/>
  <c r="W100" i="42"/>
  <c r="AA100" i="42"/>
  <c r="AC92" i="42"/>
  <c r="Y92" i="42"/>
  <c r="U92" i="42"/>
  <c r="S92" i="42"/>
  <c r="T92" i="42"/>
  <c r="X92" i="42"/>
  <c r="AB92" i="42"/>
  <c r="W92" i="42"/>
  <c r="AA92" i="42"/>
  <c r="AC80" i="42"/>
  <c r="Y80" i="42"/>
  <c r="U80" i="42"/>
  <c r="S80" i="42"/>
  <c r="W80" i="42"/>
  <c r="AA80" i="42"/>
  <c r="AB80" i="42"/>
  <c r="T80" i="42"/>
  <c r="X80" i="42"/>
  <c r="AC68" i="42"/>
  <c r="Y68" i="42"/>
  <c r="U68" i="42"/>
  <c r="S68" i="42"/>
  <c r="T68" i="42"/>
  <c r="X68" i="42"/>
  <c r="AB68" i="42"/>
  <c r="W68" i="42"/>
  <c r="Z68" i="42" s="1"/>
  <c r="AA68" i="42"/>
  <c r="AC56" i="42"/>
  <c r="Y56" i="42"/>
  <c r="U56" i="42"/>
  <c r="S56" i="42"/>
  <c r="W56" i="42"/>
  <c r="AA56" i="42"/>
  <c r="AD56" i="42" s="1"/>
  <c r="X56" i="42"/>
  <c r="Z56" i="42" s="1"/>
  <c r="AB56" i="42"/>
  <c r="T56" i="42"/>
  <c r="AC44" i="42"/>
  <c r="Y44" i="42"/>
  <c r="U44" i="42"/>
  <c r="S44" i="42"/>
  <c r="T44" i="42"/>
  <c r="X44" i="42"/>
  <c r="AB44" i="42"/>
  <c r="W44" i="42"/>
  <c r="AA44" i="42"/>
  <c r="AD44" i="42" s="1"/>
  <c r="AC32" i="42"/>
  <c r="Y32" i="42"/>
  <c r="U32" i="42"/>
  <c r="S32" i="42"/>
  <c r="W32" i="42"/>
  <c r="AA32" i="42"/>
  <c r="T32" i="42"/>
  <c r="X32" i="42"/>
  <c r="AB32" i="42"/>
  <c r="AC20" i="42"/>
  <c r="Y20" i="42"/>
  <c r="U20" i="42"/>
  <c r="S20" i="42"/>
  <c r="R20" i="42" s="1"/>
  <c r="T20" i="42"/>
  <c r="X20" i="42"/>
  <c r="AB20" i="42"/>
  <c r="AA20" i="42"/>
  <c r="AD20" i="42" s="1"/>
  <c r="W20" i="42"/>
  <c r="Y102" i="42"/>
  <c r="AC102" i="42"/>
  <c r="U102" i="42"/>
  <c r="S102" i="42"/>
  <c r="W102" i="42"/>
  <c r="Z102" i="42" s="1"/>
  <c r="AA102" i="42"/>
  <c r="AD102" i="42" s="1"/>
  <c r="T102" i="42"/>
  <c r="V102" i="42" s="1"/>
  <c r="X102" i="42"/>
  <c r="AB102" i="42"/>
  <c r="Y78" i="42"/>
  <c r="AC78" i="42"/>
  <c r="U78" i="42"/>
  <c r="W78" i="42"/>
  <c r="AA78" i="42"/>
  <c r="S78" i="42"/>
  <c r="R78" i="42" s="1"/>
  <c r="AK78" i="42" s="1"/>
  <c r="T78" i="42"/>
  <c r="X78" i="42"/>
  <c r="AB78" i="42"/>
  <c r="Y54" i="42"/>
  <c r="AC54" i="42"/>
  <c r="U54" i="42"/>
  <c r="W54" i="42"/>
  <c r="AA54" i="42"/>
  <c r="S54" i="42"/>
  <c r="T54" i="42"/>
  <c r="X54" i="42"/>
  <c r="AB54" i="42"/>
  <c r="Y30" i="42"/>
  <c r="AC30" i="42"/>
  <c r="U30" i="42"/>
  <c r="W30" i="42"/>
  <c r="AA30" i="42"/>
  <c r="T30" i="42"/>
  <c r="X30" i="42"/>
  <c r="AB30" i="42"/>
  <c r="AD30" i="42" s="1"/>
  <c r="AJ30" i="42" s="1"/>
  <c r="S30" i="42"/>
  <c r="AC97" i="42"/>
  <c r="Y97" i="42"/>
  <c r="U97" i="42"/>
  <c r="S97" i="42"/>
  <c r="T97" i="42"/>
  <c r="W97" i="42"/>
  <c r="X97" i="42"/>
  <c r="AA97" i="42"/>
  <c r="AB97" i="42"/>
  <c r="AC69" i="42"/>
  <c r="Y69" i="42"/>
  <c r="U69" i="42"/>
  <c r="S69" i="42"/>
  <c r="T69" i="42"/>
  <c r="W69" i="42"/>
  <c r="Z69" i="42" s="1"/>
  <c r="X69" i="42"/>
  <c r="AA69" i="42"/>
  <c r="AB69" i="42"/>
  <c r="AC49" i="42"/>
  <c r="Y49" i="42"/>
  <c r="U49" i="42"/>
  <c r="S49" i="42"/>
  <c r="T49" i="42"/>
  <c r="W49" i="42"/>
  <c r="X49" i="42"/>
  <c r="AA49" i="42"/>
  <c r="AB49" i="42"/>
  <c r="AC25" i="42"/>
  <c r="Y25" i="42"/>
  <c r="U25" i="42"/>
  <c r="S25" i="42"/>
  <c r="T25" i="42"/>
  <c r="W25" i="42"/>
  <c r="X25" i="42"/>
  <c r="AA25" i="42"/>
  <c r="AD25" i="42" s="1"/>
  <c r="AB25" i="42"/>
  <c r="AC88" i="42"/>
  <c r="Y88" i="42"/>
  <c r="U88" i="42"/>
  <c r="S88" i="42"/>
  <c r="W88" i="42"/>
  <c r="AA88" i="42"/>
  <c r="X88" i="42"/>
  <c r="AB88" i="42"/>
  <c r="T88" i="42"/>
  <c r="AC64" i="42"/>
  <c r="Y64" i="42"/>
  <c r="U64" i="42"/>
  <c r="S64" i="42"/>
  <c r="R64" i="42" s="1"/>
  <c r="W64" i="42"/>
  <c r="AA64" i="42"/>
  <c r="T64" i="42"/>
  <c r="X64" i="42"/>
  <c r="AB64" i="42"/>
  <c r="AC36" i="42"/>
  <c r="Y36" i="42"/>
  <c r="U36" i="42"/>
  <c r="S36" i="42"/>
  <c r="T36" i="42"/>
  <c r="X36" i="42"/>
  <c r="AB36" i="42"/>
  <c r="W36" i="42"/>
  <c r="Z36" i="42" s="1"/>
  <c r="AA36" i="42"/>
  <c r="AC12" i="42"/>
  <c r="Y12" i="42"/>
  <c r="U12" i="42"/>
  <c r="S12" i="42"/>
  <c r="R12" i="42" s="1"/>
  <c r="T12" i="42"/>
  <c r="X12" i="42"/>
  <c r="AB12" i="42"/>
  <c r="W12" i="42"/>
  <c r="AA12" i="42"/>
  <c r="AL105" i="71"/>
  <c r="AK105" i="71"/>
  <c r="Z105" i="71"/>
  <c r="Y105" i="71"/>
  <c r="X105" i="71"/>
  <c r="AK97" i="71"/>
  <c r="AL97" i="71"/>
  <c r="Z97" i="71"/>
  <c r="X97" i="71"/>
  <c r="Y97" i="71"/>
  <c r="W97" i="71" s="1"/>
  <c r="AS97" i="71" s="1"/>
  <c r="AL89" i="71"/>
  <c r="AK89" i="71"/>
  <c r="Z89" i="71"/>
  <c r="Y89" i="71"/>
  <c r="X89" i="71"/>
  <c r="W89" i="71" s="1"/>
  <c r="AS89" i="71" s="1"/>
  <c r="AR89" i="71" s="1"/>
  <c r="AK81" i="71"/>
  <c r="AL81" i="71"/>
  <c r="Z81" i="71"/>
  <c r="Y81" i="71"/>
  <c r="X81" i="71"/>
  <c r="AL73" i="71"/>
  <c r="AK73" i="71"/>
  <c r="Z73" i="71"/>
  <c r="Y73" i="71"/>
  <c r="X73" i="71"/>
  <c r="AK65" i="71"/>
  <c r="AL65" i="71"/>
  <c r="Z65" i="71"/>
  <c r="X65" i="71"/>
  <c r="Y65" i="71"/>
  <c r="AA65" i="71" s="1"/>
  <c r="AK57" i="71"/>
  <c r="AL57" i="71"/>
  <c r="Z57" i="71"/>
  <c r="Y57" i="71"/>
  <c r="X57" i="71"/>
  <c r="W57" i="71" s="1"/>
  <c r="AS57" i="71" s="1"/>
  <c r="AK49" i="71"/>
  <c r="AL49" i="71"/>
  <c r="Z49" i="71"/>
  <c r="X49" i="71"/>
  <c r="Y49" i="71"/>
  <c r="AK41" i="71"/>
  <c r="AL41" i="71"/>
  <c r="Z41" i="71"/>
  <c r="Y41" i="71"/>
  <c r="X41" i="71"/>
  <c r="AK33" i="71"/>
  <c r="AL33" i="71"/>
  <c r="Z33" i="71"/>
  <c r="Y33" i="71"/>
  <c r="X33" i="71"/>
  <c r="AK25" i="71"/>
  <c r="AL25" i="71"/>
  <c r="Z25" i="71"/>
  <c r="Y25" i="71"/>
  <c r="X25" i="71"/>
  <c r="AK17" i="71"/>
  <c r="AL17" i="71"/>
  <c r="Z17" i="71"/>
  <c r="X17" i="71"/>
  <c r="AA17" i="71" s="1"/>
  <c r="Y17" i="71"/>
  <c r="AL108" i="71"/>
  <c r="AK108" i="71"/>
  <c r="Z108" i="71"/>
  <c r="X108" i="71"/>
  <c r="Y108" i="71"/>
  <c r="AL104" i="71"/>
  <c r="AK104" i="71"/>
  <c r="Z104" i="71"/>
  <c r="X104" i="71"/>
  <c r="Y104" i="71"/>
  <c r="AL96" i="71"/>
  <c r="AK96" i="71"/>
  <c r="Z96" i="71"/>
  <c r="X96" i="71"/>
  <c r="Y96" i="71"/>
  <c r="AL88" i="71"/>
  <c r="AK88" i="71"/>
  <c r="Z88" i="71"/>
  <c r="X88" i="71"/>
  <c r="Y88" i="71"/>
  <c r="AL80" i="71"/>
  <c r="AK80" i="71"/>
  <c r="Z80" i="71"/>
  <c r="X80" i="71"/>
  <c r="Y80" i="71"/>
  <c r="AL72" i="71"/>
  <c r="AK72" i="71"/>
  <c r="Z72" i="71"/>
  <c r="X72" i="71"/>
  <c r="Y72" i="71"/>
  <c r="W72" i="71" s="1"/>
  <c r="AS72" i="71" s="1"/>
  <c r="AL64" i="71"/>
  <c r="AK64" i="71"/>
  <c r="Z64" i="71"/>
  <c r="X64" i="71"/>
  <c r="Y64" i="71"/>
  <c r="AL52" i="71"/>
  <c r="AK52" i="71"/>
  <c r="Z52" i="71"/>
  <c r="X52" i="71"/>
  <c r="Y52" i="71"/>
  <c r="AL20" i="71"/>
  <c r="AK20" i="71"/>
  <c r="Z20" i="71"/>
  <c r="Y20" i="71"/>
  <c r="X20" i="71"/>
  <c r="AL10" i="71"/>
  <c r="AK10" i="71"/>
  <c r="X10" i="71"/>
  <c r="Y10" i="71"/>
  <c r="Z109" i="71"/>
  <c r="AL109" i="71"/>
  <c r="AK109" i="71"/>
  <c r="X109" i="71"/>
  <c r="Y109" i="71"/>
  <c r="W109" i="71" s="1"/>
  <c r="AS109" i="71" s="1"/>
  <c r="Z101" i="71"/>
  <c r="AL101" i="71"/>
  <c r="AK101" i="71"/>
  <c r="X101" i="71"/>
  <c r="Y101" i="71"/>
  <c r="Z93" i="71"/>
  <c r="AK93" i="71"/>
  <c r="AL93" i="71"/>
  <c r="X93" i="71"/>
  <c r="Y93" i="71"/>
  <c r="Z85" i="71"/>
  <c r="AL85" i="71"/>
  <c r="AK85" i="71"/>
  <c r="Y85" i="71"/>
  <c r="X85" i="71"/>
  <c r="Z77" i="71"/>
  <c r="AK77" i="71"/>
  <c r="AL77" i="71"/>
  <c r="X77" i="71"/>
  <c r="Y77" i="71"/>
  <c r="W77" i="71" s="1"/>
  <c r="AS77" i="71" s="1"/>
  <c r="Z69" i="71"/>
  <c r="AL69" i="71"/>
  <c r="AK69" i="71"/>
  <c r="X69" i="71"/>
  <c r="Y69" i="71"/>
  <c r="AL61" i="71"/>
  <c r="Z61" i="71"/>
  <c r="AK61" i="71"/>
  <c r="X61" i="71"/>
  <c r="Y61" i="71"/>
  <c r="AL53" i="71"/>
  <c r="Z53" i="71"/>
  <c r="AK53" i="71"/>
  <c r="Y53" i="71"/>
  <c r="X53" i="71"/>
  <c r="AL45" i="71"/>
  <c r="Z45" i="71"/>
  <c r="AK45" i="71"/>
  <c r="X45" i="71"/>
  <c r="Y45" i="71"/>
  <c r="W45" i="71" s="1"/>
  <c r="AS45" i="71" s="1"/>
  <c r="AL37" i="71"/>
  <c r="Z37" i="71"/>
  <c r="AK37" i="71"/>
  <c r="Y37" i="71"/>
  <c r="X37" i="71"/>
  <c r="AL29" i="71"/>
  <c r="Z29" i="71"/>
  <c r="AK29" i="71"/>
  <c r="X29" i="71"/>
  <c r="AA29" i="71" s="1"/>
  <c r="Y29" i="71"/>
  <c r="AL21" i="71"/>
  <c r="Z21" i="71"/>
  <c r="AK21" i="71"/>
  <c r="X21" i="71"/>
  <c r="Y21" i="71"/>
  <c r="AL13" i="71"/>
  <c r="Z13" i="71"/>
  <c r="AK13" i="71"/>
  <c r="X13" i="71"/>
  <c r="Y13" i="71"/>
  <c r="AA13" i="71" s="1"/>
  <c r="AL100" i="71"/>
  <c r="AK100" i="71"/>
  <c r="Z100" i="71"/>
  <c r="X100" i="71"/>
  <c r="Y100" i="71"/>
  <c r="AL92" i="71"/>
  <c r="AK92" i="71"/>
  <c r="Z92" i="71"/>
  <c r="X92" i="71"/>
  <c r="Y92" i="71"/>
  <c r="AL84" i="71"/>
  <c r="AK84" i="71"/>
  <c r="Z84" i="71"/>
  <c r="X84" i="71"/>
  <c r="Y84" i="71"/>
  <c r="AL76" i="71"/>
  <c r="AK76" i="71"/>
  <c r="Z76" i="71"/>
  <c r="X76" i="71"/>
  <c r="Y76" i="71"/>
  <c r="AA76" i="71" s="1"/>
  <c r="AL68" i="71"/>
  <c r="AK68" i="71"/>
  <c r="Z68" i="71"/>
  <c r="X68" i="71"/>
  <c r="Y68" i="71"/>
  <c r="AL60" i="71"/>
  <c r="AK60" i="71"/>
  <c r="Z60" i="71"/>
  <c r="X60" i="71"/>
  <c r="Y60" i="71"/>
  <c r="AL56" i="71"/>
  <c r="AK56" i="71"/>
  <c r="Z56" i="71"/>
  <c r="X56" i="71"/>
  <c r="Y56" i="71"/>
  <c r="AL48" i="71"/>
  <c r="AK48" i="71"/>
  <c r="Z48" i="71"/>
  <c r="X48" i="71"/>
  <c r="Y48" i="71"/>
  <c r="AA48" i="71" s="1"/>
  <c r="AL44" i="71"/>
  <c r="AK44" i="71"/>
  <c r="Z44" i="71"/>
  <c r="X44" i="71"/>
  <c r="Y44" i="71"/>
  <c r="AL40" i="71"/>
  <c r="AK40" i="71"/>
  <c r="Z40" i="71"/>
  <c r="X40" i="71"/>
  <c r="Y40" i="71"/>
  <c r="AL36" i="71"/>
  <c r="AK36" i="71"/>
  <c r="Z36" i="71"/>
  <c r="Y36" i="71"/>
  <c r="X36" i="71"/>
  <c r="AL32" i="71"/>
  <c r="AK32" i="71"/>
  <c r="Z32" i="71"/>
  <c r="X32" i="71"/>
  <c r="Y32" i="71"/>
  <c r="W32" i="71" s="1"/>
  <c r="AS32" i="71" s="1"/>
  <c r="AL28" i="71"/>
  <c r="AK28" i="71"/>
  <c r="Z28" i="71"/>
  <c r="Y28" i="71"/>
  <c r="X28" i="71"/>
  <c r="AL24" i="71"/>
  <c r="AK24" i="71"/>
  <c r="Z24" i="71"/>
  <c r="X24" i="71"/>
  <c r="Y24" i="71"/>
  <c r="AL16" i="71"/>
  <c r="AK16" i="71"/>
  <c r="Z16" i="71"/>
  <c r="X16" i="71"/>
  <c r="Y16" i="71"/>
  <c r="W16" i="71" s="1"/>
  <c r="AS16" i="71" s="1"/>
  <c r="AR16" i="71" s="1"/>
  <c r="AL12" i="71"/>
  <c r="AK12" i="71"/>
  <c r="Z12" i="71"/>
  <c r="Y12" i="71"/>
  <c r="X12" i="71"/>
  <c r="W12" i="71" s="1"/>
  <c r="AS12" i="71" s="1"/>
  <c r="AR12" i="71" s="1"/>
  <c r="AL107" i="71"/>
  <c r="AK107" i="71"/>
  <c r="Z107" i="71"/>
  <c r="X107" i="71"/>
  <c r="Y107" i="71"/>
  <c r="AL103" i="71"/>
  <c r="AK103" i="71"/>
  <c r="Z103" i="71"/>
  <c r="X103" i="71"/>
  <c r="Y103" i="71"/>
  <c r="AL99" i="71"/>
  <c r="AK99" i="71"/>
  <c r="Z99" i="71"/>
  <c r="X99" i="71"/>
  <c r="Y99" i="71"/>
  <c r="AL95" i="71"/>
  <c r="AK95" i="71"/>
  <c r="Z95" i="71"/>
  <c r="X95" i="71"/>
  <c r="Y95" i="71"/>
  <c r="AA95" i="71" s="1"/>
  <c r="AL91" i="71"/>
  <c r="AK91" i="71"/>
  <c r="Z91" i="71"/>
  <c r="X91" i="71"/>
  <c r="Y91" i="71"/>
  <c r="AL87" i="71"/>
  <c r="AK87" i="71"/>
  <c r="Z87" i="71"/>
  <c r="X87" i="71"/>
  <c r="W87" i="71" s="1"/>
  <c r="AS87" i="71" s="1"/>
  <c r="AQ87" i="71" s="1"/>
  <c r="Y87" i="71"/>
  <c r="AL83" i="71"/>
  <c r="AK83" i="71"/>
  <c r="Z83" i="71"/>
  <c r="X83" i="71"/>
  <c r="Y83" i="71"/>
  <c r="AA83" i="71" s="1"/>
  <c r="AL79" i="71"/>
  <c r="AK79" i="71"/>
  <c r="Z79" i="71"/>
  <c r="X79" i="71"/>
  <c r="Y79" i="71"/>
  <c r="AA79" i="71" s="1"/>
  <c r="AL75" i="71"/>
  <c r="AK75" i="71"/>
  <c r="Z75" i="71"/>
  <c r="X75" i="71"/>
  <c r="Y75" i="71"/>
  <c r="AL71" i="71"/>
  <c r="AK71" i="71"/>
  <c r="Z71" i="71"/>
  <c r="X71" i="71"/>
  <c r="W71" i="71" s="1"/>
  <c r="AS71" i="71" s="1"/>
  <c r="AQ71" i="71" s="1"/>
  <c r="Y71" i="71"/>
  <c r="AL67" i="71"/>
  <c r="AK67" i="71"/>
  <c r="Z67" i="71"/>
  <c r="X67" i="71"/>
  <c r="Y67" i="71"/>
  <c r="AL63" i="71"/>
  <c r="AK63" i="71"/>
  <c r="Z63" i="71"/>
  <c r="X63" i="71"/>
  <c r="Y63" i="71"/>
  <c r="AA63" i="71" s="1"/>
  <c r="AL59" i="71"/>
  <c r="AK59" i="71"/>
  <c r="Z59" i="71"/>
  <c r="X59" i="71"/>
  <c r="Y59" i="71"/>
  <c r="AL55" i="71"/>
  <c r="AK55" i="71"/>
  <c r="Z55" i="71"/>
  <c r="X55" i="71"/>
  <c r="Y55" i="71"/>
  <c r="AL51" i="71"/>
  <c r="AK51" i="71"/>
  <c r="Z51" i="71"/>
  <c r="X51" i="71"/>
  <c r="Y51" i="71"/>
  <c r="AL47" i="71"/>
  <c r="AK47" i="71"/>
  <c r="Z47" i="71"/>
  <c r="X47" i="71"/>
  <c r="Y47" i="71"/>
  <c r="AA47" i="71" s="1"/>
  <c r="AL43" i="71"/>
  <c r="AK43" i="71"/>
  <c r="Z43" i="71"/>
  <c r="X43" i="71"/>
  <c r="Y43" i="71"/>
  <c r="AL39" i="71"/>
  <c r="AK39" i="71"/>
  <c r="Z39" i="71"/>
  <c r="X39" i="71"/>
  <c r="Y39" i="71"/>
  <c r="AL35" i="71"/>
  <c r="AK35" i="71"/>
  <c r="Z35" i="71"/>
  <c r="X35" i="71"/>
  <c r="Y35" i="71"/>
  <c r="AL31" i="71"/>
  <c r="AK31" i="71"/>
  <c r="Z31" i="71"/>
  <c r="X31" i="71"/>
  <c r="Y31" i="71"/>
  <c r="AA31" i="71" s="1"/>
  <c r="AL27" i="71"/>
  <c r="AK27" i="71"/>
  <c r="Z27" i="71"/>
  <c r="X27" i="71"/>
  <c r="Y27" i="71"/>
  <c r="AL23" i="71"/>
  <c r="AK23" i="71"/>
  <c r="Z23" i="71"/>
  <c r="X23" i="71"/>
  <c r="W23" i="71" s="1"/>
  <c r="AS23" i="71" s="1"/>
  <c r="AR23" i="71" s="1"/>
  <c r="Y23" i="71"/>
  <c r="AL19" i="71"/>
  <c r="AK19" i="71"/>
  <c r="Z19" i="71"/>
  <c r="X19" i="71"/>
  <c r="Y19" i="71"/>
  <c r="AL15" i="71"/>
  <c r="AK15" i="71"/>
  <c r="Z15" i="71"/>
  <c r="X15" i="71"/>
  <c r="Y15" i="71"/>
  <c r="W15" i="71" s="1"/>
  <c r="AS15" i="71" s="1"/>
  <c r="AR15" i="71" s="1"/>
  <c r="AL11" i="71"/>
  <c r="AK11" i="71"/>
  <c r="Z11" i="71"/>
  <c r="X11" i="71"/>
  <c r="Y11" i="71"/>
  <c r="Z106" i="71"/>
  <c r="AL106" i="71"/>
  <c r="AK106" i="71"/>
  <c r="X106" i="71"/>
  <c r="W106" i="71" s="1"/>
  <c r="AS106" i="71" s="1"/>
  <c r="AQ106" i="71" s="1"/>
  <c r="Y106" i="71"/>
  <c r="AL102" i="71"/>
  <c r="AK102" i="71"/>
  <c r="Z102" i="71"/>
  <c r="X102" i="71"/>
  <c r="Y102" i="71"/>
  <c r="AL98" i="71"/>
  <c r="Z98" i="71"/>
  <c r="AK98" i="71"/>
  <c r="X98" i="71"/>
  <c r="Y98" i="71"/>
  <c r="AA98" i="71" s="1"/>
  <c r="AL94" i="71"/>
  <c r="AK94" i="71"/>
  <c r="Z94" i="71"/>
  <c r="X94" i="71"/>
  <c r="Y94" i="71"/>
  <c r="AL90" i="71"/>
  <c r="Z90" i="71"/>
  <c r="AK90" i="71"/>
  <c r="X90" i="71"/>
  <c r="Y90" i="71"/>
  <c r="AL86" i="71"/>
  <c r="AK86" i="71"/>
  <c r="Z86" i="71"/>
  <c r="X86" i="71"/>
  <c r="Y86" i="71"/>
  <c r="AL82" i="71"/>
  <c r="Z82" i="71"/>
  <c r="AK82" i="71"/>
  <c r="X82" i="71"/>
  <c r="Y82" i="71"/>
  <c r="AA82" i="71" s="1"/>
  <c r="AL78" i="71"/>
  <c r="AK78" i="71"/>
  <c r="Z78" i="71"/>
  <c r="X78" i="71"/>
  <c r="Y78" i="71"/>
  <c r="AL74" i="71"/>
  <c r="Z74" i="71"/>
  <c r="AK74" i="71"/>
  <c r="X74" i="71"/>
  <c r="Y74" i="71"/>
  <c r="AL70" i="71"/>
  <c r="AK70" i="71"/>
  <c r="Z70" i="71"/>
  <c r="X70" i="71"/>
  <c r="Y70" i="71"/>
  <c r="AL66" i="71"/>
  <c r="Z66" i="71"/>
  <c r="AK66" i="71"/>
  <c r="X66" i="71"/>
  <c r="Y66" i="71"/>
  <c r="AA66" i="71" s="1"/>
  <c r="AK62" i="71"/>
  <c r="AL62" i="71"/>
  <c r="Z62" i="71"/>
  <c r="X62" i="71"/>
  <c r="Y62" i="71"/>
  <c r="AL58" i="71"/>
  <c r="Z58" i="71"/>
  <c r="AK58" i="71"/>
  <c r="X58" i="71"/>
  <c r="Y58" i="71"/>
  <c r="AK54" i="71"/>
  <c r="AL54" i="71"/>
  <c r="Z54" i="71"/>
  <c r="X54" i="71"/>
  <c r="Y54" i="71"/>
  <c r="AL50" i="71"/>
  <c r="Z50" i="71"/>
  <c r="AK50" i="71"/>
  <c r="X50" i="71"/>
  <c r="Y50" i="71"/>
  <c r="AK46" i="71"/>
  <c r="AL46" i="71"/>
  <c r="Z46" i="71"/>
  <c r="X46" i="71"/>
  <c r="Y46" i="71"/>
  <c r="AL42" i="71"/>
  <c r="Z42" i="71"/>
  <c r="AK42" i="71"/>
  <c r="X42" i="71"/>
  <c r="Y42" i="71"/>
  <c r="AK38" i="71"/>
  <c r="AL38" i="71"/>
  <c r="Z38" i="71"/>
  <c r="X38" i="71"/>
  <c r="Y38" i="71"/>
  <c r="AA38" i="71" s="1"/>
  <c r="AL34" i="71"/>
  <c r="Z34" i="71"/>
  <c r="AK34" i="71"/>
  <c r="X34" i="71"/>
  <c r="Y34" i="71"/>
  <c r="AA34" i="71" s="1"/>
  <c r="AK30" i="71"/>
  <c r="AL30" i="71"/>
  <c r="Z30" i="71"/>
  <c r="X30" i="71"/>
  <c r="Y30" i="71"/>
  <c r="AL26" i="71"/>
  <c r="Z26" i="71"/>
  <c r="AK26" i="71"/>
  <c r="X26" i="71"/>
  <c r="Y26" i="71"/>
  <c r="AK22" i="71"/>
  <c r="AL22" i="71"/>
  <c r="Z22" i="71"/>
  <c r="X22" i="71"/>
  <c r="Y22" i="71"/>
  <c r="AL18" i="71"/>
  <c r="Z18" i="71"/>
  <c r="AK18" i="71"/>
  <c r="X18" i="71"/>
  <c r="Y18" i="71"/>
  <c r="W18" i="71" s="1"/>
  <c r="AS18" i="71" s="1"/>
  <c r="AQ18" i="71" s="1"/>
  <c r="AK14" i="71"/>
  <c r="AL14" i="71"/>
  <c r="Z14" i="71"/>
  <c r="X14" i="71"/>
  <c r="Y14" i="71"/>
  <c r="AN63" i="1"/>
  <c r="AO56" i="1"/>
  <c r="AI81" i="42"/>
  <c r="AJ62" i="42"/>
  <c r="R93" i="42"/>
  <c r="AK93" i="42" s="1"/>
  <c r="R81" i="42"/>
  <c r="AK81" i="42" s="1"/>
  <c r="R77" i="42"/>
  <c r="AK77" i="42" s="1"/>
  <c r="R73" i="42"/>
  <c r="AK73" i="42" s="1"/>
  <c r="R69" i="42"/>
  <c r="AK69" i="42" s="1"/>
  <c r="R97" i="42"/>
  <c r="AK97" i="42" s="1"/>
  <c r="R53" i="42"/>
  <c r="AK53" i="42" s="1"/>
  <c r="R49" i="42"/>
  <c r="AK49" i="42" s="1"/>
  <c r="R21" i="42"/>
  <c r="AK21" i="42" s="1"/>
  <c r="R104" i="42"/>
  <c r="AK104" i="42" s="1"/>
  <c r="R96" i="42"/>
  <c r="AK96" i="42" s="1"/>
  <c r="R68" i="42"/>
  <c r="AK68" i="42" s="1"/>
  <c r="R44" i="42"/>
  <c r="AK44" i="42" s="1"/>
  <c r="R28" i="42"/>
  <c r="AK28" i="42" s="1"/>
  <c r="R24" i="42"/>
  <c r="AK24" i="42" s="1"/>
  <c r="AK76" i="42"/>
  <c r="AK64" i="42"/>
  <c r="AK20" i="42"/>
  <c r="AJ20" i="42" s="1"/>
  <c r="R109" i="42"/>
  <c r="AK109" i="42" s="1"/>
  <c r="Z107" i="42"/>
  <c r="AD107" i="42"/>
  <c r="R95" i="42"/>
  <c r="AK95" i="42" s="1"/>
  <c r="R79" i="42"/>
  <c r="AK79" i="42" s="1"/>
  <c r="R75" i="42"/>
  <c r="AK75" i="42" s="1"/>
  <c r="R67" i="42"/>
  <c r="AK67" i="42" s="1"/>
  <c r="R63" i="42"/>
  <c r="AK63" i="42" s="1"/>
  <c r="R59" i="42"/>
  <c r="AK59" i="42" s="1"/>
  <c r="R51" i="42"/>
  <c r="AK51" i="42" s="1"/>
  <c r="R31" i="42"/>
  <c r="AK31" i="42" s="1"/>
  <c r="R27" i="42"/>
  <c r="AK27" i="42" s="1"/>
  <c r="R19" i="42"/>
  <c r="AK19" i="42" s="1"/>
  <c r="R15" i="42"/>
  <c r="AK15" i="42" s="1"/>
  <c r="AK11" i="42"/>
  <c r="R106" i="42"/>
  <c r="AK106" i="42" s="1"/>
  <c r="R86" i="42"/>
  <c r="AK86" i="42" s="1"/>
  <c r="R74" i="42"/>
  <c r="AK74" i="42" s="1"/>
  <c r="AI74" i="42" s="1"/>
  <c r="R70" i="42"/>
  <c r="AK70" i="42" s="1"/>
  <c r="R62" i="42"/>
  <c r="AK62" i="42" s="1"/>
  <c r="R58" i="42"/>
  <c r="AK58" i="42" s="1"/>
  <c r="R54" i="42"/>
  <c r="AK54" i="42" s="1"/>
  <c r="R50" i="42"/>
  <c r="AK50" i="42" s="1"/>
  <c r="R42" i="42"/>
  <c r="AK42" i="42" s="1"/>
  <c r="R38" i="42"/>
  <c r="AK38" i="42" s="1"/>
  <c r="R30" i="42"/>
  <c r="AK30" i="42" s="1"/>
  <c r="R26" i="42"/>
  <c r="AK26" i="42" s="1"/>
  <c r="AJ26" i="42" s="1"/>
  <c r="R22" i="42"/>
  <c r="AK22" i="42" s="1"/>
  <c r="R18" i="42"/>
  <c r="AK18" i="42" s="1"/>
  <c r="R14" i="42"/>
  <c r="AK14" i="42" s="1"/>
  <c r="AD10" i="42"/>
  <c r="AA85" i="71"/>
  <c r="AA99" i="71"/>
  <c r="AP99" i="71" s="1"/>
  <c r="AA67" i="71"/>
  <c r="AA51" i="71"/>
  <c r="AA15" i="71"/>
  <c r="AA105" i="71"/>
  <c r="AA104" i="71"/>
  <c r="AA84" i="71"/>
  <c r="AA36" i="71"/>
  <c r="AA102" i="71"/>
  <c r="AA50" i="71"/>
  <c r="AA21" i="71"/>
  <c r="AA19" i="71"/>
  <c r="AA54" i="71"/>
  <c r="W99" i="71"/>
  <c r="AS99" i="71" s="1"/>
  <c r="AR99" i="71" s="1"/>
  <c r="W95" i="71"/>
  <c r="AS95" i="71" s="1"/>
  <c r="AR95" i="71" s="1"/>
  <c r="W83" i="71"/>
  <c r="AS83" i="71" s="1"/>
  <c r="AR83" i="71" s="1"/>
  <c r="W53" i="71"/>
  <c r="AS53" i="71" s="1"/>
  <c r="AR53" i="71" s="1"/>
  <c r="W35" i="71"/>
  <c r="AS35" i="71" s="1"/>
  <c r="AR35" i="71" s="1"/>
  <c r="W19" i="71"/>
  <c r="AS19" i="71" s="1"/>
  <c r="AR19" i="71" s="1"/>
  <c r="W102" i="71"/>
  <c r="AS102" i="71" s="1"/>
  <c r="AR102" i="71" s="1"/>
  <c r="W90" i="71"/>
  <c r="AS90" i="71" s="1"/>
  <c r="AQ90" i="71" s="1"/>
  <c r="W84" i="71"/>
  <c r="AS84" i="71" s="1"/>
  <c r="AR84" i="71" s="1"/>
  <c r="W56" i="71"/>
  <c r="AS56" i="71" s="1"/>
  <c r="W38" i="71"/>
  <c r="AS38" i="71" s="1"/>
  <c r="W34" i="71"/>
  <c r="AS34" i="71" s="1"/>
  <c r="AQ34" i="71" s="1"/>
  <c r="W22" i="71"/>
  <c r="AS22" i="71" s="1"/>
  <c r="W10" i="71"/>
  <c r="AS10" i="71" s="1"/>
  <c r="Y86" i="1"/>
  <c r="AN86" i="1" s="1"/>
  <c r="Y54" i="1"/>
  <c r="Y30" i="1"/>
  <c r="AN30" i="1" s="1"/>
  <c r="Y26" i="1"/>
  <c r="Y28" i="1"/>
  <c r="AN28" i="1" s="1"/>
  <c r="Y107" i="1"/>
  <c r="AN107" i="1" s="1"/>
  <c r="Y67" i="1"/>
  <c r="AN67" i="1" s="1"/>
  <c r="Y27" i="1"/>
  <c r="Y93" i="1"/>
  <c r="AN93" i="1" s="1"/>
  <c r="Y73" i="1"/>
  <c r="Y65" i="1"/>
  <c r="Y45" i="1"/>
  <c r="AN45" i="1" s="1"/>
  <c r="Y25" i="1"/>
  <c r="AN25" i="1" s="1"/>
  <c r="Y21" i="1"/>
  <c r="Y17" i="1"/>
  <c r="Y104" i="1"/>
  <c r="Y96" i="1"/>
  <c r="Y72" i="1"/>
  <c r="Y56" i="1"/>
  <c r="AN56" i="1" s="1"/>
  <c r="Y40" i="1"/>
  <c r="Y20" i="1"/>
  <c r="Y103" i="1"/>
  <c r="AN103" i="1" s="1"/>
  <c r="Y106" i="1"/>
  <c r="Y82" i="1"/>
  <c r="Y66" i="1"/>
  <c r="Y46" i="1"/>
  <c r="AN46" i="1" s="1"/>
  <c r="Y98" i="1"/>
  <c r="Y78" i="1"/>
  <c r="AN78" i="1" s="1"/>
  <c r="Y50" i="1"/>
  <c r="AN50" i="1" s="1"/>
  <c r="Y14" i="1"/>
  <c r="Y92" i="1"/>
  <c r="AN92" i="1" s="1"/>
  <c r="Y60" i="1"/>
  <c r="AN60" i="1" s="1"/>
  <c r="Y16" i="1"/>
  <c r="AN16" i="1" s="1"/>
  <c r="Y95" i="1"/>
  <c r="Y75" i="1"/>
  <c r="AN75" i="1" s="1"/>
  <c r="Y59" i="1"/>
  <c r="AN59" i="1" s="1"/>
  <c r="Y51" i="1"/>
  <c r="Y43" i="1"/>
  <c r="AN43" i="1" s="1"/>
  <c r="Y35" i="1"/>
  <c r="AN35" i="1" s="1"/>
  <c r="Y19" i="1"/>
  <c r="AN19" i="1" s="1"/>
  <c r="Y69" i="1"/>
  <c r="Y61" i="1"/>
  <c r="Y53" i="1"/>
  <c r="AN53" i="1" s="1"/>
  <c r="Y88" i="1"/>
  <c r="Y80" i="1"/>
  <c r="Y48" i="1"/>
  <c r="Y32" i="1"/>
  <c r="AN32" i="1" s="1"/>
  <c r="Y99" i="1"/>
  <c r="AN99" i="1" s="1"/>
  <c r="Y63" i="1"/>
  <c r="Y55" i="1"/>
  <c r="Y31" i="1"/>
  <c r="T107" i="1"/>
  <c r="AQ107" i="1" s="1"/>
  <c r="AI107" i="1"/>
  <c r="AP107" i="1" s="1"/>
  <c r="AD107" i="1"/>
  <c r="AO107" i="1" s="1"/>
  <c r="AD105" i="1"/>
  <c r="T103" i="1"/>
  <c r="AQ103" i="1" s="1"/>
  <c r="AI103" i="1"/>
  <c r="AP103" i="1" s="1"/>
  <c r="AD101" i="1"/>
  <c r="T99" i="1"/>
  <c r="AQ99" i="1" s="1"/>
  <c r="AI99" i="1"/>
  <c r="AP99" i="1" s="1"/>
  <c r="AD97" i="1"/>
  <c r="T95" i="1"/>
  <c r="AQ95" i="1" s="1"/>
  <c r="AI95" i="1"/>
  <c r="T93" i="1"/>
  <c r="AQ93" i="1" s="1"/>
  <c r="AI93" i="1"/>
  <c r="AD93" i="1"/>
  <c r="AO93" i="1" s="1"/>
  <c r="AD91" i="1"/>
  <c r="T89" i="1"/>
  <c r="AQ89" i="1" s="1"/>
  <c r="AI87" i="1"/>
  <c r="AD87" i="1"/>
  <c r="AD85" i="1"/>
  <c r="AD83" i="1"/>
  <c r="AD81" i="1"/>
  <c r="AI79" i="1"/>
  <c r="AD79" i="1"/>
  <c r="AD77" i="1"/>
  <c r="AD75" i="1"/>
  <c r="AO75" i="1" s="1"/>
  <c r="T73" i="1"/>
  <c r="AQ73" i="1" s="1"/>
  <c r="AI73" i="1"/>
  <c r="AI71" i="1"/>
  <c r="AD71" i="1"/>
  <c r="T69" i="1"/>
  <c r="AQ69" i="1" s="1"/>
  <c r="AI69" i="1"/>
  <c r="AD69" i="1"/>
  <c r="AO69" i="1" s="1"/>
  <c r="T67" i="1"/>
  <c r="AQ67" i="1" s="1"/>
  <c r="AI67" i="1"/>
  <c r="AP67" i="1" s="1"/>
  <c r="T65" i="1"/>
  <c r="AQ65" i="1" s="1"/>
  <c r="T63" i="1"/>
  <c r="AQ63" i="1" s="1"/>
  <c r="AI63" i="1"/>
  <c r="AP63" i="1" s="1"/>
  <c r="T61" i="1"/>
  <c r="AQ61" i="1" s="1"/>
  <c r="AI61" i="1"/>
  <c r="T59" i="1"/>
  <c r="AQ59" i="1" s="1"/>
  <c r="AI59" i="1"/>
  <c r="AP59" i="1" s="1"/>
  <c r="AD59" i="1"/>
  <c r="AO59" i="1" s="1"/>
  <c r="AD57" i="1"/>
  <c r="T55" i="1"/>
  <c r="AQ55" i="1" s="1"/>
  <c r="AI55" i="1"/>
  <c r="AP55" i="1" s="1"/>
  <c r="AD53" i="1"/>
  <c r="T51" i="1"/>
  <c r="AQ51" i="1" s="1"/>
  <c r="AI51" i="1"/>
  <c r="AP51" i="1" s="1"/>
  <c r="AD49" i="1"/>
  <c r="T47" i="1"/>
  <c r="AQ47" i="1" s="1"/>
  <c r="AO47" i="1" s="1"/>
  <c r="AD47" i="1"/>
  <c r="T45" i="1"/>
  <c r="AQ45" i="1" s="1"/>
  <c r="AI45" i="1"/>
  <c r="T43" i="1"/>
  <c r="AQ43" i="1" s="1"/>
  <c r="AI43" i="1"/>
  <c r="AP43" i="1" s="1"/>
  <c r="AD43" i="1"/>
  <c r="AO43" i="1" s="1"/>
  <c r="T41" i="1"/>
  <c r="AQ41" i="1" s="1"/>
  <c r="AD39" i="1"/>
  <c r="AD37" i="1"/>
  <c r="AD35" i="1"/>
  <c r="T33" i="1"/>
  <c r="AQ33" i="1" s="1"/>
  <c r="AD33" i="1"/>
  <c r="AI31" i="1"/>
  <c r="AI29" i="1"/>
  <c r="AD29" i="1"/>
  <c r="T27" i="1"/>
  <c r="AQ27" i="1" s="1"/>
  <c r="AI27" i="1"/>
  <c r="AP27" i="1" s="1"/>
  <c r="AD27" i="1"/>
  <c r="AO27" i="1" s="1"/>
  <c r="T25" i="1"/>
  <c r="AQ25" i="1" s="1"/>
  <c r="AI25" i="1"/>
  <c r="AI23" i="1"/>
  <c r="T21" i="1"/>
  <c r="AQ21" i="1" s="1"/>
  <c r="AI21" i="1"/>
  <c r="T19" i="1"/>
  <c r="AQ19" i="1" s="1"/>
  <c r="AI19" i="1"/>
  <c r="AP19" i="1" s="1"/>
  <c r="T17" i="1"/>
  <c r="AQ17" i="1" s="1"/>
  <c r="T15" i="1"/>
  <c r="AQ15" i="1" s="1"/>
  <c r="AI15" i="1"/>
  <c r="AD13" i="1"/>
  <c r="AD11" i="1"/>
  <c r="AO11" i="1" s="1"/>
  <c r="AI106" i="1"/>
  <c r="AD106" i="1"/>
  <c r="T104" i="1"/>
  <c r="AQ104" i="1" s="1"/>
  <c r="AO104" i="1" s="1"/>
  <c r="AD104" i="1"/>
  <c r="AI102" i="1"/>
  <c r="AD102" i="1"/>
  <c r="AO102" i="1" s="1"/>
  <c r="AI100" i="1"/>
  <c r="AD100" i="1"/>
  <c r="T98" i="1"/>
  <c r="AQ98" i="1" s="1"/>
  <c r="AN98" i="1" s="1"/>
  <c r="T96" i="1"/>
  <c r="AQ96" i="1" s="1"/>
  <c r="AN96" i="1" s="1"/>
  <c r="AI96" i="1"/>
  <c r="AD94" i="1"/>
  <c r="T92" i="1"/>
  <c r="AQ92" i="1" s="1"/>
  <c r="AI92" i="1"/>
  <c r="AP92" i="1" s="1"/>
  <c r="T90" i="1"/>
  <c r="AQ90" i="1" s="1"/>
  <c r="AN90" i="1" s="1"/>
  <c r="T88" i="1"/>
  <c r="AQ88" i="1" s="1"/>
  <c r="AO88" i="1" s="1"/>
  <c r="AD88" i="1"/>
  <c r="AD86" i="1"/>
  <c r="AO86" i="1" s="1"/>
  <c r="AI84" i="1"/>
  <c r="AD84" i="1"/>
  <c r="T82" i="1"/>
  <c r="AQ82" i="1" s="1"/>
  <c r="T80" i="1"/>
  <c r="AQ80" i="1" s="1"/>
  <c r="AO80" i="1" s="1"/>
  <c r="AD78" i="1"/>
  <c r="AI76" i="1"/>
  <c r="AD76" i="1"/>
  <c r="T74" i="1"/>
  <c r="AQ74" i="1" s="1"/>
  <c r="AN74" i="1" s="1"/>
  <c r="AI74" i="1"/>
  <c r="T72" i="1"/>
  <c r="AQ72" i="1" s="1"/>
  <c r="T70" i="1"/>
  <c r="AQ70" i="1" s="1"/>
  <c r="AI70" i="1"/>
  <c r="AD70" i="1"/>
  <c r="AO70" i="1" s="1"/>
  <c r="AI68" i="1"/>
  <c r="AD68" i="1"/>
  <c r="T66" i="1"/>
  <c r="AQ66" i="1" s="1"/>
  <c r="AN66" i="1" s="1"/>
  <c r="AI66" i="1"/>
  <c r="AD64" i="1"/>
  <c r="AI62" i="1"/>
  <c r="AD62" i="1"/>
  <c r="T60" i="1"/>
  <c r="AQ60" i="1" s="1"/>
  <c r="T58" i="1"/>
  <c r="AQ58" i="1" s="1"/>
  <c r="T56" i="1"/>
  <c r="AQ56" i="1" s="1"/>
  <c r="AD56" i="1"/>
  <c r="T54" i="1"/>
  <c r="AQ54" i="1" s="1"/>
  <c r="AI54" i="1"/>
  <c r="AI52" i="1"/>
  <c r="AD52" i="1"/>
  <c r="T50" i="1"/>
  <c r="AQ50" i="1" s="1"/>
  <c r="AD50" i="1"/>
  <c r="T48" i="1"/>
  <c r="AQ48" i="1" s="1"/>
  <c r="AI48" i="1"/>
  <c r="AP48" i="1" s="1"/>
  <c r="AI46" i="1"/>
  <c r="AD46" i="1"/>
  <c r="AI44" i="1"/>
  <c r="AD44" i="1"/>
  <c r="AD42" i="1"/>
  <c r="AI40" i="1"/>
  <c r="AD40" i="1"/>
  <c r="AD38" i="1"/>
  <c r="AI36" i="1"/>
  <c r="AI34" i="1"/>
  <c r="T32" i="1"/>
  <c r="AQ32" i="1" s="1"/>
  <c r="AO32" i="1" s="1"/>
  <c r="AI32" i="1"/>
  <c r="AD32" i="1"/>
  <c r="T30" i="1"/>
  <c r="AQ30" i="1" s="1"/>
  <c r="AI30" i="1"/>
  <c r="T28" i="1"/>
  <c r="AQ28" i="1" s="1"/>
  <c r="AI28" i="1"/>
  <c r="AP28" i="1" s="1"/>
  <c r="AD28" i="1"/>
  <c r="AO28" i="1" s="1"/>
  <c r="T26" i="1"/>
  <c r="AQ26" i="1" s="1"/>
  <c r="AN26" i="1" s="1"/>
  <c r="AD26" i="1"/>
  <c r="AI24" i="1"/>
  <c r="AD24" i="1"/>
  <c r="AI22" i="1"/>
  <c r="AD22" i="1"/>
  <c r="T20" i="1"/>
  <c r="AQ20" i="1" s="1"/>
  <c r="AI20" i="1"/>
  <c r="AP20" i="1" s="1"/>
  <c r="AD18" i="1"/>
  <c r="T16" i="1"/>
  <c r="AQ16" i="1" s="1"/>
  <c r="AI16" i="1"/>
  <c r="AP16" i="1" s="1"/>
  <c r="T14" i="1"/>
  <c r="AQ14" i="1" s="1"/>
  <c r="AI14" i="1"/>
  <c r="AD12" i="1"/>
  <c r="AI10" i="1"/>
  <c r="AD10" i="1"/>
  <c r="W10" i="69"/>
  <c r="AD102" i="70"/>
  <c r="AA102" i="70"/>
  <c r="AA94" i="70"/>
  <c r="AD94" i="70"/>
  <c r="AD86" i="70"/>
  <c r="AD78" i="70"/>
  <c r="AD70" i="70"/>
  <c r="AA62" i="70"/>
  <c r="AD54" i="70"/>
  <c r="AD46" i="70"/>
  <c r="AA30" i="70"/>
  <c r="AA22" i="70"/>
  <c r="AA14" i="70"/>
  <c r="AD14" i="70"/>
  <c r="AD99" i="70"/>
  <c r="AA99" i="70"/>
  <c r="AD91" i="70"/>
  <c r="AA91" i="70"/>
  <c r="AA83" i="70"/>
  <c r="AD83" i="70"/>
  <c r="AD75" i="70"/>
  <c r="AD67" i="70"/>
  <c r="AD59" i="70"/>
  <c r="AA59" i="70"/>
  <c r="AD51" i="70"/>
  <c r="AA43" i="70"/>
  <c r="AD35" i="70"/>
  <c r="AA35" i="70"/>
  <c r="AD27" i="70"/>
  <c r="AA27" i="70"/>
  <c r="AA19" i="70"/>
  <c r="AD19" i="70"/>
  <c r="AA11" i="70"/>
  <c r="AD93" i="70"/>
  <c r="AA77" i="70"/>
  <c r="AD77" i="70"/>
  <c r="AD61" i="70"/>
  <c r="AD45" i="70"/>
  <c r="AD29" i="70"/>
  <c r="AA29" i="70"/>
  <c r="AD13" i="70"/>
  <c r="AD92" i="70"/>
  <c r="AD76" i="70"/>
  <c r="AD60" i="70"/>
  <c r="AD44" i="70"/>
  <c r="AA44" i="70"/>
  <c r="AD28" i="70"/>
  <c r="AD38" i="70"/>
  <c r="AA38" i="70"/>
  <c r="AA105" i="70"/>
  <c r="AD105" i="70"/>
  <c r="AD89" i="70"/>
  <c r="AA89" i="70"/>
  <c r="AA73" i="70"/>
  <c r="AD73" i="70"/>
  <c r="AA57" i="70"/>
  <c r="AD57" i="70"/>
  <c r="AA41" i="70"/>
  <c r="AD41" i="70"/>
  <c r="AD25" i="70"/>
  <c r="AD104" i="70"/>
  <c r="AA104" i="70"/>
  <c r="AD88" i="70"/>
  <c r="AA88" i="70"/>
  <c r="AD72" i="70"/>
  <c r="AA72" i="70"/>
  <c r="AD56" i="70"/>
  <c r="AD40" i="70"/>
  <c r="AA40" i="70"/>
  <c r="AA24" i="70"/>
  <c r="AA106" i="70"/>
  <c r="AD106" i="70"/>
  <c r="AA98" i="70"/>
  <c r="AD90" i="70"/>
  <c r="AD82" i="70"/>
  <c r="AD74" i="70"/>
  <c r="AA66" i="70"/>
  <c r="AA58" i="70"/>
  <c r="AD58" i="70"/>
  <c r="AA50" i="70"/>
  <c r="AD50" i="70"/>
  <c r="AA42" i="70"/>
  <c r="AA34" i="70"/>
  <c r="AD34" i="70"/>
  <c r="AA103" i="70"/>
  <c r="AD95" i="70"/>
  <c r="AA87" i="70"/>
  <c r="AD87" i="70"/>
  <c r="AD71" i="70"/>
  <c r="AA71" i="70"/>
  <c r="AA63" i="70"/>
  <c r="AD55" i="70"/>
  <c r="AA47" i="70"/>
  <c r="AD47" i="70"/>
  <c r="AD39" i="70"/>
  <c r="AA39" i="70"/>
  <c r="AA31" i="70"/>
  <c r="AD23" i="70"/>
  <c r="AA15" i="70"/>
  <c r="AD15" i="70"/>
  <c r="AA101" i="70"/>
  <c r="AD101" i="70"/>
  <c r="AD85" i="70"/>
  <c r="AA85" i="70"/>
  <c r="AD69" i="70"/>
  <c r="AA69" i="70"/>
  <c r="AD53" i="70"/>
  <c r="AD21" i="70"/>
  <c r="AD100" i="70"/>
  <c r="AD68" i="70"/>
  <c r="AD52" i="70"/>
  <c r="AD36" i="70"/>
  <c r="AA36" i="70"/>
  <c r="AD20" i="70"/>
  <c r="AA20" i="70"/>
  <c r="AD26" i="70"/>
  <c r="AA18" i="70"/>
  <c r="AD10" i="70"/>
  <c r="AD97" i="70"/>
  <c r="AA97" i="70"/>
  <c r="AD81" i="70"/>
  <c r="AA81" i="70"/>
  <c r="AD65" i="70"/>
  <c r="AA65" i="70"/>
  <c r="AD49" i="70"/>
  <c r="AD33" i="70"/>
  <c r="AA33" i="70"/>
  <c r="AD96" i="70"/>
  <c r="AA96" i="70"/>
  <c r="AD64" i="70"/>
  <c r="AA64" i="70"/>
  <c r="AD48" i="70"/>
  <c r="AA48" i="70"/>
  <c r="AD32" i="70"/>
  <c r="AD16" i="70"/>
  <c r="AA16" i="70"/>
  <c r="AD23" i="42"/>
  <c r="Z15" i="42"/>
  <c r="AD81" i="42"/>
  <c r="AJ81" i="42" s="1"/>
  <c r="Z77" i="42"/>
  <c r="Z13" i="42"/>
  <c r="AD95" i="42"/>
  <c r="Z55" i="42"/>
  <c r="AD39" i="42"/>
  <c r="AJ39" i="42" s="1"/>
  <c r="Z106" i="42"/>
  <c r="Z92" i="42"/>
  <c r="AD60" i="42"/>
  <c r="AD48" i="42"/>
  <c r="Z16" i="42"/>
  <c r="Z75" i="42"/>
  <c r="AI75" i="42" s="1"/>
  <c r="AD51" i="42"/>
  <c r="AJ51" i="42" s="1"/>
  <c r="AD74" i="42"/>
  <c r="Z58" i="42"/>
  <c r="AI58" i="42" s="1"/>
  <c r="AD42" i="42"/>
  <c r="AD89" i="42"/>
  <c r="AJ89" i="42" s="1"/>
  <c r="Z65" i="42"/>
  <c r="Z53" i="42"/>
  <c r="AD41" i="42"/>
  <c r="AJ41" i="42" s="1"/>
  <c r="Z37" i="42"/>
  <c r="AD17" i="42"/>
  <c r="AD79" i="42"/>
  <c r="AJ79" i="42" s="1"/>
  <c r="AD78" i="42"/>
  <c r="AD46" i="42"/>
  <c r="Z30" i="42"/>
  <c r="AI30" i="42" s="1"/>
  <c r="Z100" i="42"/>
  <c r="AD88" i="42"/>
  <c r="AD32" i="42"/>
  <c r="Z12" i="42"/>
  <c r="AD83" i="42"/>
  <c r="AJ83" i="42" s="1"/>
  <c r="AD66" i="42"/>
  <c r="AD34" i="42"/>
  <c r="V49" i="42"/>
  <c r="AH49" i="42" s="1"/>
  <c r="V17" i="42"/>
  <c r="V71" i="42"/>
  <c r="AH71" i="42" s="1"/>
  <c r="V39" i="42"/>
  <c r="V23" i="42"/>
  <c r="AH23" i="42" s="1"/>
  <c r="AD11" i="42"/>
  <c r="V14" i="42"/>
  <c r="AH14" i="42" s="1"/>
  <c r="V108" i="42"/>
  <c r="V100" i="42"/>
  <c r="V44" i="42"/>
  <c r="V36" i="42"/>
  <c r="V24" i="42"/>
  <c r="AH24" i="42" s="1"/>
  <c r="V19" i="42"/>
  <c r="V42" i="42"/>
  <c r="V26" i="42"/>
  <c r="V18" i="42"/>
  <c r="AH18" i="42" s="1"/>
  <c r="V101" i="42"/>
  <c r="V97" i="42"/>
  <c r="AH97" i="42" s="1"/>
  <c r="V69" i="42"/>
  <c r="Z61" i="42"/>
  <c r="Z45" i="42"/>
  <c r="V29" i="42"/>
  <c r="Z29" i="42"/>
  <c r="V21" i="42"/>
  <c r="V13" i="42"/>
  <c r="V95" i="42"/>
  <c r="V79" i="42"/>
  <c r="V63" i="42"/>
  <c r="V55" i="42"/>
  <c r="AH55" i="42" s="1"/>
  <c r="V31" i="42"/>
  <c r="AH31" i="42" s="1"/>
  <c r="V15" i="42"/>
  <c r="Z38" i="42"/>
  <c r="V92" i="42"/>
  <c r="V88" i="42"/>
  <c r="V76" i="42"/>
  <c r="AH76" i="42" s="1"/>
  <c r="V72" i="42"/>
  <c r="V68" i="42"/>
  <c r="AH68" i="42" s="1"/>
  <c r="V56" i="42"/>
  <c r="V48" i="42"/>
  <c r="V28" i="42"/>
  <c r="AH28" i="42" s="1"/>
  <c r="V20" i="42"/>
  <c r="Z99" i="42"/>
  <c r="Z27" i="42"/>
  <c r="AI27" i="42" s="1"/>
  <c r="V58" i="42"/>
  <c r="AH58" i="42" s="1"/>
  <c r="V109" i="42"/>
  <c r="Z101" i="42"/>
  <c r="AI101" i="42" s="1"/>
  <c r="Z85" i="42"/>
  <c r="V81" i="42"/>
  <c r="AH81" i="42" s="1"/>
  <c r="V41" i="42"/>
  <c r="AH41" i="42" s="1"/>
  <c r="AD63" i="42"/>
  <c r="AJ63" i="42" s="1"/>
  <c r="AD31" i="42"/>
  <c r="AD15" i="42"/>
  <c r="AJ15" i="42" s="1"/>
  <c r="V106" i="42"/>
  <c r="Z94" i="42"/>
  <c r="AI94" i="42" s="1"/>
  <c r="Z78" i="42"/>
  <c r="AI78" i="42" s="1"/>
  <c r="Z54" i="42"/>
  <c r="AI54" i="42" s="1"/>
  <c r="V38" i="42"/>
  <c r="V22" i="42"/>
  <c r="AD108" i="42"/>
  <c r="AD100" i="42"/>
  <c r="Z96" i="42"/>
  <c r="AI96" i="42" s="1"/>
  <c r="AD92" i="42"/>
  <c r="Z88" i="42"/>
  <c r="AD84" i="42"/>
  <c r="AD76" i="42"/>
  <c r="Z64" i="42"/>
  <c r="AI64" i="42" s="1"/>
  <c r="AD64" i="42"/>
  <c r="AD52" i="42"/>
  <c r="AD40" i="42"/>
  <c r="AD36" i="42"/>
  <c r="Z32" i="42"/>
  <c r="AD28" i="42"/>
  <c r="AD16" i="42"/>
  <c r="Z103" i="42"/>
  <c r="Z83" i="42"/>
  <c r="AI83" i="42" s="1"/>
  <c r="V67" i="42"/>
  <c r="AH67" i="42" s="1"/>
  <c r="V59" i="42"/>
  <c r="V51" i="42"/>
  <c r="AH51" i="42" s="1"/>
  <c r="Z35" i="42"/>
  <c r="AD19" i="42"/>
  <c r="AJ19" i="42" s="1"/>
  <c r="Z98" i="42"/>
  <c r="Z82" i="42"/>
  <c r="Z50" i="42"/>
  <c r="Z34" i="42"/>
  <c r="AI34" i="42" s="1"/>
  <c r="Z18" i="42"/>
  <c r="V89" i="42"/>
  <c r="AH89" i="42" s="1"/>
  <c r="V53" i="42"/>
  <c r="AH53" i="42" s="1"/>
  <c r="AD109" i="42"/>
  <c r="V105" i="42"/>
  <c r="Z105" i="42"/>
  <c r="AD101" i="42"/>
  <c r="AJ101" i="42" s="1"/>
  <c r="V93" i="42"/>
  <c r="AD93" i="42"/>
  <c r="AD77" i="42"/>
  <c r="V73" i="42"/>
  <c r="AH73" i="42" s="1"/>
  <c r="AD69" i="42"/>
  <c r="AJ69" i="42" s="1"/>
  <c r="Z57" i="42"/>
  <c r="AD53" i="42"/>
  <c r="Z49" i="42"/>
  <c r="AI49" i="42" s="1"/>
  <c r="Z33" i="42"/>
  <c r="AD29" i="42"/>
  <c r="AD21" i="42"/>
  <c r="Z95" i="42"/>
  <c r="AI95" i="42" s="1"/>
  <c r="Z87" i="42"/>
  <c r="AD87" i="42"/>
  <c r="AJ87" i="42" s="1"/>
  <c r="Z71" i="42"/>
  <c r="AI71" i="42" s="1"/>
  <c r="Z63" i="42"/>
  <c r="AD55" i="42"/>
  <c r="AJ55" i="42" s="1"/>
  <c r="Z47" i="42"/>
  <c r="AD47" i="42"/>
  <c r="Z39" i="42"/>
  <c r="Z23" i="42"/>
  <c r="AI23" i="42" s="1"/>
  <c r="V11" i="42"/>
  <c r="V94" i="42"/>
  <c r="AH94" i="42" s="1"/>
  <c r="V86" i="42"/>
  <c r="AD86" i="42"/>
  <c r="V78" i="42"/>
  <c r="AH78" i="42" s="1"/>
  <c r="V70" i="42"/>
  <c r="AH70" i="42" s="1"/>
  <c r="V62" i="42"/>
  <c r="AH62" i="42" s="1"/>
  <c r="V54" i="42"/>
  <c r="AD54" i="42"/>
  <c r="V30" i="42"/>
  <c r="AH30" i="42" s="1"/>
  <c r="AD22" i="42"/>
  <c r="V96" i="42"/>
  <c r="Z80" i="42"/>
  <c r="AD68" i="42"/>
  <c r="V64" i="42"/>
  <c r="AH64" i="42" s="1"/>
  <c r="Z40" i="42"/>
  <c r="V32" i="42"/>
  <c r="Z24" i="42"/>
  <c r="AI24" i="42" s="1"/>
  <c r="AD67" i="42"/>
  <c r="AJ67" i="42" s="1"/>
  <c r="Z43" i="42"/>
  <c r="V27" i="42"/>
  <c r="V98" i="42"/>
  <c r="AH98" i="42" s="1"/>
  <c r="V82" i="42"/>
  <c r="V50" i="42"/>
  <c r="Z42" i="42"/>
  <c r="AI42" i="42" s="1"/>
  <c r="V34" i="42"/>
  <c r="AH10" i="69"/>
  <c r="AI10" i="69" s="1"/>
  <c r="AI93" i="42" l="1"/>
  <c r="AJ105" i="42"/>
  <c r="AO36" i="1"/>
  <c r="AO31" i="1"/>
  <c r="AH45" i="42"/>
  <c r="AP64" i="1"/>
  <c r="AN31" i="1"/>
  <c r="AJ84" i="42"/>
  <c r="AO44" i="1"/>
  <c r="Y62" i="1"/>
  <c r="AN62" i="1" s="1"/>
  <c r="T62" i="1"/>
  <c r="AQ62" i="1" s="1"/>
  <c r="AP62" i="1" s="1"/>
  <c r="AD82" i="1"/>
  <c r="AO82" i="1" s="1"/>
  <c r="AP33" i="1"/>
  <c r="AP81" i="1"/>
  <c r="AF81" i="70"/>
  <c r="AG81" i="70" s="1"/>
  <c r="AJ81" i="70"/>
  <c r="AK81" i="70" s="1"/>
  <c r="AH81" i="70"/>
  <c r="AI81" i="70" s="1"/>
  <c r="AF100" i="70"/>
  <c r="AG100" i="70" s="1"/>
  <c r="AH100" i="70"/>
  <c r="AI100" i="70" s="1"/>
  <c r="AJ100" i="70"/>
  <c r="AK100" i="70" s="1"/>
  <c r="AJ55" i="70"/>
  <c r="AK55" i="70" s="1"/>
  <c r="AF55" i="70"/>
  <c r="AG55" i="70" s="1"/>
  <c r="AH55" i="70"/>
  <c r="AI55" i="70" s="1"/>
  <c r="R60" i="42"/>
  <c r="AK60" i="42"/>
  <c r="V60" i="42"/>
  <c r="AH60" i="42" s="1"/>
  <c r="AK105" i="42"/>
  <c r="R105" i="42"/>
  <c r="AJ98" i="42"/>
  <c r="AH43" i="42"/>
  <c r="AF88" i="70"/>
  <c r="AG88" i="70" s="1"/>
  <c r="AH88" i="70"/>
  <c r="AI88" i="70" s="1"/>
  <c r="AJ88" i="70"/>
  <c r="AK88" i="70" s="1"/>
  <c r="AH89" i="70"/>
  <c r="AI89" i="70" s="1"/>
  <c r="AJ89" i="70"/>
  <c r="AK89" i="70" s="1"/>
  <c r="AF89" i="70"/>
  <c r="AG89" i="70" s="1"/>
  <c r="AF77" i="70"/>
  <c r="AG77" i="70" s="1"/>
  <c r="AJ77" i="70"/>
  <c r="AK77" i="70" s="1"/>
  <c r="AH77" i="70"/>
  <c r="AI77" i="70" s="1"/>
  <c r="AF75" i="70"/>
  <c r="AG75" i="70" s="1"/>
  <c r="AJ75" i="70"/>
  <c r="AK75" i="70" s="1"/>
  <c r="AH75" i="70"/>
  <c r="AI75" i="70" s="1"/>
  <c r="AP78" i="1"/>
  <c r="AN64" i="1"/>
  <c r="V35" i="42"/>
  <c r="AH35" i="42" s="1"/>
  <c r="V107" i="42"/>
  <c r="AH107" i="42" s="1"/>
  <c r="T23" i="1"/>
  <c r="AQ23" i="1" s="1"/>
  <c r="AN23" i="1" s="1"/>
  <c r="AP31" i="1"/>
  <c r="AO77" i="1"/>
  <c r="T79" i="1"/>
  <c r="AQ79" i="1" s="1"/>
  <c r="AO79" i="1" s="1"/>
  <c r="T87" i="1"/>
  <c r="AQ87" i="1" s="1"/>
  <c r="AI21" i="42"/>
  <c r="R25" i="42"/>
  <c r="AK25" i="42" s="1"/>
  <c r="AJ25" i="42" s="1"/>
  <c r="V25" i="42"/>
  <c r="AI68" i="42"/>
  <c r="R13" i="42"/>
  <c r="AK13" i="42"/>
  <c r="AJ13" i="42" s="1"/>
  <c r="R65" i="42"/>
  <c r="AK65" i="42" s="1"/>
  <c r="V65" i="42"/>
  <c r="R10" i="42"/>
  <c r="AK10" i="42" s="1"/>
  <c r="V10" i="42"/>
  <c r="R103" i="42"/>
  <c r="AK103" i="42" s="1"/>
  <c r="AJ103" i="42" s="1"/>
  <c r="V103" i="42"/>
  <c r="AF40" i="70"/>
  <c r="AG40" i="70" s="1"/>
  <c r="AH40" i="70"/>
  <c r="AI40" i="70" s="1"/>
  <c r="AJ40" i="70"/>
  <c r="AK40" i="70" s="1"/>
  <c r="AH41" i="70"/>
  <c r="AI41" i="70" s="1"/>
  <c r="AF41" i="70"/>
  <c r="AG41" i="70" s="1"/>
  <c r="AJ41" i="70"/>
  <c r="AK41" i="70" s="1"/>
  <c r="AH70" i="70"/>
  <c r="AI70" i="70" s="1"/>
  <c r="AF70" i="70"/>
  <c r="AG70" i="70" s="1"/>
  <c r="AJ70" i="70"/>
  <c r="AK70" i="70" s="1"/>
  <c r="AF92" i="70"/>
  <c r="AG92" i="70" s="1"/>
  <c r="AH92" i="70"/>
  <c r="AI92" i="70" s="1"/>
  <c r="AJ92" i="70"/>
  <c r="AK92" i="70" s="1"/>
  <c r="AF29" i="70"/>
  <c r="AG29" i="70" s="1"/>
  <c r="AJ29" i="70"/>
  <c r="AK29" i="70" s="1"/>
  <c r="AH29" i="70"/>
  <c r="AI29" i="70" s="1"/>
  <c r="AF19" i="70"/>
  <c r="AG19" i="70" s="1"/>
  <c r="AJ19" i="70"/>
  <c r="AK19" i="70" s="1"/>
  <c r="AH19" i="70"/>
  <c r="AI19" i="70" s="1"/>
  <c r="AF83" i="70"/>
  <c r="AG83" i="70" s="1"/>
  <c r="AJ83" i="70"/>
  <c r="AK83" i="70" s="1"/>
  <c r="AH83" i="70"/>
  <c r="AI83" i="70" s="1"/>
  <c r="AP58" i="1"/>
  <c r="AP82" i="1"/>
  <c r="AP90" i="1"/>
  <c r="AP98" i="1"/>
  <c r="AP17" i="1"/>
  <c r="AP41" i="1"/>
  <c r="AN41" i="1"/>
  <c r="AP65" i="1"/>
  <c r="AP89" i="1"/>
  <c r="AN89" i="1"/>
  <c r="R57" i="42"/>
  <c r="AK57" i="42" s="1"/>
  <c r="AJ93" i="42"/>
  <c r="AP23" i="1"/>
  <c r="AN40" i="1"/>
  <c r="AN18" i="1"/>
  <c r="T22" i="1"/>
  <c r="AQ22" i="1" s="1"/>
  <c r="AP22" i="1" s="1"/>
  <c r="Y22" i="1"/>
  <c r="AP38" i="1"/>
  <c r="AH42" i="70"/>
  <c r="AI42" i="70" s="1"/>
  <c r="AF42" i="70"/>
  <c r="AG42" i="70" s="1"/>
  <c r="AJ42" i="70"/>
  <c r="AK42" i="70" s="1"/>
  <c r="AH46" i="70"/>
  <c r="AI46" i="70" s="1"/>
  <c r="AF46" i="70"/>
  <c r="AG46" i="70" s="1"/>
  <c r="AJ46" i="70"/>
  <c r="AK46" i="70" s="1"/>
  <c r="T52" i="1"/>
  <c r="AQ52" i="1" s="1"/>
  <c r="AO52" i="1" s="1"/>
  <c r="Y52" i="1"/>
  <c r="AN52" i="1" s="1"/>
  <c r="Y83" i="1"/>
  <c r="AN83" i="1" s="1"/>
  <c r="T83" i="1"/>
  <c r="AQ83" i="1" s="1"/>
  <c r="AH95" i="70"/>
  <c r="AI95" i="70" s="1"/>
  <c r="AF95" i="70"/>
  <c r="AG95" i="70" s="1"/>
  <c r="AJ95" i="70"/>
  <c r="AK95" i="70" s="1"/>
  <c r="AP94" i="1"/>
  <c r="AJ39" i="70"/>
  <c r="AK39" i="70" s="1"/>
  <c r="AF39" i="70"/>
  <c r="AG39" i="70" s="1"/>
  <c r="AH39" i="70"/>
  <c r="AI39" i="70" s="1"/>
  <c r="T12" i="1"/>
  <c r="AQ12" i="1" s="1"/>
  <c r="AP12" i="1" s="1"/>
  <c r="Y12" i="1"/>
  <c r="AN12" i="1" s="1"/>
  <c r="Y44" i="1"/>
  <c r="AN44" i="1" s="1"/>
  <c r="T44" i="1"/>
  <c r="AQ44" i="1" s="1"/>
  <c r="AO23" i="1"/>
  <c r="AP35" i="1"/>
  <c r="AN15" i="1"/>
  <c r="AH52" i="70"/>
  <c r="AI52" i="70" s="1"/>
  <c r="AJ52" i="70"/>
  <c r="AK52" i="70" s="1"/>
  <c r="AF52" i="70"/>
  <c r="AG52" i="70" s="1"/>
  <c r="AH85" i="70"/>
  <c r="AI85" i="70" s="1"/>
  <c r="AJ85" i="70"/>
  <c r="AK85" i="70" s="1"/>
  <c r="AF85" i="70"/>
  <c r="AG85" i="70" s="1"/>
  <c r="AI32" i="42"/>
  <c r="V83" i="42"/>
  <c r="AH83" i="42" s="1"/>
  <c r="T18" i="1"/>
  <c r="AQ18" i="1" s="1"/>
  <c r="AO38" i="1"/>
  <c r="AO94" i="1"/>
  <c r="AO13" i="1"/>
  <c r="AO35" i="1"/>
  <c r="T71" i="1"/>
  <c r="AQ71" i="1" s="1"/>
  <c r="AO71" i="1" s="1"/>
  <c r="AO85" i="1"/>
  <c r="AJ58" i="42"/>
  <c r="AI107" i="42"/>
  <c r="V66" i="42"/>
  <c r="AH66" i="42" s="1"/>
  <c r="AI40" i="42"/>
  <c r="AJ54" i="42"/>
  <c r="AI57" i="42"/>
  <c r="AJ77" i="42"/>
  <c r="AH13" i="42"/>
  <c r="V37" i="42"/>
  <c r="AH37" i="42" s="1"/>
  <c r="AH44" i="42"/>
  <c r="AJ66" i="42"/>
  <c r="AI37" i="42"/>
  <c r="Y84" i="1"/>
  <c r="AN84" i="1" s="1"/>
  <c r="W14" i="71"/>
  <c r="AS14" i="71" s="1"/>
  <c r="AQ14" i="71" s="1"/>
  <c r="AA62" i="71"/>
  <c r="W78" i="71"/>
  <c r="AS78" i="71" s="1"/>
  <c r="AQ78" i="71" s="1"/>
  <c r="W43" i="71"/>
  <c r="AS43" i="71" s="1"/>
  <c r="AR43" i="71" s="1"/>
  <c r="W75" i="71"/>
  <c r="AS75" i="71" s="1"/>
  <c r="AR75" i="71" s="1"/>
  <c r="AA107" i="71"/>
  <c r="AA28" i="71"/>
  <c r="AQ32" i="71"/>
  <c r="AA44" i="71"/>
  <c r="W25" i="71"/>
  <c r="AS25" i="71" s="1"/>
  <c r="AQ25" i="71" s="1"/>
  <c r="AA33" i="71"/>
  <c r="W33" i="71"/>
  <c r="AS33" i="71" s="1"/>
  <c r="AA57" i="71"/>
  <c r="AP57" i="71" s="1"/>
  <c r="AR97" i="71"/>
  <c r="R36" i="42"/>
  <c r="AK36" i="42" s="1"/>
  <c r="AI36" i="42" s="1"/>
  <c r="AD49" i="42"/>
  <c r="AJ49" i="42" s="1"/>
  <c r="Z97" i="42"/>
  <c r="AI97" i="42" s="1"/>
  <c r="R32" i="42"/>
  <c r="AK32" i="42"/>
  <c r="AJ44" i="42"/>
  <c r="V77" i="42"/>
  <c r="AH77" i="42" s="1"/>
  <c r="AI22" i="42"/>
  <c r="V46" i="42"/>
  <c r="V47" i="42"/>
  <c r="AA60" i="70"/>
  <c r="AA93" i="70"/>
  <c r="AH105" i="42"/>
  <c r="AP40" i="1"/>
  <c r="AN58" i="1"/>
  <c r="AP71" i="1"/>
  <c r="AP79" i="1"/>
  <c r="AO83" i="1"/>
  <c r="AN104" i="1"/>
  <c r="AJ104" i="42"/>
  <c r="AP18" i="1"/>
  <c r="AO58" i="1"/>
  <c r="AP86" i="1"/>
  <c r="AP13" i="1"/>
  <c r="Y29" i="1"/>
  <c r="T29" i="1"/>
  <c r="AQ29" i="1" s="1"/>
  <c r="AP29" i="1" s="1"/>
  <c r="AP53" i="1"/>
  <c r="AO65" i="1"/>
  <c r="AP77" i="1"/>
  <c r="AF48" i="70"/>
  <c r="AG48" i="70" s="1"/>
  <c r="AH48" i="70"/>
  <c r="AI48" i="70" s="1"/>
  <c r="AJ48" i="70"/>
  <c r="AK48" i="70" s="1"/>
  <c r="AH58" i="70"/>
  <c r="AI58" i="70" s="1"/>
  <c r="AF58" i="70"/>
  <c r="AG58" i="70" s="1"/>
  <c r="AJ58" i="70"/>
  <c r="AK58" i="70" s="1"/>
  <c r="AH69" i="70"/>
  <c r="AI69" i="70" s="1"/>
  <c r="AJ69" i="70"/>
  <c r="AK69" i="70" s="1"/>
  <c r="AF69" i="70"/>
  <c r="AG69" i="70" s="1"/>
  <c r="Z48" i="42"/>
  <c r="AI48" i="42" s="1"/>
  <c r="AJ57" i="42"/>
  <c r="AI60" i="42"/>
  <c r="V84" i="42"/>
  <c r="R84" i="42"/>
  <c r="AK84" i="42" s="1"/>
  <c r="AI84" i="42" s="1"/>
  <c r="AK33" i="42"/>
  <c r="AJ33" i="42" s="1"/>
  <c r="V33" i="42"/>
  <c r="R33" i="42"/>
  <c r="AD14" i="42"/>
  <c r="Y36" i="1"/>
  <c r="AN36" i="1" s="1"/>
  <c r="T36" i="1"/>
  <c r="AQ36" i="1" s="1"/>
  <c r="AP11" i="1"/>
  <c r="AN39" i="1"/>
  <c r="AP75" i="1"/>
  <c r="AP83" i="1"/>
  <c r="AH50" i="70"/>
  <c r="AI50" i="70" s="1"/>
  <c r="AF50" i="70"/>
  <c r="AG50" i="70" s="1"/>
  <c r="AJ50" i="70"/>
  <c r="AK50" i="70" s="1"/>
  <c r="Y37" i="1"/>
  <c r="T37" i="1"/>
  <c r="AQ37" i="1" s="1"/>
  <c r="AP37" i="1" s="1"/>
  <c r="AN49" i="1"/>
  <c r="Y85" i="1"/>
  <c r="T85" i="1"/>
  <c r="AQ85" i="1" s="1"/>
  <c r="AP85" i="1" s="1"/>
  <c r="AH16" i="70"/>
  <c r="AI16" i="70" s="1"/>
  <c r="AF16" i="70"/>
  <c r="AG16" i="70" s="1"/>
  <c r="AJ16" i="70"/>
  <c r="AK16" i="70" s="1"/>
  <c r="AF10" i="70"/>
  <c r="AG10" i="70" s="1"/>
  <c r="AH10" i="70"/>
  <c r="AI10" i="70" s="1"/>
  <c r="AJ10" i="70"/>
  <c r="AK10" i="70" s="1"/>
  <c r="V16" i="42"/>
  <c r="AN79" i="1"/>
  <c r="AP91" i="1"/>
  <c r="AF33" i="70"/>
  <c r="AG33" i="70" s="1"/>
  <c r="AJ33" i="70"/>
  <c r="AK33" i="70" s="1"/>
  <c r="AH33" i="70"/>
  <c r="AI33" i="70" s="1"/>
  <c r="AD98" i="70"/>
  <c r="Y76" i="1"/>
  <c r="AN76" i="1" s="1"/>
  <c r="T76" i="1"/>
  <c r="AQ76" i="1" s="1"/>
  <c r="AH93" i="42"/>
  <c r="AI98" i="42"/>
  <c r="AJ108" i="42"/>
  <c r="AH69" i="42"/>
  <c r="AI12" i="42"/>
  <c r="AI13" i="42"/>
  <c r="T10" i="1"/>
  <c r="AQ10" i="1" s="1"/>
  <c r="T24" i="1"/>
  <c r="AQ24" i="1" s="1"/>
  <c r="AO24" i="1" s="1"/>
  <c r="AO78" i="1"/>
  <c r="AN55" i="1"/>
  <c r="AN95" i="1"/>
  <c r="Y91" i="1"/>
  <c r="AN91" i="1" s="1"/>
  <c r="Y13" i="1"/>
  <c r="Y101" i="1"/>
  <c r="AN101" i="1" s="1"/>
  <c r="Y102" i="1"/>
  <c r="AN102" i="1" s="1"/>
  <c r="AI79" i="42"/>
  <c r="R45" i="42"/>
  <c r="AJ92" i="42"/>
  <c r="V90" i="42"/>
  <c r="AH90" i="42" s="1"/>
  <c r="AI99" i="42"/>
  <c r="AI38" i="42"/>
  <c r="V99" i="42"/>
  <c r="AH99" i="42" s="1"/>
  <c r="AO12" i="1"/>
  <c r="T34" i="1"/>
  <c r="AQ34" i="1" s="1"/>
  <c r="AN34" i="1" s="1"/>
  <c r="AO46" i="1"/>
  <c r="AO68" i="1"/>
  <c r="AO84" i="1"/>
  <c r="AO100" i="1"/>
  <c r="AO37" i="1"/>
  <c r="T39" i="1"/>
  <c r="AQ39" i="1" s="1"/>
  <c r="AO39" i="1" s="1"/>
  <c r="T49" i="1"/>
  <c r="AQ49" i="1" s="1"/>
  <c r="AP49" i="1" s="1"/>
  <c r="AO53" i="1"/>
  <c r="T97" i="1"/>
  <c r="AQ97" i="1" s="1"/>
  <c r="AO97" i="1" s="1"/>
  <c r="AO101" i="1"/>
  <c r="AN80" i="1"/>
  <c r="Y77" i="1"/>
  <c r="AN77" i="1" s="1"/>
  <c r="Y68" i="1"/>
  <c r="AN68" i="1" s="1"/>
  <c r="Y38" i="1"/>
  <c r="AN38" i="1" s="1"/>
  <c r="R43" i="42"/>
  <c r="AK43" i="42" s="1"/>
  <c r="AJ43" i="42" s="1"/>
  <c r="R91" i="42"/>
  <c r="AK91" i="42" s="1"/>
  <c r="AH91" i="42" s="1"/>
  <c r="R16" i="42"/>
  <c r="AK16" i="42" s="1"/>
  <c r="AJ16" i="42" s="1"/>
  <c r="R61" i="42"/>
  <c r="AK61" i="42" s="1"/>
  <c r="AH61" i="42" s="1"/>
  <c r="AK45" i="42"/>
  <c r="AJ45" i="42" s="1"/>
  <c r="W46" i="71"/>
  <c r="AS46" i="71" s="1"/>
  <c r="AQ46" i="71" s="1"/>
  <c r="AA94" i="71"/>
  <c r="AP94" i="71" s="1"/>
  <c r="W11" i="71"/>
  <c r="AS11" i="71" s="1"/>
  <c r="AR11" i="71" s="1"/>
  <c r="AJ22" i="42"/>
  <c r="AH54" i="42"/>
  <c r="AJ86" i="42"/>
  <c r="AJ47" i="42"/>
  <c r="AJ21" i="42"/>
  <c r="AI35" i="42"/>
  <c r="AJ40" i="42"/>
  <c r="AH38" i="42"/>
  <c r="AH20" i="42"/>
  <c r="AH88" i="42"/>
  <c r="AH79" i="42"/>
  <c r="AH21" i="42"/>
  <c r="AI45" i="42"/>
  <c r="AH42" i="42"/>
  <c r="V12" i="42"/>
  <c r="AJ78" i="42"/>
  <c r="AJ60" i="42"/>
  <c r="AP32" i="1"/>
  <c r="T42" i="1"/>
  <c r="AQ42" i="1" s="1"/>
  <c r="AN42" i="1" s="1"/>
  <c r="AO62" i="1"/>
  <c r="T64" i="1"/>
  <c r="AQ64" i="1" s="1"/>
  <c r="AO64" i="1" s="1"/>
  <c r="AO76" i="1"/>
  <c r="AP96" i="1"/>
  <c r="AP15" i="1"/>
  <c r="T57" i="1"/>
  <c r="AQ57" i="1" s="1"/>
  <c r="AN57" i="1" s="1"/>
  <c r="T81" i="1"/>
  <c r="AQ81" i="1" s="1"/>
  <c r="AN81" i="1" s="1"/>
  <c r="AO91" i="1"/>
  <c r="AP95" i="1"/>
  <c r="T105" i="1"/>
  <c r="AQ105" i="1" s="1"/>
  <c r="AP105" i="1" s="1"/>
  <c r="Y11" i="1"/>
  <c r="AN11" i="1" s="1"/>
  <c r="AN88" i="1"/>
  <c r="Y94" i="1"/>
  <c r="AN94" i="1" s="1"/>
  <c r="Y100" i="1"/>
  <c r="AN100" i="1" s="1"/>
  <c r="W66" i="71"/>
  <c r="AS66" i="71" s="1"/>
  <c r="AQ66" i="71" s="1"/>
  <c r="R102" i="42"/>
  <c r="AK102" i="42" s="1"/>
  <c r="AJ102" i="42" s="1"/>
  <c r="AK12" i="42"/>
  <c r="R85" i="42"/>
  <c r="AK85" i="42" s="1"/>
  <c r="AJ85" i="42" s="1"/>
  <c r="W50" i="71"/>
  <c r="AS50" i="71" s="1"/>
  <c r="AP50" i="71" s="1"/>
  <c r="W76" i="71"/>
  <c r="AS76" i="71" s="1"/>
  <c r="AR76" i="71" s="1"/>
  <c r="AA77" i="71"/>
  <c r="AA72" i="71"/>
  <c r="AP72" i="71" s="1"/>
  <c r="W104" i="71"/>
  <c r="AS104" i="71" s="1"/>
  <c r="AP104" i="71" s="1"/>
  <c r="W65" i="71"/>
  <c r="AS65" i="71" s="1"/>
  <c r="AR65" i="71" s="1"/>
  <c r="AA97" i="71"/>
  <c r="AI102" i="42"/>
  <c r="AI41" i="42"/>
  <c r="R80" i="42"/>
  <c r="R29" i="42"/>
  <c r="Z31" i="42"/>
  <c r="AI31" i="42" s="1"/>
  <c r="AH54" i="70"/>
  <c r="AI54" i="70" s="1"/>
  <c r="AF54" i="70"/>
  <c r="AG54" i="70" s="1"/>
  <c r="AJ54" i="70"/>
  <c r="AK54" i="70" s="1"/>
  <c r="AH60" i="70"/>
  <c r="AI60" i="70" s="1"/>
  <c r="AF60" i="70"/>
  <c r="AG60" i="70" s="1"/>
  <c r="AJ60" i="70"/>
  <c r="AK60" i="70" s="1"/>
  <c r="AJ67" i="70"/>
  <c r="AK67" i="70" s="1"/>
  <c r="AF67" i="70"/>
  <c r="AG67" i="70" s="1"/>
  <c r="AH67" i="70"/>
  <c r="AI67" i="70" s="1"/>
  <c r="AF49" i="70"/>
  <c r="AG49" i="70" s="1"/>
  <c r="AJ49" i="70"/>
  <c r="AK49" i="70" s="1"/>
  <c r="AH49" i="70"/>
  <c r="AI49" i="70" s="1"/>
  <c r="AH106" i="70"/>
  <c r="AI106" i="70" s="1"/>
  <c r="AF106" i="70"/>
  <c r="AG106" i="70" s="1"/>
  <c r="AJ106" i="70"/>
  <c r="AK106" i="70" s="1"/>
  <c r="AF68" i="70"/>
  <c r="AG68" i="70" s="1"/>
  <c r="AH68" i="70"/>
  <c r="AI68" i="70" s="1"/>
  <c r="AJ68" i="70"/>
  <c r="AK68" i="70" s="1"/>
  <c r="AJ23" i="70"/>
  <c r="AK23" i="70" s="1"/>
  <c r="AF23" i="70"/>
  <c r="AG23" i="70" s="1"/>
  <c r="AH23" i="70"/>
  <c r="AI23" i="70" s="1"/>
  <c r="R48" i="42"/>
  <c r="AK48" i="42" s="1"/>
  <c r="AH48" i="42" s="1"/>
  <c r="Z21" i="42"/>
  <c r="Z14" i="42"/>
  <c r="AI14" i="42" s="1"/>
  <c r="Z67" i="42"/>
  <c r="AI67" i="42" s="1"/>
  <c r="AD91" i="42"/>
  <c r="AJ91" i="42" s="1"/>
  <c r="AH24" i="70"/>
  <c r="AI24" i="70" s="1"/>
  <c r="AF24" i="70"/>
  <c r="AG24" i="70" s="1"/>
  <c r="AJ24" i="70"/>
  <c r="AK24" i="70" s="1"/>
  <c r="AF57" i="70"/>
  <c r="AG57" i="70" s="1"/>
  <c r="AJ57" i="70"/>
  <c r="AK57" i="70" s="1"/>
  <c r="AH57" i="70"/>
  <c r="AI57" i="70" s="1"/>
  <c r="AH30" i="70"/>
  <c r="AI30" i="70" s="1"/>
  <c r="AF30" i="70"/>
  <c r="AG30" i="70" s="1"/>
  <c r="AJ30" i="70"/>
  <c r="AK30" i="70" s="1"/>
  <c r="AH76" i="70"/>
  <c r="AI76" i="70" s="1"/>
  <c r="AF76" i="70"/>
  <c r="AG76" i="70" s="1"/>
  <c r="AJ76" i="70"/>
  <c r="AK76" i="70" s="1"/>
  <c r="AH13" i="70"/>
  <c r="AI13" i="70" s="1"/>
  <c r="AF13" i="70"/>
  <c r="AG13" i="70" s="1"/>
  <c r="AJ13" i="70"/>
  <c r="AK13" i="70" s="1"/>
  <c r="AF43" i="70"/>
  <c r="AG43" i="70" s="1"/>
  <c r="AJ43" i="70"/>
  <c r="AK43" i="70" s="1"/>
  <c r="AH43" i="70"/>
  <c r="AI43" i="70" s="1"/>
  <c r="AF96" i="70"/>
  <c r="AG96" i="70" s="1"/>
  <c r="AH96" i="70"/>
  <c r="AI96" i="70" s="1"/>
  <c r="AJ96" i="70"/>
  <c r="AK96" i="70" s="1"/>
  <c r="AH18" i="70"/>
  <c r="AI18" i="70" s="1"/>
  <c r="AF18" i="70"/>
  <c r="AG18" i="70" s="1"/>
  <c r="AJ18" i="70"/>
  <c r="AK18" i="70" s="1"/>
  <c r="AF84" i="70"/>
  <c r="AG84" i="70" s="1"/>
  <c r="AH84" i="70"/>
  <c r="AI84" i="70" s="1"/>
  <c r="AJ84" i="70"/>
  <c r="AK84" i="70" s="1"/>
  <c r="AF21" i="70"/>
  <c r="AG21" i="70" s="1"/>
  <c r="AJ21" i="70"/>
  <c r="AK21" i="70" s="1"/>
  <c r="AH21" i="70"/>
  <c r="AI21" i="70" s="1"/>
  <c r="AJ79" i="70"/>
  <c r="AK79" i="70" s="1"/>
  <c r="AF79" i="70"/>
  <c r="AG79" i="70" s="1"/>
  <c r="AH79" i="70"/>
  <c r="AI79" i="70" s="1"/>
  <c r="R52" i="42"/>
  <c r="AK52" i="42" s="1"/>
  <c r="AH52" i="42" s="1"/>
  <c r="AH62" i="70"/>
  <c r="AI62" i="70" s="1"/>
  <c r="AF62" i="70"/>
  <c r="AG62" i="70" s="1"/>
  <c r="AJ62" i="70"/>
  <c r="AK62" i="70" s="1"/>
  <c r="AH12" i="70"/>
  <c r="AI12" i="70" s="1"/>
  <c r="AF12" i="70"/>
  <c r="AG12" i="70" s="1"/>
  <c r="AJ12" i="70"/>
  <c r="AK12" i="70" s="1"/>
  <c r="AH45" i="70"/>
  <c r="AI45" i="70" s="1"/>
  <c r="AF45" i="70"/>
  <c r="AG45" i="70" s="1"/>
  <c r="AJ45" i="70"/>
  <c r="AK45" i="70" s="1"/>
  <c r="AF107" i="70"/>
  <c r="AG107" i="70" s="1"/>
  <c r="AJ107" i="70"/>
  <c r="AK107" i="70" s="1"/>
  <c r="AH107" i="70"/>
  <c r="AI107" i="70" s="1"/>
  <c r="AH98" i="70"/>
  <c r="AI98" i="70" s="1"/>
  <c r="AF98" i="70"/>
  <c r="AG98" i="70" s="1"/>
  <c r="AJ98" i="70"/>
  <c r="AK98" i="70" s="1"/>
  <c r="AF53" i="70"/>
  <c r="AG53" i="70" s="1"/>
  <c r="AH53" i="70"/>
  <c r="AI53" i="70" s="1"/>
  <c r="AJ53" i="70"/>
  <c r="AK53" i="70" s="1"/>
  <c r="AF64" i="70"/>
  <c r="AG64" i="70" s="1"/>
  <c r="AH64" i="70"/>
  <c r="AI64" i="70" s="1"/>
  <c r="AJ64" i="70"/>
  <c r="AK64" i="70" s="1"/>
  <c r="AH66" i="70"/>
  <c r="AI66" i="70" s="1"/>
  <c r="AF66" i="70"/>
  <c r="AG66" i="70" s="1"/>
  <c r="AJ66" i="70"/>
  <c r="AK66" i="70" s="1"/>
  <c r="AO18" i="1"/>
  <c r="AP54" i="1"/>
  <c r="AP68" i="1"/>
  <c r="AP76" i="1"/>
  <c r="AP84" i="1"/>
  <c r="AP21" i="1"/>
  <c r="AO57" i="1"/>
  <c r="AP93" i="1"/>
  <c r="AO105" i="1"/>
  <c r="AN14" i="1"/>
  <c r="AN54" i="1"/>
  <c r="Z25" i="42"/>
  <c r="AI25" i="42" s="1"/>
  <c r="Z44" i="42"/>
  <c r="AI44" i="42" s="1"/>
  <c r="R92" i="42"/>
  <c r="AK92" i="42" s="1"/>
  <c r="AH92" i="42" s="1"/>
  <c r="AF104" i="70"/>
  <c r="AG104" i="70" s="1"/>
  <c r="AH104" i="70"/>
  <c r="AI104" i="70" s="1"/>
  <c r="AJ104" i="70"/>
  <c r="AK104" i="70" s="1"/>
  <c r="AH105" i="70"/>
  <c r="AI105" i="70" s="1"/>
  <c r="AJ105" i="70"/>
  <c r="AK105" i="70" s="1"/>
  <c r="AF105" i="70"/>
  <c r="AG105" i="70" s="1"/>
  <c r="AH38" i="70"/>
  <c r="AI38" i="70" s="1"/>
  <c r="AF38" i="70"/>
  <c r="AG38" i="70" s="1"/>
  <c r="AJ38" i="70"/>
  <c r="AK38" i="70" s="1"/>
  <c r="AH102" i="70"/>
  <c r="AI102" i="70" s="1"/>
  <c r="AF102" i="70"/>
  <c r="AG102" i="70" s="1"/>
  <c r="AJ102" i="70"/>
  <c r="AK102" i="70" s="1"/>
  <c r="AH28" i="70"/>
  <c r="AI28" i="70" s="1"/>
  <c r="AF28" i="70"/>
  <c r="AG28" i="70" s="1"/>
  <c r="AJ28" i="70"/>
  <c r="AK28" i="70" s="1"/>
  <c r="AH93" i="70"/>
  <c r="AI93" i="70" s="1"/>
  <c r="AJ93" i="70"/>
  <c r="AK93" i="70" s="1"/>
  <c r="AF93" i="70"/>
  <c r="AG93" i="70" s="1"/>
  <c r="AF51" i="70"/>
  <c r="AG51" i="70" s="1"/>
  <c r="AJ51" i="70"/>
  <c r="AK51" i="70" s="1"/>
  <c r="AH51" i="70"/>
  <c r="AI51" i="70" s="1"/>
  <c r="AH26" i="70"/>
  <c r="AI26" i="70" s="1"/>
  <c r="AF26" i="70"/>
  <c r="AG26" i="70" s="1"/>
  <c r="AJ26" i="70"/>
  <c r="AK26" i="70" s="1"/>
  <c r="AH103" i="70"/>
  <c r="AI103" i="70" s="1"/>
  <c r="AF103" i="70"/>
  <c r="AG103" i="70" s="1"/>
  <c r="AJ103" i="70"/>
  <c r="AK103" i="70" s="1"/>
  <c r="Z76" i="42"/>
  <c r="AD73" i="42"/>
  <c r="AJ73" i="42" s="1"/>
  <c r="AD59" i="42"/>
  <c r="AJ59" i="42" s="1"/>
  <c r="AF25" i="70"/>
  <c r="AG25" i="70" s="1"/>
  <c r="AH25" i="70"/>
  <c r="AI25" i="70" s="1"/>
  <c r="AJ25" i="70"/>
  <c r="AK25" i="70" s="1"/>
  <c r="AH94" i="70"/>
  <c r="AI94" i="70" s="1"/>
  <c r="AF94" i="70"/>
  <c r="AG94" i="70" s="1"/>
  <c r="AJ94" i="70"/>
  <c r="AK94" i="70" s="1"/>
  <c r="AH44" i="70"/>
  <c r="AI44" i="70" s="1"/>
  <c r="AF44" i="70"/>
  <c r="AG44" i="70" s="1"/>
  <c r="AJ44" i="70"/>
  <c r="AK44" i="70" s="1"/>
  <c r="AF11" i="70"/>
  <c r="AG11" i="70" s="1"/>
  <c r="AJ11" i="70"/>
  <c r="AK11" i="70" s="1"/>
  <c r="AH11" i="70"/>
  <c r="AI11" i="70" s="1"/>
  <c r="AF32" i="70"/>
  <c r="AG32" i="70" s="1"/>
  <c r="AH32" i="70"/>
  <c r="AI32" i="70" s="1"/>
  <c r="AJ32" i="70"/>
  <c r="AK32" i="70" s="1"/>
  <c r="AH20" i="70"/>
  <c r="AI20" i="70" s="1"/>
  <c r="AF20" i="70"/>
  <c r="AG20" i="70" s="1"/>
  <c r="AJ20" i="70"/>
  <c r="AK20" i="70" s="1"/>
  <c r="AJ31" i="70"/>
  <c r="AK31" i="70" s="1"/>
  <c r="AF31" i="70"/>
  <c r="AG31" i="70" s="1"/>
  <c r="AH31" i="70"/>
  <c r="AI31" i="70" s="1"/>
  <c r="AF17" i="70"/>
  <c r="AG17" i="70" s="1"/>
  <c r="AH17" i="70"/>
  <c r="AI17" i="70" s="1"/>
  <c r="AJ17" i="70"/>
  <c r="AK17" i="70" s="1"/>
  <c r="AH74" i="70"/>
  <c r="AI74" i="70" s="1"/>
  <c r="AF74" i="70"/>
  <c r="AG74" i="70" s="1"/>
  <c r="AJ74" i="70"/>
  <c r="AK74" i="70" s="1"/>
  <c r="AF36" i="70"/>
  <c r="AG36" i="70" s="1"/>
  <c r="AH36" i="70"/>
  <c r="AI36" i="70" s="1"/>
  <c r="AJ36" i="70"/>
  <c r="AK36" i="70" s="1"/>
  <c r="AH37" i="70"/>
  <c r="AI37" i="70" s="1"/>
  <c r="AJ37" i="70"/>
  <c r="AK37" i="70" s="1"/>
  <c r="AF37" i="70"/>
  <c r="AG37" i="70" s="1"/>
  <c r="AD18" i="42"/>
  <c r="R72" i="42"/>
  <c r="AK72" i="42" s="1"/>
  <c r="AI72" i="42" s="1"/>
  <c r="Z104" i="42"/>
  <c r="AI104" i="42" s="1"/>
  <c r="AD50" i="42"/>
  <c r="AD27" i="42"/>
  <c r="AJ27" i="42" s="1"/>
  <c r="AF56" i="70"/>
  <c r="AG56" i="70" s="1"/>
  <c r="AH56" i="70"/>
  <c r="AI56" i="70" s="1"/>
  <c r="AJ56" i="70"/>
  <c r="AK56" i="70" s="1"/>
  <c r="AH14" i="70"/>
  <c r="AI14" i="70" s="1"/>
  <c r="AF14" i="70"/>
  <c r="AG14" i="70" s="1"/>
  <c r="AJ14" i="70"/>
  <c r="AK14" i="70" s="1"/>
  <c r="AJ59" i="70"/>
  <c r="AK59" i="70" s="1"/>
  <c r="AH59" i="70"/>
  <c r="AI59" i="70" s="1"/>
  <c r="AF59" i="70"/>
  <c r="AG59" i="70" s="1"/>
  <c r="AH34" i="70"/>
  <c r="AI34" i="70" s="1"/>
  <c r="AF34" i="70"/>
  <c r="AG34" i="70" s="1"/>
  <c r="AJ34" i="70"/>
  <c r="AK34" i="70" s="1"/>
  <c r="AJ63" i="70"/>
  <c r="AK63" i="70" s="1"/>
  <c r="AF63" i="70"/>
  <c r="AG63" i="70" s="1"/>
  <c r="AH63" i="70"/>
  <c r="AI63" i="70" s="1"/>
  <c r="AP14" i="1"/>
  <c r="AO26" i="1"/>
  <c r="AP30" i="1"/>
  <c r="AP36" i="1"/>
  <c r="AO42" i="1"/>
  <c r="AP44" i="1"/>
  <c r="AO50" i="1"/>
  <c r="AP52" i="1"/>
  <c r="AP70" i="1"/>
  <c r="AP100" i="1"/>
  <c r="AO106" i="1"/>
  <c r="AO33" i="1"/>
  <c r="AP45" i="1"/>
  <c r="AO49" i="1"/>
  <c r="AP61" i="1"/>
  <c r="AP69" i="1"/>
  <c r="AO81" i="1"/>
  <c r="AN48" i="1"/>
  <c r="AN69" i="1"/>
  <c r="AN82" i="1"/>
  <c r="AN72" i="1"/>
  <c r="AN17" i="1"/>
  <c r="AN65" i="1"/>
  <c r="AJ14" i="42"/>
  <c r="R46" i="42"/>
  <c r="AK46" i="42" s="1"/>
  <c r="AI76" i="42"/>
  <c r="AK29" i="42"/>
  <c r="AH29" i="42" s="1"/>
  <c r="AH27" i="42"/>
  <c r="AH86" i="42"/>
  <c r="AH11" i="42"/>
  <c r="AI105" i="42"/>
  <c r="AH59" i="42"/>
  <c r="AJ28" i="42"/>
  <c r="AH22" i="42"/>
  <c r="AH19" i="42"/>
  <c r="V80" i="42"/>
  <c r="AJ11" i="42"/>
  <c r="AJ46" i="42"/>
  <c r="AJ95" i="42"/>
  <c r="AI77" i="42"/>
  <c r="AI15" i="42"/>
  <c r="AP34" i="1"/>
  <c r="AP66" i="1"/>
  <c r="AP74" i="1"/>
  <c r="AP106" i="1"/>
  <c r="AP25" i="1"/>
  <c r="AP73" i="1"/>
  <c r="AN51" i="1"/>
  <c r="AN20" i="1"/>
  <c r="AN21" i="1"/>
  <c r="AN73" i="1"/>
  <c r="AN27" i="1"/>
  <c r="AJ18" i="42"/>
  <c r="AJ50" i="42"/>
  <c r="AK80" i="42"/>
  <c r="AI80" i="42" s="1"/>
  <c r="AA22" i="71"/>
  <c r="AP22" i="71" s="1"/>
  <c r="W26" i="71"/>
  <c r="AS26" i="71" s="1"/>
  <c r="AR26" i="71" s="1"/>
  <c r="W42" i="71"/>
  <c r="AS42" i="71" s="1"/>
  <c r="AQ42" i="71" s="1"/>
  <c r="W54" i="71"/>
  <c r="AS54" i="71" s="1"/>
  <c r="W58" i="71"/>
  <c r="AS58" i="71" s="1"/>
  <c r="AQ58" i="71" s="1"/>
  <c r="AA70" i="71"/>
  <c r="W74" i="71"/>
  <c r="AS74" i="71" s="1"/>
  <c r="AQ74" i="71" s="1"/>
  <c r="AA86" i="71"/>
  <c r="AA35" i="71"/>
  <c r="W39" i="71"/>
  <c r="AS39" i="71" s="1"/>
  <c r="AQ39" i="71" s="1"/>
  <c r="W51" i="71"/>
  <c r="AS51" i="71" s="1"/>
  <c r="AR51" i="71" s="1"/>
  <c r="W55" i="71"/>
  <c r="AS55" i="71" s="1"/>
  <c r="AQ55" i="71" s="1"/>
  <c r="W67" i="71"/>
  <c r="AS67" i="71" s="1"/>
  <c r="AR67" i="71" s="1"/>
  <c r="W103" i="71"/>
  <c r="AS103" i="71" s="1"/>
  <c r="AQ103" i="71" s="1"/>
  <c r="AA16" i="71"/>
  <c r="AP16" i="71" s="1"/>
  <c r="W36" i="71"/>
  <c r="AS36" i="71" s="1"/>
  <c r="AR36" i="71" s="1"/>
  <c r="AA56" i="71"/>
  <c r="AP56" i="71" s="1"/>
  <c r="W21" i="71"/>
  <c r="AS21" i="71" s="1"/>
  <c r="AP21" i="71" s="1"/>
  <c r="AA53" i="71"/>
  <c r="AP53" i="71" s="1"/>
  <c r="W85" i="71"/>
  <c r="AS85" i="71" s="1"/>
  <c r="AA10" i="71"/>
  <c r="AA20" i="71"/>
  <c r="W52" i="71"/>
  <c r="AS52" i="71" s="1"/>
  <c r="AQ52" i="71" s="1"/>
  <c r="AA80" i="71"/>
  <c r="AA88" i="71"/>
  <c r="W17" i="71"/>
  <c r="AS17" i="71" s="1"/>
  <c r="AR17" i="71" s="1"/>
  <c r="AA41" i="71"/>
  <c r="W49" i="71"/>
  <c r="AS49" i="71" s="1"/>
  <c r="AR49" i="71" s="1"/>
  <c r="AA73" i="71"/>
  <c r="AQ89" i="71"/>
  <c r="W105" i="71"/>
  <c r="AS105" i="71" s="1"/>
  <c r="AQ105" i="71" s="1"/>
  <c r="AD12" i="42"/>
  <c r="R88" i="42"/>
  <c r="AK88" i="42" s="1"/>
  <c r="AD97" i="42"/>
  <c r="AJ97" i="42" s="1"/>
  <c r="Z20" i="42"/>
  <c r="AI20" i="42" s="1"/>
  <c r="R56" i="42"/>
  <c r="AK56" i="42" s="1"/>
  <c r="AJ56" i="42" s="1"/>
  <c r="AD80" i="42"/>
  <c r="R100" i="42"/>
  <c r="AK100" i="42" s="1"/>
  <c r="AI100" i="42" s="1"/>
  <c r="Z46" i="42"/>
  <c r="AI46" i="42" s="1"/>
  <c r="AD58" i="42"/>
  <c r="Z79" i="42"/>
  <c r="AF72" i="70"/>
  <c r="AG72" i="70" s="1"/>
  <c r="AH72" i="70"/>
  <c r="AI72" i="70" s="1"/>
  <c r="AJ72" i="70"/>
  <c r="AK72" i="70" s="1"/>
  <c r="AF73" i="70"/>
  <c r="AG73" i="70" s="1"/>
  <c r="AJ73" i="70"/>
  <c r="AK73" i="70" s="1"/>
  <c r="AH73" i="70"/>
  <c r="AI73" i="70" s="1"/>
  <c r="AH22" i="70"/>
  <c r="AI22" i="70" s="1"/>
  <c r="AF22" i="70"/>
  <c r="AG22" i="70" s="1"/>
  <c r="AJ22" i="70"/>
  <c r="AK22" i="70" s="1"/>
  <c r="AH86" i="70"/>
  <c r="AI86" i="70" s="1"/>
  <c r="AF86" i="70"/>
  <c r="AG86" i="70" s="1"/>
  <c r="AJ86" i="70"/>
  <c r="AK86" i="70" s="1"/>
  <c r="AF61" i="70"/>
  <c r="AG61" i="70" s="1"/>
  <c r="AJ61" i="70"/>
  <c r="AK61" i="70" s="1"/>
  <c r="AH61" i="70"/>
  <c r="AI61" i="70" s="1"/>
  <c r="AJ35" i="70"/>
  <c r="AK35" i="70" s="1"/>
  <c r="AF35" i="70"/>
  <c r="AG35" i="70" s="1"/>
  <c r="AH35" i="70"/>
  <c r="AI35" i="70" s="1"/>
  <c r="AJ99" i="70"/>
  <c r="AK99" i="70" s="1"/>
  <c r="AF99" i="70"/>
  <c r="AG99" i="70" s="1"/>
  <c r="AH99" i="70"/>
  <c r="AI99" i="70" s="1"/>
  <c r="AF80" i="70"/>
  <c r="AG80" i="70" s="1"/>
  <c r="AH80" i="70"/>
  <c r="AI80" i="70" s="1"/>
  <c r="AJ80" i="70"/>
  <c r="AK80" i="70" s="1"/>
  <c r="AH90" i="70"/>
  <c r="AI90" i="70" s="1"/>
  <c r="AF90" i="70"/>
  <c r="AG90" i="70" s="1"/>
  <c r="AJ90" i="70"/>
  <c r="AK90" i="70" s="1"/>
  <c r="AH101" i="70"/>
  <c r="AI101" i="70" s="1"/>
  <c r="AJ101" i="70"/>
  <c r="AK101" i="70" s="1"/>
  <c r="AF101" i="70"/>
  <c r="AG101" i="70" s="1"/>
  <c r="AJ71" i="70"/>
  <c r="AK71" i="70" s="1"/>
  <c r="AF71" i="70"/>
  <c r="AG71" i="70" s="1"/>
  <c r="AH71" i="70"/>
  <c r="AI71" i="70" s="1"/>
  <c r="R17" i="42"/>
  <c r="AK17" i="42" s="1"/>
  <c r="AI17" i="42" s="1"/>
  <c r="R40" i="42"/>
  <c r="AK40" i="42" s="1"/>
  <c r="AH40" i="42" s="1"/>
  <c r="Z91" i="42"/>
  <c r="AI91" i="42" s="1"/>
  <c r="AH78" i="70"/>
  <c r="AI78" i="70" s="1"/>
  <c r="AF78" i="70"/>
  <c r="AG78" i="70" s="1"/>
  <c r="AJ78" i="70"/>
  <c r="AK78" i="70" s="1"/>
  <c r="AF91" i="70"/>
  <c r="AG91" i="70" s="1"/>
  <c r="AJ91" i="70"/>
  <c r="AK91" i="70" s="1"/>
  <c r="AH91" i="70"/>
  <c r="AI91" i="70" s="1"/>
  <c r="AF65" i="70"/>
  <c r="AG65" i="70" s="1"/>
  <c r="AJ65" i="70"/>
  <c r="AK65" i="70" s="1"/>
  <c r="AH65" i="70"/>
  <c r="AI65" i="70" s="1"/>
  <c r="AH82" i="70"/>
  <c r="AI82" i="70" s="1"/>
  <c r="AF82" i="70"/>
  <c r="AG82" i="70" s="1"/>
  <c r="AJ82" i="70"/>
  <c r="AK82" i="70" s="1"/>
  <c r="AJ15" i="70"/>
  <c r="AK15" i="70" s="1"/>
  <c r="AF15" i="70"/>
  <c r="AG15" i="70" s="1"/>
  <c r="AH15" i="70"/>
  <c r="AI15" i="70" s="1"/>
  <c r="AH87" i="70"/>
  <c r="AI87" i="70" s="1"/>
  <c r="AF87" i="70"/>
  <c r="AG87" i="70" s="1"/>
  <c r="AJ87" i="70"/>
  <c r="AK87" i="70" s="1"/>
  <c r="AF27" i="70"/>
  <c r="AG27" i="70" s="1"/>
  <c r="AJ27" i="70"/>
  <c r="AK27" i="70" s="1"/>
  <c r="AH27" i="70"/>
  <c r="AI27" i="70" s="1"/>
  <c r="AJ47" i="70"/>
  <c r="AK47" i="70" s="1"/>
  <c r="AF47" i="70"/>
  <c r="AG47" i="70" s="1"/>
  <c r="AH47" i="70"/>
  <c r="AI47" i="70" s="1"/>
  <c r="AF97" i="70"/>
  <c r="AG97" i="70" s="1"/>
  <c r="AH97" i="70"/>
  <c r="AI97" i="70" s="1"/>
  <c r="AJ97" i="70"/>
  <c r="AK97" i="70" s="1"/>
  <c r="AQ21" i="71"/>
  <c r="AQ36" i="71"/>
  <c r="AP67" i="71"/>
  <c r="W31" i="71"/>
  <c r="AS31" i="71" s="1"/>
  <c r="AR31" i="71" s="1"/>
  <c r="W47" i="71"/>
  <c r="AS47" i="71" s="1"/>
  <c r="AR47" i="71" s="1"/>
  <c r="AP97" i="71"/>
  <c r="AP19" i="71"/>
  <c r="AP102" i="71"/>
  <c r="AP51" i="71"/>
  <c r="AP83" i="71"/>
  <c r="AQ76" i="71"/>
  <c r="AQ65" i="71"/>
  <c r="W86" i="71"/>
  <c r="AS86" i="71" s="1"/>
  <c r="AR86" i="71" s="1"/>
  <c r="W63" i="71"/>
  <c r="AS63" i="71" s="1"/>
  <c r="AR63" i="71" s="1"/>
  <c r="W79" i="71"/>
  <c r="AS79" i="71" s="1"/>
  <c r="AR79" i="71" s="1"/>
  <c r="AA18" i="71"/>
  <c r="AA26" i="71"/>
  <c r="AA78" i="71"/>
  <c r="AA90" i="71"/>
  <c r="AP90" i="71" s="1"/>
  <c r="AA27" i="71"/>
  <c r="AA55" i="71"/>
  <c r="AP55" i="71" s="1"/>
  <c r="AA87" i="71"/>
  <c r="AP87" i="71" s="1"/>
  <c r="AQ12" i="71"/>
  <c r="AA24" i="71"/>
  <c r="W44" i="71"/>
  <c r="AS44" i="71" s="1"/>
  <c r="AQ44" i="71" s="1"/>
  <c r="W68" i="71"/>
  <c r="AS68" i="71" s="1"/>
  <c r="W100" i="71"/>
  <c r="AS100" i="71" s="1"/>
  <c r="AQ100" i="71" s="1"/>
  <c r="AA69" i="71"/>
  <c r="AP69" i="71" s="1"/>
  <c r="AQ85" i="71"/>
  <c r="AA93" i="71"/>
  <c r="W64" i="71"/>
  <c r="AS64" i="71" s="1"/>
  <c r="AQ64" i="71" s="1"/>
  <c r="W96" i="71"/>
  <c r="AS96" i="71" s="1"/>
  <c r="AP54" i="71"/>
  <c r="AP66" i="71"/>
  <c r="AP44" i="71"/>
  <c r="AQ84" i="71"/>
  <c r="AR77" i="71"/>
  <c r="AQ109" i="71"/>
  <c r="W70" i="71"/>
  <c r="AS70" i="71" s="1"/>
  <c r="AR70" i="71" s="1"/>
  <c r="W82" i="71"/>
  <c r="AS82" i="71" s="1"/>
  <c r="W98" i="71"/>
  <c r="AS98" i="71" s="1"/>
  <c r="AQ98" i="71" s="1"/>
  <c r="AA45" i="71"/>
  <c r="AQ53" i="71"/>
  <c r="AR32" i="71"/>
  <c r="AP78" i="71"/>
  <c r="AR68" i="71"/>
  <c r="AQ68" i="71"/>
  <c r="AQ77" i="71"/>
  <c r="AR109" i="71"/>
  <c r="AR52" i="71"/>
  <c r="AQ17" i="71"/>
  <c r="AQ49" i="71"/>
  <c r="AR105" i="71"/>
  <c r="AP107" i="71"/>
  <c r="AQ45" i="71"/>
  <c r="AR45" i="71"/>
  <c r="AQ96" i="71"/>
  <c r="AR96" i="71"/>
  <c r="AP82" i="71"/>
  <c r="AB42" i="71"/>
  <c r="AC42" i="71" s="1"/>
  <c r="AD42" i="71" s="1"/>
  <c r="AE42" i="71"/>
  <c r="AF42" i="71" s="1"/>
  <c r="AG42" i="71" s="1"/>
  <c r="AH42" i="71"/>
  <c r="AI42" i="71" s="1"/>
  <c r="AJ42" i="71" s="1"/>
  <c r="AB74" i="71"/>
  <c r="AC74" i="71" s="1"/>
  <c r="AD74" i="71" s="1"/>
  <c r="AE74" i="71"/>
  <c r="AF74" i="71" s="1"/>
  <c r="AG74" i="71" s="1"/>
  <c r="AH74" i="71"/>
  <c r="AI74" i="71" s="1"/>
  <c r="AJ74" i="71" s="1"/>
  <c r="AB106" i="71"/>
  <c r="AC106" i="71" s="1"/>
  <c r="AD106" i="71" s="1"/>
  <c r="AE106" i="71"/>
  <c r="AF106" i="71" s="1"/>
  <c r="AG106" i="71" s="1"/>
  <c r="AH106" i="71"/>
  <c r="AI106" i="71" s="1"/>
  <c r="AJ106" i="71" s="1"/>
  <c r="AB39" i="71"/>
  <c r="AC39" i="71" s="1"/>
  <c r="AD39" i="71" s="1"/>
  <c r="AE39" i="71"/>
  <c r="AF39" i="71" s="1"/>
  <c r="AG39" i="71" s="1"/>
  <c r="AH39" i="71"/>
  <c r="AI39" i="71" s="1"/>
  <c r="AJ39" i="71" s="1"/>
  <c r="AB71" i="71"/>
  <c r="AC71" i="71" s="1"/>
  <c r="AD71" i="71" s="1"/>
  <c r="AE71" i="71"/>
  <c r="AF71" i="71" s="1"/>
  <c r="AG71" i="71" s="1"/>
  <c r="AH71" i="71"/>
  <c r="AI71" i="71" s="1"/>
  <c r="AJ71" i="71" s="1"/>
  <c r="AB103" i="71"/>
  <c r="AC103" i="71" s="1"/>
  <c r="AD103" i="71" s="1"/>
  <c r="AE103" i="71"/>
  <c r="AF103" i="71" s="1"/>
  <c r="AG103" i="71" s="1"/>
  <c r="AH103" i="71"/>
  <c r="AI103" i="71" s="1"/>
  <c r="AJ103" i="71" s="1"/>
  <c r="AB28" i="71"/>
  <c r="AC28" i="71" s="1"/>
  <c r="AD28" i="71" s="1"/>
  <c r="AE28" i="71"/>
  <c r="AF28" i="71" s="1"/>
  <c r="AG28" i="71" s="1"/>
  <c r="AH28" i="71"/>
  <c r="AI28" i="71" s="1"/>
  <c r="AJ28" i="71" s="1"/>
  <c r="AB40" i="71"/>
  <c r="AC40" i="71" s="1"/>
  <c r="AD40" i="71" s="1"/>
  <c r="AE40" i="71"/>
  <c r="AF40" i="71" s="1"/>
  <c r="AG40" i="71" s="1"/>
  <c r="AH40" i="71"/>
  <c r="AI40" i="71" s="1"/>
  <c r="AJ40" i="71" s="1"/>
  <c r="AB92" i="71"/>
  <c r="AC92" i="71" s="1"/>
  <c r="AD92" i="71" s="1"/>
  <c r="AE92" i="71"/>
  <c r="AF92" i="71" s="1"/>
  <c r="AG92" i="71" s="1"/>
  <c r="AH92" i="71"/>
  <c r="AI92" i="71" s="1"/>
  <c r="AJ92" i="71" s="1"/>
  <c r="AB37" i="71"/>
  <c r="AC37" i="71" s="1"/>
  <c r="AD37" i="71" s="1"/>
  <c r="AH37" i="71"/>
  <c r="AI37" i="71" s="1"/>
  <c r="AJ37" i="71" s="1"/>
  <c r="AE37" i="71"/>
  <c r="AF37" i="71" s="1"/>
  <c r="AG37" i="71" s="1"/>
  <c r="AB61" i="71"/>
  <c r="AC61" i="71" s="1"/>
  <c r="AD61" i="71" s="1"/>
  <c r="AE61" i="71"/>
  <c r="AF61" i="71" s="1"/>
  <c r="AG61" i="71" s="1"/>
  <c r="AH61" i="71"/>
  <c r="AI61" i="71" s="1"/>
  <c r="AJ61" i="71" s="1"/>
  <c r="AB108" i="71"/>
  <c r="AC108" i="71" s="1"/>
  <c r="AD108" i="71" s="1"/>
  <c r="AE108" i="71"/>
  <c r="AF108" i="71" s="1"/>
  <c r="AG108" i="71" s="1"/>
  <c r="AH108" i="71"/>
  <c r="AI108" i="71" s="1"/>
  <c r="AJ108" i="71" s="1"/>
  <c r="W20" i="71"/>
  <c r="AS20" i="71" s="1"/>
  <c r="AP20" i="71" s="1"/>
  <c r="W28" i="71"/>
  <c r="AS28" i="71" s="1"/>
  <c r="AP28" i="71" s="1"/>
  <c r="W92" i="71"/>
  <c r="AS92" i="71" s="1"/>
  <c r="W41" i="71"/>
  <c r="AS41" i="71" s="1"/>
  <c r="AR57" i="71"/>
  <c r="W73" i="71"/>
  <c r="AS73" i="71" s="1"/>
  <c r="AA37" i="71"/>
  <c r="AA103" i="71"/>
  <c r="AP45" i="71"/>
  <c r="AQ57" i="71"/>
  <c r="AB30" i="71"/>
  <c r="AC30" i="71" s="1"/>
  <c r="AD30" i="71" s="1"/>
  <c r="AE30" i="71"/>
  <c r="AF30" i="71" s="1"/>
  <c r="AG30" i="71" s="1"/>
  <c r="AH30" i="71"/>
  <c r="AI30" i="71" s="1"/>
  <c r="AJ30" i="71" s="1"/>
  <c r="AB62" i="71"/>
  <c r="AC62" i="71" s="1"/>
  <c r="AD62" i="71" s="1"/>
  <c r="AE62" i="71"/>
  <c r="AF62" i="71" s="1"/>
  <c r="AG62" i="71" s="1"/>
  <c r="AH62" i="71"/>
  <c r="AI62" i="71" s="1"/>
  <c r="AJ62" i="71" s="1"/>
  <c r="AB94" i="71"/>
  <c r="AC94" i="71" s="1"/>
  <c r="AD94" i="71" s="1"/>
  <c r="AE94" i="71"/>
  <c r="AF94" i="71" s="1"/>
  <c r="AG94" i="71" s="1"/>
  <c r="AH94" i="71"/>
  <c r="AI94" i="71" s="1"/>
  <c r="AJ94" i="71" s="1"/>
  <c r="AB27" i="71"/>
  <c r="AC27" i="71" s="1"/>
  <c r="AD27" i="71" s="1"/>
  <c r="AE27" i="71"/>
  <c r="AF27" i="71" s="1"/>
  <c r="AG27" i="71" s="1"/>
  <c r="AH27" i="71"/>
  <c r="AI27" i="71" s="1"/>
  <c r="AJ27" i="71" s="1"/>
  <c r="AB59" i="71"/>
  <c r="AC59" i="71" s="1"/>
  <c r="AD59" i="71" s="1"/>
  <c r="AE59" i="71"/>
  <c r="AF59" i="71" s="1"/>
  <c r="AG59" i="71" s="1"/>
  <c r="AH59" i="71"/>
  <c r="AI59" i="71" s="1"/>
  <c r="AJ59" i="71" s="1"/>
  <c r="AB91" i="71"/>
  <c r="AC91" i="71" s="1"/>
  <c r="AD91" i="71" s="1"/>
  <c r="AE91" i="71"/>
  <c r="AF91" i="71" s="1"/>
  <c r="AG91" i="71" s="1"/>
  <c r="AH91" i="71"/>
  <c r="AI91" i="71" s="1"/>
  <c r="AJ91" i="71" s="1"/>
  <c r="AB12" i="71"/>
  <c r="AC12" i="71" s="1"/>
  <c r="AD12" i="71" s="1"/>
  <c r="AE12" i="71"/>
  <c r="AF12" i="71" s="1"/>
  <c r="AG12" i="71" s="1"/>
  <c r="AH12" i="71"/>
  <c r="AI12" i="71" s="1"/>
  <c r="AJ12" i="71" s="1"/>
  <c r="AB68" i="71"/>
  <c r="AC68" i="71" s="1"/>
  <c r="AD68" i="71" s="1"/>
  <c r="AE68" i="71"/>
  <c r="AF68" i="71" s="1"/>
  <c r="AG68" i="71" s="1"/>
  <c r="AH68" i="71"/>
  <c r="AI68" i="71" s="1"/>
  <c r="AJ68" i="71" s="1"/>
  <c r="AB101" i="71"/>
  <c r="AC101" i="71" s="1"/>
  <c r="AD101" i="71" s="1"/>
  <c r="AH101" i="71"/>
  <c r="AI101" i="71" s="1"/>
  <c r="AJ101" i="71" s="1"/>
  <c r="AE101" i="71"/>
  <c r="AF101" i="71" s="1"/>
  <c r="AG101" i="71" s="1"/>
  <c r="AB88" i="71"/>
  <c r="AC88" i="71" s="1"/>
  <c r="AD88" i="71" s="1"/>
  <c r="AH88" i="71"/>
  <c r="AI88" i="71" s="1"/>
  <c r="AJ88" i="71" s="1"/>
  <c r="AE88" i="71"/>
  <c r="AF88" i="71" s="1"/>
  <c r="AG88" i="71" s="1"/>
  <c r="AH25" i="71"/>
  <c r="AI25" i="71" s="1"/>
  <c r="AJ25" i="71" s="1"/>
  <c r="AE25" i="71"/>
  <c r="AF25" i="71" s="1"/>
  <c r="AG25" i="71" s="1"/>
  <c r="AB25" i="71"/>
  <c r="AC25" i="71" s="1"/>
  <c r="AD25" i="71" s="1"/>
  <c r="AE49" i="71"/>
  <c r="AF49" i="71" s="1"/>
  <c r="AG49" i="71" s="1"/>
  <c r="AB49" i="71"/>
  <c r="AC49" i="71" s="1"/>
  <c r="AD49" i="71" s="1"/>
  <c r="AH49" i="71"/>
  <c r="AI49" i="71" s="1"/>
  <c r="AJ49" i="71" s="1"/>
  <c r="AR38" i="71"/>
  <c r="W94" i="71"/>
  <c r="AS94" i="71" s="1"/>
  <c r="AQ94" i="71" s="1"/>
  <c r="W27" i="71"/>
  <c r="AS27" i="71" s="1"/>
  <c r="AR27" i="71" s="1"/>
  <c r="W59" i="71"/>
  <c r="AS59" i="71" s="1"/>
  <c r="AR59" i="71" s="1"/>
  <c r="W91" i="71"/>
  <c r="AS91" i="71" s="1"/>
  <c r="AR91" i="71" s="1"/>
  <c r="W107" i="71"/>
  <c r="AS107" i="71" s="1"/>
  <c r="AR107" i="71" s="1"/>
  <c r="AA49" i="71"/>
  <c r="AP49" i="71" s="1"/>
  <c r="AA30" i="71"/>
  <c r="AP35" i="71"/>
  <c r="AA61" i="71"/>
  <c r="AA109" i="71"/>
  <c r="AP109" i="71" s="1"/>
  <c r="AA12" i="71"/>
  <c r="AP12" i="71" s="1"/>
  <c r="AA64" i="71"/>
  <c r="AA96" i="71"/>
  <c r="AA25" i="71"/>
  <c r="AP25" i="71" s="1"/>
  <c r="AA71" i="71"/>
  <c r="AP71" i="71" s="1"/>
  <c r="AA42" i="71"/>
  <c r="AP42" i="71" s="1"/>
  <c r="AP85" i="71"/>
  <c r="AA32" i="71"/>
  <c r="AP32" i="71" s="1"/>
  <c r="AB18" i="71"/>
  <c r="AC18" i="71" s="1"/>
  <c r="AD18" i="71" s="1"/>
  <c r="AE18" i="71"/>
  <c r="AF18" i="71" s="1"/>
  <c r="AG18" i="71" s="1"/>
  <c r="AH18" i="71"/>
  <c r="AI18" i="71" s="1"/>
  <c r="AJ18" i="71" s="1"/>
  <c r="AB34" i="71"/>
  <c r="AC34" i="71" s="1"/>
  <c r="AD34" i="71" s="1"/>
  <c r="AE34" i="71"/>
  <c r="AF34" i="71" s="1"/>
  <c r="AG34" i="71" s="1"/>
  <c r="AH34" i="71"/>
  <c r="AI34" i="71" s="1"/>
  <c r="AJ34" i="71" s="1"/>
  <c r="AB50" i="71"/>
  <c r="AC50" i="71" s="1"/>
  <c r="AD50" i="71" s="1"/>
  <c r="AE50" i="71"/>
  <c r="AF50" i="71" s="1"/>
  <c r="AG50" i="71" s="1"/>
  <c r="AH50" i="71"/>
  <c r="AI50" i="71" s="1"/>
  <c r="AJ50" i="71" s="1"/>
  <c r="AB66" i="71"/>
  <c r="AC66" i="71" s="1"/>
  <c r="AD66" i="71" s="1"/>
  <c r="AE66" i="71"/>
  <c r="AF66" i="71" s="1"/>
  <c r="AG66" i="71" s="1"/>
  <c r="AH66" i="71"/>
  <c r="AI66" i="71" s="1"/>
  <c r="AJ66" i="71" s="1"/>
  <c r="AB82" i="71"/>
  <c r="AC82" i="71" s="1"/>
  <c r="AD82" i="71" s="1"/>
  <c r="AE82" i="71"/>
  <c r="AF82" i="71" s="1"/>
  <c r="AG82" i="71" s="1"/>
  <c r="AH82" i="71"/>
  <c r="AI82" i="71" s="1"/>
  <c r="AJ82" i="71" s="1"/>
  <c r="AB98" i="71"/>
  <c r="AC98" i="71" s="1"/>
  <c r="AD98" i="71" s="1"/>
  <c r="AE98" i="71"/>
  <c r="AF98" i="71" s="1"/>
  <c r="AG98" i="71" s="1"/>
  <c r="AH98" i="71"/>
  <c r="AI98" i="71" s="1"/>
  <c r="AJ98" i="71" s="1"/>
  <c r="AB15" i="71"/>
  <c r="AC15" i="71" s="1"/>
  <c r="AD15" i="71" s="1"/>
  <c r="AE15" i="71"/>
  <c r="AF15" i="71" s="1"/>
  <c r="AG15" i="71" s="1"/>
  <c r="AH15" i="71"/>
  <c r="AI15" i="71" s="1"/>
  <c r="AJ15" i="71" s="1"/>
  <c r="AB31" i="71"/>
  <c r="AC31" i="71" s="1"/>
  <c r="AD31" i="71" s="1"/>
  <c r="AE31" i="71"/>
  <c r="AF31" i="71" s="1"/>
  <c r="AG31" i="71" s="1"/>
  <c r="AH31" i="71"/>
  <c r="AI31" i="71" s="1"/>
  <c r="AJ31" i="71" s="1"/>
  <c r="AB47" i="71"/>
  <c r="AC47" i="71" s="1"/>
  <c r="AD47" i="71" s="1"/>
  <c r="AE47" i="71"/>
  <c r="AF47" i="71" s="1"/>
  <c r="AG47" i="71" s="1"/>
  <c r="AH47" i="71"/>
  <c r="AI47" i="71" s="1"/>
  <c r="AJ47" i="71" s="1"/>
  <c r="AB63" i="71"/>
  <c r="AC63" i="71" s="1"/>
  <c r="AD63" i="71" s="1"/>
  <c r="AE63" i="71"/>
  <c r="AF63" i="71" s="1"/>
  <c r="AG63" i="71" s="1"/>
  <c r="AH63" i="71"/>
  <c r="AI63" i="71" s="1"/>
  <c r="AJ63" i="71" s="1"/>
  <c r="AB79" i="71"/>
  <c r="AC79" i="71" s="1"/>
  <c r="AD79" i="71" s="1"/>
  <c r="AE79" i="71"/>
  <c r="AF79" i="71" s="1"/>
  <c r="AG79" i="71" s="1"/>
  <c r="AH79" i="71"/>
  <c r="AI79" i="71" s="1"/>
  <c r="AJ79" i="71" s="1"/>
  <c r="AB95" i="71"/>
  <c r="AC95" i="71" s="1"/>
  <c r="AD95" i="71" s="1"/>
  <c r="AE95" i="71"/>
  <c r="AF95" i="71" s="1"/>
  <c r="AG95" i="71" s="1"/>
  <c r="AH95" i="71"/>
  <c r="AI95" i="71" s="1"/>
  <c r="AJ95" i="71" s="1"/>
  <c r="AB32" i="71"/>
  <c r="AC32" i="71" s="1"/>
  <c r="AD32" i="71" s="1"/>
  <c r="AE32" i="71"/>
  <c r="AF32" i="71" s="1"/>
  <c r="AG32" i="71" s="1"/>
  <c r="AH32" i="71"/>
  <c r="AI32" i="71" s="1"/>
  <c r="AJ32" i="71" s="1"/>
  <c r="AE36" i="71"/>
  <c r="AF36" i="71" s="1"/>
  <c r="AG36" i="71" s="1"/>
  <c r="AB36" i="71"/>
  <c r="AC36" i="71" s="1"/>
  <c r="AD36" i="71" s="1"/>
  <c r="AH36" i="71"/>
  <c r="AI36" i="71" s="1"/>
  <c r="AJ36" i="71" s="1"/>
  <c r="AB48" i="71"/>
  <c r="AC48" i="71" s="1"/>
  <c r="AD48" i="71" s="1"/>
  <c r="AE48" i="71"/>
  <c r="AF48" i="71" s="1"/>
  <c r="AG48" i="71" s="1"/>
  <c r="AH48" i="71"/>
  <c r="AI48" i="71" s="1"/>
  <c r="AJ48" i="71" s="1"/>
  <c r="AB76" i="71"/>
  <c r="AC76" i="71" s="1"/>
  <c r="AD76" i="71" s="1"/>
  <c r="AE76" i="71"/>
  <c r="AF76" i="71" s="1"/>
  <c r="AG76" i="71" s="1"/>
  <c r="AH76" i="71"/>
  <c r="AI76" i="71" s="1"/>
  <c r="AJ76" i="71" s="1"/>
  <c r="AB13" i="71"/>
  <c r="AC13" i="71" s="1"/>
  <c r="AD13" i="71" s="1"/>
  <c r="AE13" i="71"/>
  <c r="AF13" i="71" s="1"/>
  <c r="AG13" i="71" s="1"/>
  <c r="AH13" i="71"/>
  <c r="AI13" i="71" s="1"/>
  <c r="AJ13" i="71" s="1"/>
  <c r="AE45" i="71"/>
  <c r="AF45" i="71" s="1"/>
  <c r="AG45" i="71" s="1"/>
  <c r="AH45" i="71"/>
  <c r="AI45" i="71" s="1"/>
  <c r="AJ45" i="71" s="1"/>
  <c r="AB45" i="71"/>
  <c r="AC45" i="71" s="1"/>
  <c r="AD45" i="71" s="1"/>
  <c r="AB53" i="71"/>
  <c r="AC53" i="71" s="1"/>
  <c r="AD53" i="71" s="1"/>
  <c r="AH53" i="71"/>
  <c r="AI53" i="71" s="1"/>
  <c r="AJ53" i="71" s="1"/>
  <c r="AE53" i="71"/>
  <c r="AF53" i="71" s="1"/>
  <c r="AG53" i="71" s="1"/>
  <c r="AE77" i="71"/>
  <c r="AF77" i="71" s="1"/>
  <c r="AG77" i="71" s="1"/>
  <c r="AH77" i="71"/>
  <c r="AI77" i="71" s="1"/>
  <c r="AJ77" i="71" s="1"/>
  <c r="AB77" i="71"/>
  <c r="AC77" i="71" s="1"/>
  <c r="AD77" i="71" s="1"/>
  <c r="AB85" i="71"/>
  <c r="AC85" i="71" s="1"/>
  <c r="AD85" i="71" s="1"/>
  <c r="AH85" i="71"/>
  <c r="AI85" i="71" s="1"/>
  <c r="AJ85" i="71" s="1"/>
  <c r="AE85" i="71"/>
  <c r="AF85" i="71" s="1"/>
  <c r="AG85" i="71" s="1"/>
  <c r="AE109" i="71"/>
  <c r="AF109" i="71" s="1"/>
  <c r="AG109" i="71" s="1"/>
  <c r="AH109" i="71"/>
  <c r="AI109" i="71" s="1"/>
  <c r="AJ109" i="71" s="1"/>
  <c r="AB109" i="71"/>
  <c r="AC109" i="71" s="1"/>
  <c r="AD109" i="71" s="1"/>
  <c r="AB64" i="71"/>
  <c r="AC64" i="71" s="1"/>
  <c r="AD64" i="71" s="1"/>
  <c r="AE64" i="71"/>
  <c r="AF64" i="71" s="1"/>
  <c r="AG64" i="71" s="1"/>
  <c r="AH64" i="71"/>
  <c r="AI64" i="71" s="1"/>
  <c r="AJ64" i="71" s="1"/>
  <c r="AB96" i="71"/>
  <c r="AC96" i="71" s="1"/>
  <c r="AD96" i="71" s="1"/>
  <c r="AH96" i="71"/>
  <c r="AI96" i="71" s="1"/>
  <c r="AJ96" i="71" s="1"/>
  <c r="AE96" i="71"/>
  <c r="AF96" i="71" s="1"/>
  <c r="AG96" i="71" s="1"/>
  <c r="AE33" i="71"/>
  <c r="AF33" i="71" s="1"/>
  <c r="AG33" i="71" s="1"/>
  <c r="AB33" i="71"/>
  <c r="AC33" i="71" s="1"/>
  <c r="AD33" i="71" s="1"/>
  <c r="AH33" i="71"/>
  <c r="AI33" i="71" s="1"/>
  <c r="AJ33" i="71" s="1"/>
  <c r="AP17" i="71"/>
  <c r="AP77" i="71"/>
  <c r="AP34" i="71"/>
  <c r="AP105" i="71"/>
  <c r="AP15" i="71"/>
  <c r="AP63" i="71"/>
  <c r="AP95" i="71"/>
  <c r="AB26" i="71"/>
  <c r="AC26" i="71" s="1"/>
  <c r="AD26" i="71" s="1"/>
  <c r="AE26" i="71"/>
  <c r="AF26" i="71" s="1"/>
  <c r="AG26" i="71" s="1"/>
  <c r="AH26" i="71"/>
  <c r="AI26" i="71" s="1"/>
  <c r="AJ26" i="71" s="1"/>
  <c r="AB58" i="71"/>
  <c r="AC58" i="71" s="1"/>
  <c r="AD58" i="71" s="1"/>
  <c r="AE58" i="71"/>
  <c r="AF58" i="71" s="1"/>
  <c r="AG58" i="71" s="1"/>
  <c r="AH58" i="71"/>
  <c r="AI58" i="71" s="1"/>
  <c r="AJ58" i="71" s="1"/>
  <c r="AB90" i="71"/>
  <c r="AC90" i="71" s="1"/>
  <c r="AD90" i="71" s="1"/>
  <c r="AE90" i="71"/>
  <c r="AF90" i="71" s="1"/>
  <c r="AG90" i="71" s="1"/>
  <c r="AH90" i="71"/>
  <c r="AI90" i="71" s="1"/>
  <c r="AJ90" i="71" s="1"/>
  <c r="AB23" i="71"/>
  <c r="AC23" i="71" s="1"/>
  <c r="AD23" i="71" s="1"/>
  <c r="AE23" i="71"/>
  <c r="AF23" i="71" s="1"/>
  <c r="AG23" i="71" s="1"/>
  <c r="AH23" i="71"/>
  <c r="AI23" i="71" s="1"/>
  <c r="AJ23" i="71" s="1"/>
  <c r="AB55" i="71"/>
  <c r="AC55" i="71" s="1"/>
  <c r="AD55" i="71" s="1"/>
  <c r="AE55" i="71"/>
  <c r="AF55" i="71" s="1"/>
  <c r="AG55" i="71" s="1"/>
  <c r="AH55" i="71"/>
  <c r="AI55" i="71" s="1"/>
  <c r="AJ55" i="71" s="1"/>
  <c r="AB87" i="71"/>
  <c r="AC87" i="71" s="1"/>
  <c r="AD87" i="71" s="1"/>
  <c r="AE87" i="71"/>
  <c r="AF87" i="71" s="1"/>
  <c r="AG87" i="71" s="1"/>
  <c r="AH87" i="71"/>
  <c r="AI87" i="71" s="1"/>
  <c r="AJ87" i="71" s="1"/>
  <c r="AB24" i="71"/>
  <c r="AC24" i="71" s="1"/>
  <c r="AD24" i="71" s="1"/>
  <c r="AE24" i="71"/>
  <c r="AF24" i="71" s="1"/>
  <c r="AG24" i="71" s="1"/>
  <c r="AH24" i="71"/>
  <c r="AI24" i="71" s="1"/>
  <c r="AJ24" i="71" s="1"/>
  <c r="AB60" i="71"/>
  <c r="AC60" i="71" s="1"/>
  <c r="AD60" i="71" s="1"/>
  <c r="AE60" i="71"/>
  <c r="AF60" i="71" s="1"/>
  <c r="AG60" i="71" s="1"/>
  <c r="AH60" i="71"/>
  <c r="AI60" i="71" s="1"/>
  <c r="AJ60" i="71" s="1"/>
  <c r="AB29" i="71"/>
  <c r="AC29" i="71" s="1"/>
  <c r="AD29" i="71" s="1"/>
  <c r="AE29" i="71"/>
  <c r="AF29" i="71" s="1"/>
  <c r="AG29" i="71" s="1"/>
  <c r="AH29" i="71"/>
  <c r="AI29" i="71" s="1"/>
  <c r="AJ29" i="71" s="1"/>
  <c r="AE93" i="71"/>
  <c r="AF93" i="71" s="1"/>
  <c r="AG93" i="71" s="1"/>
  <c r="AB93" i="71"/>
  <c r="AC93" i="71" s="1"/>
  <c r="AD93" i="71" s="1"/>
  <c r="AH93" i="71"/>
  <c r="AI93" i="71" s="1"/>
  <c r="AJ93" i="71" s="1"/>
  <c r="AB80" i="71"/>
  <c r="AC80" i="71" s="1"/>
  <c r="AD80" i="71" s="1"/>
  <c r="AH80" i="71"/>
  <c r="AI80" i="71" s="1"/>
  <c r="AJ80" i="71" s="1"/>
  <c r="AE80" i="71"/>
  <c r="AF80" i="71" s="1"/>
  <c r="AG80" i="71" s="1"/>
  <c r="AH81" i="71"/>
  <c r="AI81" i="71" s="1"/>
  <c r="AJ81" i="71" s="1"/>
  <c r="AB81" i="71"/>
  <c r="AC81" i="71" s="1"/>
  <c r="AD81" i="71" s="1"/>
  <c r="AE81" i="71"/>
  <c r="AF81" i="71" s="1"/>
  <c r="AG81" i="71" s="1"/>
  <c r="W60" i="71"/>
  <c r="AS60" i="71" s="1"/>
  <c r="W108" i="71"/>
  <c r="AS108" i="71" s="1"/>
  <c r="W81" i="71"/>
  <c r="AS81" i="71" s="1"/>
  <c r="AR81" i="71" s="1"/>
  <c r="AP33" i="71"/>
  <c r="AP18" i="71"/>
  <c r="AP36" i="71"/>
  <c r="AA60" i="71"/>
  <c r="AP76" i="71"/>
  <c r="AA92" i="71"/>
  <c r="AA108" i="71"/>
  <c r="AP108" i="71" s="1"/>
  <c r="AA23" i="71"/>
  <c r="AA58" i="71"/>
  <c r="AB14" i="71"/>
  <c r="AC14" i="71" s="1"/>
  <c r="AD14" i="71" s="1"/>
  <c r="AE14" i="71"/>
  <c r="AF14" i="71" s="1"/>
  <c r="AG14" i="71" s="1"/>
  <c r="AH14" i="71"/>
  <c r="AI14" i="71" s="1"/>
  <c r="AJ14" i="71" s="1"/>
  <c r="AB46" i="71"/>
  <c r="AC46" i="71" s="1"/>
  <c r="AD46" i="71" s="1"/>
  <c r="AE46" i="71"/>
  <c r="AF46" i="71" s="1"/>
  <c r="AG46" i="71" s="1"/>
  <c r="AH46" i="71"/>
  <c r="AI46" i="71" s="1"/>
  <c r="AJ46" i="71" s="1"/>
  <c r="AB78" i="71"/>
  <c r="AC78" i="71" s="1"/>
  <c r="AD78" i="71" s="1"/>
  <c r="AE78" i="71"/>
  <c r="AF78" i="71" s="1"/>
  <c r="AG78" i="71" s="1"/>
  <c r="AH78" i="71"/>
  <c r="AI78" i="71" s="1"/>
  <c r="AJ78" i="71" s="1"/>
  <c r="AB11" i="71"/>
  <c r="AC11" i="71" s="1"/>
  <c r="AD11" i="71" s="1"/>
  <c r="AE11" i="71"/>
  <c r="AF11" i="71" s="1"/>
  <c r="AG11" i="71" s="1"/>
  <c r="AH11" i="71"/>
  <c r="AI11" i="71" s="1"/>
  <c r="AJ11" i="71" s="1"/>
  <c r="AB43" i="71"/>
  <c r="AC43" i="71" s="1"/>
  <c r="AD43" i="71" s="1"/>
  <c r="AE43" i="71"/>
  <c r="AF43" i="71" s="1"/>
  <c r="AG43" i="71" s="1"/>
  <c r="AH43" i="71"/>
  <c r="AI43" i="71" s="1"/>
  <c r="AJ43" i="71" s="1"/>
  <c r="AB75" i="71"/>
  <c r="AC75" i="71" s="1"/>
  <c r="AD75" i="71" s="1"/>
  <c r="AE75" i="71"/>
  <c r="AF75" i="71" s="1"/>
  <c r="AG75" i="71" s="1"/>
  <c r="AH75" i="71"/>
  <c r="AI75" i="71" s="1"/>
  <c r="AJ75" i="71" s="1"/>
  <c r="AB107" i="71"/>
  <c r="AC107" i="71" s="1"/>
  <c r="AD107" i="71" s="1"/>
  <c r="AE107" i="71"/>
  <c r="AF107" i="71" s="1"/>
  <c r="AG107" i="71" s="1"/>
  <c r="AH107" i="71"/>
  <c r="AI107" i="71" s="1"/>
  <c r="AJ107" i="71" s="1"/>
  <c r="AB44" i="71"/>
  <c r="AC44" i="71" s="1"/>
  <c r="AD44" i="71" s="1"/>
  <c r="AE44" i="71"/>
  <c r="AF44" i="71" s="1"/>
  <c r="AG44" i="71" s="1"/>
  <c r="AH44" i="71"/>
  <c r="AI44" i="71" s="1"/>
  <c r="AJ44" i="71" s="1"/>
  <c r="AB100" i="71"/>
  <c r="AC100" i="71" s="1"/>
  <c r="AD100" i="71" s="1"/>
  <c r="AE100" i="71"/>
  <c r="AF100" i="71" s="1"/>
  <c r="AG100" i="71" s="1"/>
  <c r="AH100" i="71"/>
  <c r="AI100" i="71" s="1"/>
  <c r="AJ100" i="71" s="1"/>
  <c r="AB69" i="71"/>
  <c r="AC69" i="71" s="1"/>
  <c r="AD69" i="71" s="1"/>
  <c r="AE69" i="71"/>
  <c r="AF69" i="71" s="1"/>
  <c r="AG69" i="71" s="1"/>
  <c r="AH69" i="71"/>
  <c r="AI69" i="71" s="1"/>
  <c r="AJ69" i="71" s="1"/>
  <c r="AB52" i="71"/>
  <c r="AC52" i="71" s="1"/>
  <c r="AD52" i="71" s="1"/>
  <c r="AE52" i="71"/>
  <c r="AF52" i="71" s="1"/>
  <c r="AG52" i="71" s="1"/>
  <c r="AH52" i="71"/>
  <c r="AI52" i="71" s="1"/>
  <c r="AJ52" i="71" s="1"/>
  <c r="AE17" i="71"/>
  <c r="AF17" i="71" s="1"/>
  <c r="AG17" i="71" s="1"/>
  <c r="AB17" i="71"/>
  <c r="AC17" i="71" s="1"/>
  <c r="AD17" i="71" s="1"/>
  <c r="AH17" i="71"/>
  <c r="AI17" i="71" s="1"/>
  <c r="AJ17" i="71" s="1"/>
  <c r="AE57" i="71"/>
  <c r="AF57" i="71" s="1"/>
  <c r="AG57" i="71" s="1"/>
  <c r="AB57" i="71"/>
  <c r="AC57" i="71" s="1"/>
  <c r="AD57" i="71" s="1"/>
  <c r="AH57" i="71"/>
  <c r="AI57" i="71" s="1"/>
  <c r="AJ57" i="71" s="1"/>
  <c r="AE89" i="71"/>
  <c r="AF89" i="71" s="1"/>
  <c r="AG89" i="71" s="1"/>
  <c r="AB89" i="71"/>
  <c r="AC89" i="71" s="1"/>
  <c r="AD89" i="71" s="1"/>
  <c r="AH89" i="71"/>
  <c r="AI89" i="71" s="1"/>
  <c r="AJ89" i="71" s="1"/>
  <c r="AR22" i="71"/>
  <c r="W30" i="71"/>
  <c r="AS30" i="71" s="1"/>
  <c r="AQ30" i="71" s="1"/>
  <c r="AR54" i="71"/>
  <c r="W62" i="71"/>
  <c r="AS62" i="71" s="1"/>
  <c r="AQ62" i="71" s="1"/>
  <c r="AQ16" i="71"/>
  <c r="W24" i="71"/>
  <c r="AS24" i="71" s="1"/>
  <c r="W40" i="71"/>
  <c r="AS40" i="71" s="1"/>
  <c r="W48" i="71"/>
  <c r="AS48" i="71" s="1"/>
  <c r="AQ56" i="71"/>
  <c r="AQ72" i="71"/>
  <c r="W80" i="71"/>
  <c r="AS80" i="71" s="1"/>
  <c r="W88" i="71"/>
  <c r="AS88" i="71" s="1"/>
  <c r="AQ88" i="71" s="1"/>
  <c r="AQ104" i="71"/>
  <c r="W13" i="71"/>
  <c r="AS13" i="71" s="1"/>
  <c r="W29" i="71"/>
  <c r="AS29" i="71" s="1"/>
  <c r="AR29" i="71" s="1"/>
  <c r="W37" i="71"/>
  <c r="AS37" i="71" s="1"/>
  <c r="W61" i="71"/>
  <c r="AS61" i="71" s="1"/>
  <c r="AR61" i="71" s="1"/>
  <c r="W69" i="71"/>
  <c r="AS69" i="71" s="1"/>
  <c r="AR85" i="71"/>
  <c r="W93" i="71"/>
  <c r="AS93" i="71" s="1"/>
  <c r="W101" i="71"/>
  <c r="AS101" i="71" s="1"/>
  <c r="AA81" i="71"/>
  <c r="AA46" i="71"/>
  <c r="AP46" i="71" s="1"/>
  <c r="AA11" i="71"/>
  <c r="AP11" i="71" s="1"/>
  <c r="AA43" i="71"/>
  <c r="AP43" i="71" s="1"/>
  <c r="AP65" i="71"/>
  <c r="AA14" i="71"/>
  <c r="AP14" i="71" s="1"/>
  <c r="AA52" i="71"/>
  <c r="AP52" i="71" s="1"/>
  <c r="AA68" i="71"/>
  <c r="AP68" i="71" s="1"/>
  <c r="AP84" i="71"/>
  <c r="AA100" i="71"/>
  <c r="AA89" i="71"/>
  <c r="AP89" i="71" s="1"/>
  <c r="AP38" i="71"/>
  <c r="AA106" i="71"/>
  <c r="AA39" i="71"/>
  <c r="AA59" i="71"/>
  <c r="AA75" i="71"/>
  <c r="AP75" i="71" s="1"/>
  <c r="AA91" i="71"/>
  <c r="AA74" i="71"/>
  <c r="AP74" i="71" s="1"/>
  <c r="AA40" i="71"/>
  <c r="AA101" i="71"/>
  <c r="AP101" i="71" s="1"/>
  <c r="AR56" i="71"/>
  <c r="AR72" i="71"/>
  <c r="AR104" i="71"/>
  <c r="AQ97" i="71"/>
  <c r="AB22" i="71"/>
  <c r="AC22" i="71" s="1"/>
  <c r="AD22" i="71" s="1"/>
  <c r="AE22" i="71"/>
  <c r="AF22" i="71" s="1"/>
  <c r="AG22" i="71" s="1"/>
  <c r="AH22" i="71"/>
  <c r="AI22" i="71" s="1"/>
  <c r="AJ22" i="71" s="1"/>
  <c r="AB38" i="71"/>
  <c r="AC38" i="71" s="1"/>
  <c r="AD38" i="71" s="1"/>
  <c r="AE38" i="71"/>
  <c r="AF38" i="71" s="1"/>
  <c r="AG38" i="71" s="1"/>
  <c r="AH38" i="71"/>
  <c r="AI38" i="71" s="1"/>
  <c r="AJ38" i="71" s="1"/>
  <c r="AB54" i="71"/>
  <c r="AC54" i="71" s="1"/>
  <c r="AD54" i="71" s="1"/>
  <c r="AE54" i="71"/>
  <c r="AF54" i="71" s="1"/>
  <c r="AG54" i="71" s="1"/>
  <c r="AH54" i="71"/>
  <c r="AI54" i="71" s="1"/>
  <c r="AJ54" i="71" s="1"/>
  <c r="AB70" i="71"/>
  <c r="AC70" i="71" s="1"/>
  <c r="AD70" i="71" s="1"/>
  <c r="AE70" i="71"/>
  <c r="AF70" i="71" s="1"/>
  <c r="AG70" i="71" s="1"/>
  <c r="AH70" i="71"/>
  <c r="AI70" i="71" s="1"/>
  <c r="AJ70" i="71" s="1"/>
  <c r="AB86" i="71"/>
  <c r="AC86" i="71" s="1"/>
  <c r="AD86" i="71" s="1"/>
  <c r="AE86" i="71"/>
  <c r="AF86" i="71" s="1"/>
  <c r="AG86" i="71" s="1"/>
  <c r="AH86" i="71"/>
  <c r="AI86" i="71" s="1"/>
  <c r="AJ86" i="71" s="1"/>
  <c r="AB102" i="71"/>
  <c r="AC102" i="71" s="1"/>
  <c r="AD102" i="71" s="1"/>
  <c r="AE102" i="71"/>
  <c r="AF102" i="71" s="1"/>
  <c r="AG102" i="71" s="1"/>
  <c r="AH102" i="71"/>
  <c r="AI102" i="71" s="1"/>
  <c r="AJ102" i="71" s="1"/>
  <c r="AB19" i="71"/>
  <c r="AC19" i="71" s="1"/>
  <c r="AD19" i="71" s="1"/>
  <c r="AE19" i="71"/>
  <c r="AF19" i="71" s="1"/>
  <c r="AG19" i="71" s="1"/>
  <c r="AH19" i="71"/>
  <c r="AI19" i="71" s="1"/>
  <c r="AJ19" i="71" s="1"/>
  <c r="AB35" i="71"/>
  <c r="AC35" i="71" s="1"/>
  <c r="AD35" i="71" s="1"/>
  <c r="AE35" i="71"/>
  <c r="AF35" i="71" s="1"/>
  <c r="AG35" i="71" s="1"/>
  <c r="AH35" i="71"/>
  <c r="AI35" i="71" s="1"/>
  <c r="AJ35" i="71" s="1"/>
  <c r="AB51" i="71"/>
  <c r="AC51" i="71" s="1"/>
  <c r="AD51" i="71" s="1"/>
  <c r="AE51" i="71"/>
  <c r="AF51" i="71" s="1"/>
  <c r="AG51" i="71" s="1"/>
  <c r="AH51" i="71"/>
  <c r="AI51" i="71" s="1"/>
  <c r="AJ51" i="71" s="1"/>
  <c r="AB67" i="71"/>
  <c r="AC67" i="71" s="1"/>
  <c r="AD67" i="71" s="1"/>
  <c r="AE67" i="71"/>
  <c r="AF67" i="71" s="1"/>
  <c r="AG67" i="71" s="1"/>
  <c r="AH67" i="71"/>
  <c r="AI67" i="71" s="1"/>
  <c r="AJ67" i="71" s="1"/>
  <c r="AB83" i="71"/>
  <c r="AC83" i="71" s="1"/>
  <c r="AD83" i="71" s="1"/>
  <c r="AE83" i="71"/>
  <c r="AF83" i="71" s="1"/>
  <c r="AG83" i="71" s="1"/>
  <c r="AH83" i="71"/>
  <c r="AI83" i="71" s="1"/>
  <c r="AJ83" i="71" s="1"/>
  <c r="AB99" i="71"/>
  <c r="AC99" i="71" s="1"/>
  <c r="AD99" i="71" s="1"/>
  <c r="AE99" i="71"/>
  <c r="AF99" i="71" s="1"/>
  <c r="AG99" i="71" s="1"/>
  <c r="AH99" i="71"/>
  <c r="AI99" i="71" s="1"/>
  <c r="AJ99" i="71" s="1"/>
  <c r="AB16" i="71"/>
  <c r="AC16" i="71" s="1"/>
  <c r="AD16" i="71" s="1"/>
  <c r="AE16" i="71"/>
  <c r="AF16" i="71" s="1"/>
  <c r="AG16" i="71" s="1"/>
  <c r="AH16" i="71"/>
  <c r="AI16" i="71" s="1"/>
  <c r="AJ16" i="71" s="1"/>
  <c r="AB56" i="71"/>
  <c r="AC56" i="71" s="1"/>
  <c r="AD56" i="71" s="1"/>
  <c r="AE56" i="71"/>
  <c r="AF56" i="71" s="1"/>
  <c r="AG56" i="71" s="1"/>
  <c r="AH56" i="71"/>
  <c r="AI56" i="71" s="1"/>
  <c r="AJ56" i="71" s="1"/>
  <c r="AB84" i="71"/>
  <c r="AC84" i="71" s="1"/>
  <c r="AD84" i="71" s="1"/>
  <c r="AE84" i="71"/>
  <c r="AF84" i="71" s="1"/>
  <c r="AG84" i="71" s="1"/>
  <c r="AH84" i="71"/>
  <c r="AI84" i="71" s="1"/>
  <c r="AJ84" i="71" s="1"/>
  <c r="AB21" i="71"/>
  <c r="AC21" i="71" s="1"/>
  <c r="AD21" i="71" s="1"/>
  <c r="AE21" i="71"/>
  <c r="AF21" i="71" s="1"/>
  <c r="AG21" i="71" s="1"/>
  <c r="AH21" i="71"/>
  <c r="AI21" i="71" s="1"/>
  <c r="AJ21" i="71" s="1"/>
  <c r="AB10" i="71"/>
  <c r="AC10" i="71" s="1"/>
  <c r="AD10" i="71" s="1"/>
  <c r="AE10" i="71"/>
  <c r="AF10" i="71" s="1"/>
  <c r="AG10" i="71" s="1"/>
  <c r="AH10" i="71"/>
  <c r="AI10" i="71" s="1"/>
  <c r="AJ10" i="71" s="1"/>
  <c r="AB20" i="71"/>
  <c r="AC20" i="71" s="1"/>
  <c r="AD20" i="71" s="1"/>
  <c r="AE20" i="71"/>
  <c r="AF20" i="71" s="1"/>
  <c r="AG20" i="71" s="1"/>
  <c r="AH20" i="71"/>
  <c r="AI20" i="71" s="1"/>
  <c r="AJ20" i="71" s="1"/>
  <c r="AB72" i="71"/>
  <c r="AC72" i="71" s="1"/>
  <c r="AD72" i="71" s="1"/>
  <c r="AH72" i="71"/>
  <c r="AI72" i="71" s="1"/>
  <c r="AJ72" i="71" s="1"/>
  <c r="AE72" i="71"/>
  <c r="AF72" i="71" s="1"/>
  <c r="AG72" i="71" s="1"/>
  <c r="AB104" i="71"/>
  <c r="AC104" i="71" s="1"/>
  <c r="AD104" i="71" s="1"/>
  <c r="AH104" i="71"/>
  <c r="AI104" i="71" s="1"/>
  <c r="AJ104" i="71" s="1"/>
  <c r="AE104" i="71"/>
  <c r="AF104" i="71" s="1"/>
  <c r="AG104" i="71" s="1"/>
  <c r="AH41" i="71"/>
  <c r="AI41" i="71" s="1"/>
  <c r="AJ41" i="71" s="1"/>
  <c r="AB41" i="71"/>
  <c r="AC41" i="71" s="1"/>
  <c r="AD41" i="71" s="1"/>
  <c r="AE41" i="71"/>
  <c r="AF41" i="71" s="1"/>
  <c r="AG41" i="71" s="1"/>
  <c r="AE65" i="71"/>
  <c r="AF65" i="71" s="1"/>
  <c r="AG65" i="71" s="1"/>
  <c r="AH65" i="71"/>
  <c r="AI65" i="71" s="1"/>
  <c r="AJ65" i="71" s="1"/>
  <c r="AB65" i="71"/>
  <c r="AC65" i="71" s="1"/>
  <c r="AD65" i="71" s="1"/>
  <c r="AB73" i="71"/>
  <c r="AC73" i="71" s="1"/>
  <c r="AD73" i="71" s="1"/>
  <c r="AE73" i="71"/>
  <c r="AF73" i="71" s="1"/>
  <c r="AG73" i="71" s="1"/>
  <c r="AH73" i="71"/>
  <c r="AI73" i="71" s="1"/>
  <c r="AJ73" i="71" s="1"/>
  <c r="AH97" i="71"/>
  <c r="AI97" i="71" s="1"/>
  <c r="AJ97" i="71" s="1"/>
  <c r="AB97" i="71"/>
  <c r="AC97" i="71" s="1"/>
  <c r="AD97" i="71" s="1"/>
  <c r="AE97" i="71"/>
  <c r="AF97" i="71" s="1"/>
  <c r="AG97" i="71" s="1"/>
  <c r="AE105" i="71"/>
  <c r="AF105" i="71" s="1"/>
  <c r="AG105" i="71" s="1"/>
  <c r="AB105" i="71"/>
  <c r="AC105" i="71" s="1"/>
  <c r="AD105" i="71" s="1"/>
  <c r="AH105" i="71"/>
  <c r="AI105" i="71" s="1"/>
  <c r="AJ105" i="71" s="1"/>
  <c r="AP76" i="70"/>
  <c r="AQ78" i="70"/>
  <c r="AR18" i="71"/>
  <c r="AQ22" i="71"/>
  <c r="AR34" i="71"/>
  <c r="AQ38" i="71"/>
  <c r="AR50" i="71"/>
  <c r="AQ54" i="71"/>
  <c r="AP58" i="71"/>
  <c r="AR66" i="71"/>
  <c r="AR82" i="71"/>
  <c r="AR98" i="71"/>
  <c r="AQ102" i="71"/>
  <c r="AP106" i="71"/>
  <c r="AQ15" i="71"/>
  <c r="AQ19" i="71"/>
  <c r="AP23" i="71"/>
  <c r="AQ35" i="71"/>
  <c r="AQ51" i="71"/>
  <c r="AR55" i="71"/>
  <c r="AQ67" i="71"/>
  <c r="AR71" i="71"/>
  <c r="AQ83" i="71"/>
  <c r="AR87" i="71"/>
  <c r="AQ99" i="71"/>
  <c r="AN13" i="1"/>
  <c r="AN61" i="1"/>
  <c r="AP101" i="1"/>
  <c r="AH34" i="42"/>
  <c r="AH82" i="42"/>
  <c r="AH32" i="42"/>
  <c r="AJ68" i="42"/>
  <c r="AJ106" i="42"/>
  <c r="AI39" i="42"/>
  <c r="AI63" i="42"/>
  <c r="AI87" i="42"/>
  <c r="AJ29" i="42"/>
  <c r="AJ61" i="42"/>
  <c r="AJ109" i="42"/>
  <c r="AI18" i="42"/>
  <c r="AI82" i="42"/>
  <c r="AJ36" i="42"/>
  <c r="AJ64" i="42"/>
  <c r="AI88" i="42"/>
  <c r="AJ31" i="42"/>
  <c r="AH57" i="42"/>
  <c r="AH74" i="42"/>
  <c r="AH15" i="42"/>
  <c r="AH63" i="42"/>
  <c r="AH26" i="42"/>
  <c r="AH36" i="42"/>
  <c r="AH108" i="42"/>
  <c r="AH39" i="42"/>
  <c r="AJ90" i="42"/>
  <c r="AJ32" i="42"/>
  <c r="AJ17" i="42"/>
  <c r="AI53" i="42"/>
  <c r="AI109" i="42"/>
  <c r="AJ74" i="42"/>
  <c r="AI55" i="42"/>
  <c r="AI69" i="42"/>
  <c r="AP46" i="70"/>
  <c r="AI108" i="42"/>
  <c r="AR14" i="71"/>
  <c r="AR30" i="71"/>
  <c r="AR46" i="71"/>
  <c r="AQ50" i="71"/>
  <c r="AR78" i="71"/>
  <c r="AQ82" i="71"/>
  <c r="AR94" i="71"/>
  <c r="AQ11" i="71"/>
  <c r="AQ27" i="71"/>
  <c r="AQ43" i="71"/>
  <c r="AQ47" i="71"/>
  <c r="AQ59" i="71"/>
  <c r="AQ63" i="71"/>
  <c r="AQ75" i="71"/>
  <c r="AQ91" i="71"/>
  <c r="AQ95" i="71"/>
  <c r="AQ107" i="71"/>
  <c r="AP89" i="70"/>
  <c r="AQ19" i="70"/>
  <c r="AR42" i="71"/>
  <c r="AR58" i="71"/>
  <c r="AR74" i="71"/>
  <c r="AR90" i="71"/>
  <c r="AR106" i="71"/>
  <c r="AQ23" i="71"/>
  <c r="AH50" i="42"/>
  <c r="AH103" i="42"/>
  <c r="AI56" i="42"/>
  <c r="AH96" i="42"/>
  <c r="AI47" i="42"/>
  <c r="AJ71" i="42"/>
  <c r="AJ53" i="42"/>
  <c r="AI50" i="42"/>
  <c r="AJ76" i="42"/>
  <c r="AJ96" i="42"/>
  <c r="AH106" i="42"/>
  <c r="AH109" i="42"/>
  <c r="AH47" i="42"/>
  <c r="AH95" i="42"/>
  <c r="AI29" i="42"/>
  <c r="AI61" i="42"/>
  <c r="AH101" i="42"/>
  <c r="AH87" i="42"/>
  <c r="AJ34" i="42"/>
  <c r="AJ88" i="42"/>
  <c r="AJ42" i="42"/>
  <c r="AJ48" i="42"/>
  <c r="AI106" i="42"/>
  <c r="AJ23" i="42"/>
  <c r="AQ35" i="70"/>
  <c r="AQ99" i="70"/>
  <c r="AJ107" i="42"/>
  <c r="T43" i="70"/>
  <c r="AR43" i="70" s="1"/>
  <c r="AP43" i="70" s="1"/>
  <c r="T75" i="70"/>
  <c r="AR75" i="70" s="1"/>
  <c r="AP75" i="70" s="1"/>
  <c r="T28" i="70"/>
  <c r="AR28" i="70" s="1"/>
  <c r="AQ28" i="70" s="1"/>
  <c r="T29" i="70"/>
  <c r="AR29" i="70"/>
  <c r="AQ29" i="70" s="1"/>
  <c r="T61" i="70"/>
  <c r="AR61" i="70" s="1"/>
  <c r="AQ61" i="70" s="1"/>
  <c r="T77" i="70"/>
  <c r="AR77" i="70" s="1"/>
  <c r="AP77" i="70" s="1"/>
  <c r="T35" i="70"/>
  <c r="AR35" i="70" s="1"/>
  <c r="AP35" i="70" s="1"/>
  <c r="T51" i="70"/>
  <c r="AR51" i="70" s="1"/>
  <c r="AQ51" i="70" s="1"/>
  <c r="T67" i="70"/>
  <c r="AR67" i="70" s="1"/>
  <c r="AP67" i="70" s="1"/>
  <c r="T83" i="70"/>
  <c r="AR83" i="70" s="1"/>
  <c r="AP83" i="70" s="1"/>
  <c r="T99" i="70"/>
  <c r="AR99" i="70" s="1"/>
  <c r="AP99" i="70" s="1"/>
  <c r="T73" i="70"/>
  <c r="AR73" i="70" s="1"/>
  <c r="AP73" i="70" s="1"/>
  <c r="T27" i="70"/>
  <c r="AR27" i="70" s="1"/>
  <c r="AP27" i="70" s="1"/>
  <c r="T59" i="70"/>
  <c r="AR59" i="70" s="1"/>
  <c r="AQ59" i="70" s="1"/>
  <c r="X17" i="70"/>
  <c r="T17" i="70"/>
  <c r="AR17" i="70" s="1"/>
  <c r="AQ17" i="70" s="1"/>
  <c r="X33" i="70"/>
  <c r="T33" i="70"/>
  <c r="AR33" i="70" s="1"/>
  <c r="AQ33" i="70" s="1"/>
  <c r="X49" i="70"/>
  <c r="T49" i="70"/>
  <c r="AR49" i="70" s="1"/>
  <c r="AQ49" i="70" s="1"/>
  <c r="X65" i="70"/>
  <c r="T65" i="70"/>
  <c r="AR65" i="70" s="1"/>
  <c r="AP65" i="70" s="1"/>
  <c r="X97" i="70"/>
  <c r="T97" i="70"/>
  <c r="AR97" i="70" s="1"/>
  <c r="AQ97" i="70" s="1"/>
  <c r="X18" i="70"/>
  <c r="T18" i="70"/>
  <c r="AR18" i="70" s="1"/>
  <c r="AP18" i="70" s="1"/>
  <c r="X26" i="70"/>
  <c r="T26" i="70"/>
  <c r="AR26" i="70" s="1"/>
  <c r="AQ26" i="70" s="1"/>
  <c r="X36" i="70"/>
  <c r="T36" i="70"/>
  <c r="AR36" i="70" s="1"/>
  <c r="AQ36" i="70" s="1"/>
  <c r="X84" i="70"/>
  <c r="T84" i="70"/>
  <c r="AR84" i="70" s="1"/>
  <c r="AQ84" i="70" s="1"/>
  <c r="X100" i="70"/>
  <c r="T100" i="70"/>
  <c r="AR100" i="70" s="1"/>
  <c r="AP100" i="70" s="1"/>
  <c r="X37" i="70"/>
  <c r="T37" i="70"/>
  <c r="AR37" i="70" s="1"/>
  <c r="AP37" i="70" s="1"/>
  <c r="X53" i="70"/>
  <c r="T53" i="70"/>
  <c r="AR53" i="70" s="1"/>
  <c r="AQ53" i="70" s="1"/>
  <c r="X85" i="70"/>
  <c r="T85" i="70"/>
  <c r="AR85" i="70" s="1"/>
  <c r="AP85" i="70" s="1"/>
  <c r="X15" i="70"/>
  <c r="T15" i="70"/>
  <c r="AR15" i="70" s="1"/>
  <c r="AP15" i="70" s="1"/>
  <c r="X23" i="70"/>
  <c r="T23" i="70"/>
  <c r="AR23" i="70" s="1"/>
  <c r="AQ23" i="70" s="1"/>
  <c r="X39" i="70"/>
  <c r="T39" i="70"/>
  <c r="AR39" i="70" s="1"/>
  <c r="AP39" i="70" s="1"/>
  <c r="X55" i="70"/>
  <c r="T55" i="70"/>
  <c r="AR55" i="70" s="1"/>
  <c r="AP55" i="70" s="1"/>
  <c r="X79" i="70"/>
  <c r="T79" i="70"/>
  <c r="AR79" i="70" s="1"/>
  <c r="AP79" i="70" s="1"/>
  <c r="X87" i="70"/>
  <c r="T87" i="70"/>
  <c r="AR87" i="70" s="1"/>
  <c r="AQ87" i="70" s="1"/>
  <c r="X95" i="70"/>
  <c r="T95" i="70"/>
  <c r="AR95" i="70" s="1"/>
  <c r="AQ95" i="70" s="1"/>
  <c r="X50" i="70"/>
  <c r="T50" i="70"/>
  <c r="AR50" i="70" s="1"/>
  <c r="AQ50" i="70" s="1"/>
  <c r="X66" i="70"/>
  <c r="T66" i="70"/>
  <c r="AR66" i="70" s="1"/>
  <c r="AP66" i="70" s="1"/>
  <c r="X74" i="70"/>
  <c r="T74" i="70"/>
  <c r="AR74" i="70" s="1"/>
  <c r="AQ74" i="70" s="1"/>
  <c r="X98" i="70"/>
  <c r="T98" i="70"/>
  <c r="AR98" i="70" s="1"/>
  <c r="AP98" i="70" s="1"/>
  <c r="X40" i="70"/>
  <c r="T40" i="70"/>
  <c r="AR40" i="70" s="1"/>
  <c r="AQ40" i="70" s="1"/>
  <c r="X72" i="70"/>
  <c r="T72" i="70"/>
  <c r="AR72" i="70" s="1"/>
  <c r="AP72" i="70" s="1"/>
  <c r="X104" i="70"/>
  <c r="T104" i="70"/>
  <c r="AR104" i="70" s="1"/>
  <c r="AP104" i="70" s="1"/>
  <c r="X25" i="70"/>
  <c r="T25" i="70"/>
  <c r="AR25" i="70" s="1"/>
  <c r="AQ25" i="70" s="1"/>
  <c r="X57" i="70"/>
  <c r="T57" i="70"/>
  <c r="AR57" i="70" s="1"/>
  <c r="AQ57" i="70" s="1"/>
  <c r="X16" i="70"/>
  <c r="T16" i="70"/>
  <c r="AR16" i="70" s="1"/>
  <c r="AQ16" i="70" s="1"/>
  <c r="X32" i="70"/>
  <c r="T32" i="70"/>
  <c r="AR32" i="70" s="1"/>
  <c r="AP32" i="70" s="1"/>
  <c r="X48" i="70"/>
  <c r="T48" i="70"/>
  <c r="AR48" i="70" s="1"/>
  <c r="AP48" i="70" s="1"/>
  <c r="X64" i="70"/>
  <c r="T64" i="70"/>
  <c r="AR64" i="70" s="1"/>
  <c r="AQ64" i="70" s="1"/>
  <c r="X80" i="70"/>
  <c r="T80" i="70"/>
  <c r="AR80" i="70" s="1"/>
  <c r="AP80" i="70" s="1"/>
  <c r="X96" i="70"/>
  <c r="T96" i="70"/>
  <c r="AR96" i="70" s="1"/>
  <c r="AQ96" i="70" s="1"/>
  <c r="X81" i="70"/>
  <c r="T81" i="70"/>
  <c r="AR81" i="70" s="1"/>
  <c r="AP81" i="70" s="1"/>
  <c r="X10" i="70"/>
  <c r="T10" i="70"/>
  <c r="AR10" i="70" s="1"/>
  <c r="X20" i="70"/>
  <c r="T20" i="70"/>
  <c r="AR20" i="70" s="1"/>
  <c r="AQ20" i="70" s="1"/>
  <c r="X52" i="70"/>
  <c r="T52" i="70"/>
  <c r="AR52" i="70" s="1"/>
  <c r="AP52" i="70" s="1"/>
  <c r="X68" i="70"/>
  <c r="T68" i="70"/>
  <c r="AR68" i="70" s="1"/>
  <c r="AQ68" i="70" s="1"/>
  <c r="X21" i="70"/>
  <c r="T21" i="70"/>
  <c r="AR21" i="70" s="1"/>
  <c r="AQ21" i="70" s="1"/>
  <c r="X69" i="70"/>
  <c r="T69" i="70"/>
  <c r="AR69" i="70" s="1"/>
  <c r="AQ69" i="70" s="1"/>
  <c r="X101" i="70"/>
  <c r="T101" i="70"/>
  <c r="AR101" i="70" s="1"/>
  <c r="AP101" i="70" s="1"/>
  <c r="X31" i="70"/>
  <c r="T31" i="70"/>
  <c r="AR31" i="70" s="1"/>
  <c r="AQ31" i="70" s="1"/>
  <c r="X47" i="70"/>
  <c r="T47" i="70"/>
  <c r="AR47" i="70" s="1"/>
  <c r="AP47" i="70" s="1"/>
  <c r="X63" i="70"/>
  <c r="T63" i="70"/>
  <c r="AR63" i="70" s="1"/>
  <c r="AQ63" i="70" s="1"/>
  <c r="X71" i="70"/>
  <c r="T71" i="70"/>
  <c r="AR71" i="70" s="1"/>
  <c r="AQ71" i="70" s="1"/>
  <c r="X103" i="70"/>
  <c r="T103" i="70"/>
  <c r="AR103" i="70" s="1"/>
  <c r="AP103" i="70" s="1"/>
  <c r="X34" i="70"/>
  <c r="T34" i="70"/>
  <c r="AR34" i="70" s="1"/>
  <c r="AP34" i="70" s="1"/>
  <c r="X42" i="70"/>
  <c r="T42" i="70"/>
  <c r="AR42" i="70" s="1"/>
  <c r="AP42" i="70" s="1"/>
  <c r="X58" i="70"/>
  <c r="T58" i="70"/>
  <c r="AR58" i="70" s="1"/>
  <c r="AP58" i="70" s="1"/>
  <c r="X82" i="70"/>
  <c r="T82" i="70"/>
  <c r="AR82" i="70" s="1"/>
  <c r="AP82" i="70" s="1"/>
  <c r="X90" i="70"/>
  <c r="T90" i="70"/>
  <c r="AR90" i="70" s="1"/>
  <c r="AQ90" i="70" s="1"/>
  <c r="X106" i="70"/>
  <c r="T106" i="70"/>
  <c r="AR106" i="70" s="1"/>
  <c r="AP106" i="70" s="1"/>
  <c r="X24" i="70"/>
  <c r="T24" i="70"/>
  <c r="AR24" i="70" s="1"/>
  <c r="AP24" i="70" s="1"/>
  <c r="X56" i="70"/>
  <c r="T56" i="70"/>
  <c r="AR56" i="70" s="1"/>
  <c r="AQ56" i="70" s="1"/>
  <c r="X88" i="70"/>
  <c r="T88" i="70"/>
  <c r="AR88" i="70" s="1"/>
  <c r="AQ88" i="70" s="1"/>
  <c r="X41" i="70"/>
  <c r="T41" i="70"/>
  <c r="AR41" i="70" s="1"/>
  <c r="AP41" i="70" s="1"/>
  <c r="X89" i="70"/>
  <c r="X105" i="70"/>
  <c r="X38" i="70"/>
  <c r="X12" i="70"/>
  <c r="X44" i="70"/>
  <c r="X60" i="70"/>
  <c r="X76" i="70"/>
  <c r="X92" i="70"/>
  <c r="X13" i="70"/>
  <c r="X45" i="70"/>
  <c r="X93" i="70"/>
  <c r="X11" i="70"/>
  <c r="X19" i="70"/>
  <c r="X91" i="70"/>
  <c r="X107" i="70"/>
  <c r="X14" i="70"/>
  <c r="X54" i="70"/>
  <c r="X62" i="70"/>
  <c r="AO62" i="70" s="1"/>
  <c r="X70" i="70"/>
  <c r="X86" i="70"/>
  <c r="T89" i="70"/>
  <c r="AR89" i="70" s="1"/>
  <c r="AQ89" i="70" s="1"/>
  <c r="T105" i="70"/>
  <c r="AR105" i="70" s="1"/>
  <c r="AQ105" i="70" s="1"/>
  <c r="T38" i="70"/>
  <c r="AR38" i="70" s="1"/>
  <c r="AP38" i="70" s="1"/>
  <c r="T12" i="70"/>
  <c r="AR12" i="70" s="1"/>
  <c r="AP12" i="70" s="1"/>
  <c r="T44" i="70"/>
  <c r="AR44" i="70" s="1"/>
  <c r="AQ44" i="70" s="1"/>
  <c r="T60" i="70"/>
  <c r="AR60" i="70" s="1"/>
  <c r="AP60" i="70" s="1"/>
  <c r="T76" i="70"/>
  <c r="AR76" i="70" s="1"/>
  <c r="AQ76" i="70" s="1"/>
  <c r="T92" i="70"/>
  <c r="AR92" i="70" s="1"/>
  <c r="AQ92" i="70" s="1"/>
  <c r="T13" i="70"/>
  <c r="AR13" i="70" s="1"/>
  <c r="AP13" i="70" s="1"/>
  <c r="T45" i="70"/>
  <c r="AR45" i="70" s="1"/>
  <c r="AP45" i="70" s="1"/>
  <c r="T93" i="70"/>
  <c r="AR93" i="70" s="1"/>
  <c r="AP93" i="70" s="1"/>
  <c r="T11" i="70"/>
  <c r="AR11" i="70" s="1"/>
  <c r="AQ11" i="70" s="1"/>
  <c r="T19" i="70"/>
  <c r="AR19" i="70" s="1"/>
  <c r="AP19" i="70" s="1"/>
  <c r="T91" i="70"/>
  <c r="AR91" i="70" s="1"/>
  <c r="AP91" i="70" s="1"/>
  <c r="T107" i="70"/>
  <c r="AR107" i="70" s="1"/>
  <c r="AP107" i="70" s="1"/>
  <c r="X73" i="70"/>
  <c r="X28" i="70"/>
  <c r="X29" i="70"/>
  <c r="AO29" i="70" s="1"/>
  <c r="X61" i="70"/>
  <c r="AO61" i="70" s="1"/>
  <c r="X77" i="70"/>
  <c r="AO77" i="70" s="1"/>
  <c r="X27" i="70"/>
  <c r="X35" i="70"/>
  <c r="AO35" i="70" s="1"/>
  <c r="X43" i="70"/>
  <c r="X51" i="70"/>
  <c r="X59" i="70"/>
  <c r="X67" i="70"/>
  <c r="AO67" i="70" s="1"/>
  <c r="X75" i="70"/>
  <c r="AO75" i="70" s="1"/>
  <c r="X83" i="70"/>
  <c r="AO83" i="70" s="1"/>
  <c r="X99" i="70"/>
  <c r="AO99" i="70" s="1"/>
  <c r="X22" i="70"/>
  <c r="AO22" i="70" s="1"/>
  <c r="X30" i="70"/>
  <c r="X46" i="70"/>
  <c r="AO46" i="70" s="1"/>
  <c r="X78" i="70"/>
  <c r="X94" i="70"/>
  <c r="AO94" i="70" s="1"/>
  <c r="X102" i="70"/>
  <c r="T14" i="70"/>
  <c r="AR14" i="70" s="1"/>
  <c r="AP14" i="70" s="1"/>
  <c r="T22" i="70"/>
  <c r="AR22" i="70" s="1"/>
  <c r="AQ22" i="70" s="1"/>
  <c r="T30" i="70"/>
  <c r="AR30" i="70" s="1"/>
  <c r="AQ30" i="70" s="1"/>
  <c r="T46" i="70"/>
  <c r="AR46" i="70" s="1"/>
  <c r="AQ46" i="70" s="1"/>
  <c r="T54" i="70"/>
  <c r="AR54" i="70" s="1"/>
  <c r="AQ54" i="70" s="1"/>
  <c r="T62" i="70"/>
  <c r="AR62" i="70" s="1"/>
  <c r="AQ62" i="70" s="1"/>
  <c r="T70" i="70"/>
  <c r="AR70" i="70" s="1"/>
  <c r="AQ70" i="70" s="1"/>
  <c r="T78" i="70"/>
  <c r="AR78" i="70" s="1"/>
  <c r="AP78" i="70" s="1"/>
  <c r="T86" i="70"/>
  <c r="AR86" i="70" s="1"/>
  <c r="AQ86" i="70" s="1"/>
  <c r="T94" i="70"/>
  <c r="AR94" i="70" s="1"/>
  <c r="AP94" i="70" s="1"/>
  <c r="T102" i="70"/>
  <c r="AR102" i="70" s="1"/>
  <c r="AP102" i="70" s="1"/>
  <c r="J32" i="20"/>
  <c r="K30" i="20"/>
  <c r="K29" i="20"/>
  <c r="J29" i="20"/>
  <c r="J28" i="20"/>
  <c r="K26" i="20"/>
  <c r="K25" i="20"/>
  <c r="J25" i="20"/>
  <c r="J24" i="20"/>
  <c r="K22" i="20"/>
  <c r="K21" i="20"/>
  <c r="J21" i="20"/>
  <c r="J20" i="20"/>
  <c r="K18" i="20"/>
  <c r="K17" i="20"/>
  <c r="J17" i="20"/>
  <c r="J16" i="20"/>
  <c r="K14" i="20"/>
  <c r="K32" i="20"/>
  <c r="K31" i="20"/>
  <c r="J31" i="20"/>
  <c r="J30" i="20"/>
  <c r="K28" i="20"/>
  <c r="K27" i="20"/>
  <c r="J27" i="20"/>
  <c r="J26" i="20"/>
  <c r="K24" i="20"/>
  <c r="K23" i="20"/>
  <c r="J23" i="20"/>
  <c r="J22" i="20"/>
  <c r="K20" i="20"/>
  <c r="K19" i="20"/>
  <c r="J19" i="20"/>
  <c r="AF10" i="42" s="1"/>
  <c r="J18" i="20"/>
  <c r="K16" i="20"/>
  <c r="K15" i="20"/>
  <c r="J15" i="20"/>
  <c r="J14" i="20"/>
  <c r="AJ65" i="42" l="1"/>
  <c r="AI65" i="42"/>
  <c r="AH65" i="42"/>
  <c r="AI16" i="42"/>
  <c r="AI85" i="42"/>
  <c r="AH85" i="42"/>
  <c r="AN97" i="1"/>
  <c r="AH72" i="42"/>
  <c r="AO27" i="70"/>
  <c r="AQ93" i="70"/>
  <c r="AP61" i="70"/>
  <c r="AQ107" i="70"/>
  <c r="AJ100" i="42"/>
  <c r="AR103" i="71"/>
  <c r="AR39" i="71"/>
  <c r="AQ26" i="71"/>
  <c r="AP59" i="71"/>
  <c r="AP96" i="71"/>
  <c r="AP103" i="71"/>
  <c r="AP47" i="71"/>
  <c r="AR64" i="71"/>
  <c r="AR44" i="71"/>
  <c r="AR21" i="71"/>
  <c r="AJ80" i="42"/>
  <c r="AH80" i="42"/>
  <c r="AH56" i="42"/>
  <c r="AO22" i="1"/>
  <c r="AI33" i="42"/>
  <c r="AN29" i="1"/>
  <c r="AN105" i="1"/>
  <c r="AP24" i="1"/>
  <c r="AH102" i="42"/>
  <c r="AP97" i="1"/>
  <c r="AO34" i="1"/>
  <c r="AI92" i="42"/>
  <c r="AJ52" i="42"/>
  <c r="AI52" i="42"/>
  <c r="AP39" i="1"/>
  <c r="AQ38" i="70"/>
  <c r="AQ75" i="70"/>
  <c r="AQ70" i="71"/>
  <c r="AP39" i="71"/>
  <c r="AP100" i="71"/>
  <c r="AR25" i="71"/>
  <c r="AP64" i="71"/>
  <c r="AR100" i="71"/>
  <c r="AP26" i="71"/>
  <c r="AH100" i="42"/>
  <c r="AI103" i="42"/>
  <c r="AN37" i="1"/>
  <c r="AH84" i="42"/>
  <c r="AP57" i="1"/>
  <c r="AH46" i="42"/>
  <c r="AR33" i="71"/>
  <c r="AQ33" i="71"/>
  <c r="AN24" i="1"/>
  <c r="AH25" i="42"/>
  <c r="AO87" i="1"/>
  <c r="AN87" i="1"/>
  <c r="AP87" i="1"/>
  <c r="AI43" i="42"/>
  <c r="AO51" i="70"/>
  <c r="AO73" i="70"/>
  <c r="AQ67" i="70"/>
  <c r="AJ72" i="42"/>
  <c r="AJ12" i="42"/>
  <c r="AO29" i="1"/>
  <c r="AH12" i="42"/>
  <c r="AH17" i="42"/>
  <c r="AH16" i="42"/>
  <c r="AN85" i="1"/>
  <c r="AP42" i="1"/>
  <c r="AH33" i="42"/>
  <c r="AN22" i="1"/>
  <c r="AN71" i="1"/>
  <c r="AP98" i="71"/>
  <c r="AQ31" i="71"/>
  <c r="AP40" i="71"/>
  <c r="AP60" i="71"/>
  <c r="AP79" i="71"/>
  <c r="AQ79" i="71"/>
  <c r="AQ86" i="71"/>
  <c r="AP91" i="71"/>
  <c r="AP92" i="71"/>
  <c r="AP30" i="71"/>
  <c r="AP27" i="71"/>
  <c r="AP31" i="71"/>
  <c r="AP70" i="71"/>
  <c r="AP86" i="71"/>
  <c r="AR93" i="71"/>
  <c r="AQ93" i="71"/>
  <c r="AQ48" i="71"/>
  <c r="AR48" i="71"/>
  <c r="AR73" i="71"/>
  <c r="AQ73" i="71"/>
  <c r="AR88" i="71"/>
  <c r="AQ80" i="71"/>
  <c r="AR80" i="71"/>
  <c r="AP88" i="71"/>
  <c r="AP80" i="71"/>
  <c r="AP81" i="71"/>
  <c r="AR69" i="71"/>
  <c r="AQ69" i="71"/>
  <c r="AQ13" i="71"/>
  <c r="AR13" i="71"/>
  <c r="AQ24" i="71"/>
  <c r="AR24" i="71"/>
  <c r="AR108" i="71"/>
  <c r="AQ108" i="71"/>
  <c r="AP61" i="71"/>
  <c r="AR41" i="71"/>
  <c r="AQ41" i="71"/>
  <c r="AQ29" i="71"/>
  <c r="AP41" i="71"/>
  <c r="AP93" i="71"/>
  <c r="AP48" i="71"/>
  <c r="AR37" i="71"/>
  <c r="AQ37" i="71"/>
  <c r="AR28" i="71"/>
  <c r="AQ28" i="71"/>
  <c r="AP62" i="71"/>
  <c r="AP73" i="71"/>
  <c r="AR62" i="71"/>
  <c r="AQ40" i="71"/>
  <c r="AR40" i="71"/>
  <c r="AP29" i="71"/>
  <c r="AR20" i="71"/>
  <c r="AQ20" i="71"/>
  <c r="AR101" i="71"/>
  <c r="AQ101" i="71"/>
  <c r="AR60" i="71"/>
  <c r="AQ60" i="71"/>
  <c r="AP37" i="71"/>
  <c r="AR92" i="71"/>
  <c r="AQ92" i="71"/>
  <c r="AQ61" i="71"/>
  <c r="AP13" i="71"/>
  <c r="AQ81" i="71"/>
  <c r="AP24" i="71"/>
  <c r="AO86" i="70"/>
  <c r="AO14" i="70"/>
  <c r="AO11" i="70"/>
  <c r="AO92" i="70"/>
  <c r="AO12" i="70"/>
  <c r="AQ102" i="70"/>
  <c r="AP30" i="70"/>
  <c r="AQ60" i="70"/>
  <c r="AP57" i="70"/>
  <c r="AQ24" i="70"/>
  <c r="AP50" i="70"/>
  <c r="AP63" i="70"/>
  <c r="AQ85" i="70"/>
  <c r="AQ52" i="70"/>
  <c r="AQ65" i="70"/>
  <c r="AQ32" i="70"/>
  <c r="AP86" i="70"/>
  <c r="AQ14" i="70"/>
  <c r="AP51" i="70"/>
  <c r="AP28" i="70"/>
  <c r="AP25" i="70"/>
  <c r="AQ98" i="70"/>
  <c r="AQ34" i="70"/>
  <c r="AQ47" i="70"/>
  <c r="AP53" i="70"/>
  <c r="AP20" i="70"/>
  <c r="AP33" i="70"/>
  <c r="AQ43" i="70"/>
  <c r="AQ45" i="70"/>
  <c r="AQ12" i="70"/>
  <c r="AQ104" i="70"/>
  <c r="AP90" i="70"/>
  <c r="AQ103" i="70"/>
  <c r="AQ39" i="70"/>
  <c r="AQ37" i="70"/>
  <c r="AP26" i="70"/>
  <c r="AQ80" i="70"/>
  <c r="AP11" i="70"/>
  <c r="AQ73" i="70"/>
  <c r="AP40" i="70"/>
  <c r="AQ58" i="70"/>
  <c r="AP71" i="70"/>
  <c r="AQ101" i="70"/>
  <c r="AP68" i="70"/>
  <c r="AP49" i="70"/>
  <c r="AP16" i="70"/>
  <c r="AO102" i="70"/>
  <c r="AO30" i="70"/>
  <c r="AO43" i="70"/>
  <c r="AO70" i="70"/>
  <c r="AO107" i="70"/>
  <c r="AO93" i="70"/>
  <c r="AO76" i="70"/>
  <c r="AO38" i="70"/>
  <c r="AO41" i="70"/>
  <c r="AO56" i="70"/>
  <c r="AO106" i="70"/>
  <c r="AO82" i="70"/>
  <c r="AO42" i="70"/>
  <c r="AO103" i="70"/>
  <c r="AO63" i="70"/>
  <c r="AO31" i="70"/>
  <c r="AO69" i="70"/>
  <c r="AO68" i="70"/>
  <c r="AO20" i="70"/>
  <c r="AO81" i="70"/>
  <c r="AO80" i="70"/>
  <c r="AO48" i="70"/>
  <c r="AO16" i="70"/>
  <c r="AO25" i="70"/>
  <c r="AO72" i="70"/>
  <c r="AO98" i="70"/>
  <c r="AO66" i="70"/>
  <c r="AO95" i="70"/>
  <c r="AO79" i="70"/>
  <c r="AO39" i="70"/>
  <c r="AO15" i="70"/>
  <c r="AO53" i="70"/>
  <c r="AO100" i="70"/>
  <c r="AO36" i="70"/>
  <c r="AO18" i="70"/>
  <c r="AO65" i="70"/>
  <c r="AO33" i="70"/>
  <c r="AP70" i="70"/>
  <c r="AP29" i="70"/>
  <c r="AP88" i="70"/>
  <c r="AQ82" i="70"/>
  <c r="AP95" i="70"/>
  <c r="AP31" i="70"/>
  <c r="AP21" i="70"/>
  <c r="AQ18" i="70"/>
  <c r="AP96" i="70"/>
  <c r="AP62" i="70"/>
  <c r="AQ91" i="70"/>
  <c r="AQ27" i="70"/>
  <c r="AQ13" i="70"/>
  <c r="AP105" i="70"/>
  <c r="AQ72" i="70"/>
  <c r="AP74" i="70"/>
  <c r="AP87" i="70"/>
  <c r="AP23" i="70"/>
  <c r="AQ100" i="70"/>
  <c r="AQ81" i="70"/>
  <c r="AQ48" i="70"/>
  <c r="AQ94" i="70"/>
  <c r="AP22" i="70"/>
  <c r="AP59" i="70"/>
  <c r="AQ77" i="70"/>
  <c r="AP44" i="70"/>
  <c r="AQ41" i="70"/>
  <c r="AQ106" i="70"/>
  <c r="AQ42" i="70"/>
  <c r="AQ55" i="70"/>
  <c r="AP69" i="70"/>
  <c r="AP36" i="70"/>
  <c r="AP17" i="70"/>
  <c r="AG10" i="42"/>
  <c r="AM10" i="70"/>
  <c r="AN10" i="70" s="1"/>
  <c r="AN10" i="71"/>
  <c r="AO10" i="71" s="1"/>
  <c r="AL10" i="1"/>
  <c r="AM10" i="1" s="1"/>
  <c r="AO91" i="70"/>
  <c r="AO45" i="70"/>
  <c r="AO60" i="70"/>
  <c r="AO105" i="70"/>
  <c r="AP54" i="70"/>
  <c r="AQ83" i="70"/>
  <c r="AP92" i="70"/>
  <c r="AP56" i="70"/>
  <c r="AQ66" i="70"/>
  <c r="AQ79" i="70"/>
  <c r="AQ15" i="70"/>
  <c r="AP84" i="70"/>
  <c r="AP97" i="70"/>
  <c r="AP64" i="70"/>
  <c r="AO78" i="70"/>
  <c r="AO59" i="70"/>
  <c r="AO28" i="70"/>
  <c r="AO54" i="70"/>
  <c r="AO19" i="70"/>
  <c r="AO13" i="70"/>
  <c r="AO44" i="70"/>
  <c r="AO89" i="70"/>
  <c r="AO88" i="70"/>
  <c r="AO24" i="70"/>
  <c r="AO90" i="70"/>
  <c r="AO58" i="70"/>
  <c r="AO34" i="70"/>
  <c r="AO71" i="70"/>
  <c r="AO47" i="70"/>
  <c r="AO101" i="70"/>
  <c r="AO21" i="70"/>
  <c r="AO52" i="70"/>
  <c r="AO96" i="70"/>
  <c r="AO64" i="70"/>
  <c r="AO32" i="70"/>
  <c r="AO57" i="70"/>
  <c r="AO104" i="70"/>
  <c r="AO40" i="70"/>
  <c r="AO74" i="70"/>
  <c r="AO50" i="70"/>
  <c r="AO87" i="70"/>
  <c r="AO55" i="70"/>
  <c r="AO23" i="70"/>
  <c r="AO85" i="70"/>
  <c r="AO37" i="70"/>
  <c r="AO84" i="70"/>
  <c r="AO26" i="70"/>
  <c r="AO97" i="70"/>
  <c r="AO49" i="70"/>
  <c r="AO17" i="70"/>
  <c r="AJ10" i="69"/>
  <c r="AK10" i="69" s="1"/>
  <c r="V10" i="69" l="1"/>
  <c r="AA10" i="69"/>
  <c r="AH10" i="42"/>
  <c r="AI10" i="42"/>
  <c r="AJ10" i="42"/>
  <c r="AN10" i="1"/>
  <c r="AP10" i="1"/>
  <c r="AO10" i="1"/>
  <c r="AP10" i="71"/>
  <c r="AQ10" i="71"/>
  <c r="AR10" i="71"/>
  <c r="AM10" i="69"/>
  <c r="AL10" i="69"/>
  <c r="AN10" i="69"/>
  <c r="AF10" i="69"/>
  <c r="AO10" i="70"/>
  <c r="AQ10" i="70"/>
  <c r="AP10" i="70"/>
  <c r="F8" i="20" l="1"/>
  <c r="D8" i="20"/>
  <c r="F9" i="20"/>
  <c r="D9" i="20"/>
  <c r="F10" i="20"/>
  <c r="D10" i="20"/>
  <c r="F11" i="20"/>
  <c r="D11" i="20"/>
  <c r="AP10" i="69" s="1"/>
  <c r="F12" i="20"/>
  <c r="D12" i="20"/>
  <c r="AU22" i="71" l="1"/>
  <c r="AU105" i="71"/>
  <c r="AU96" i="71"/>
  <c r="AU12" i="71"/>
  <c r="AU99" i="71"/>
  <c r="AU63" i="71"/>
  <c r="AU26" i="71"/>
  <c r="AU92" i="71"/>
  <c r="AU60" i="71"/>
  <c r="AU28" i="71"/>
  <c r="AU50" i="71"/>
  <c r="AU65" i="71"/>
  <c r="AU87" i="71"/>
  <c r="AU47" i="71"/>
  <c r="AU62" i="71"/>
  <c r="AU33" i="71"/>
  <c r="AU24" i="71"/>
  <c r="AU13" i="71"/>
  <c r="AU41" i="71"/>
  <c r="AU64" i="71"/>
  <c r="AU67" i="71"/>
  <c r="AU90" i="71"/>
  <c r="AU77" i="71"/>
  <c r="AU11" i="71"/>
  <c r="AU18" i="71"/>
  <c r="AU16" i="71"/>
  <c r="AU43" i="71"/>
  <c r="AU73" i="71"/>
  <c r="AU72" i="71"/>
  <c r="AU85" i="71"/>
  <c r="AU83" i="71"/>
  <c r="AU106" i="71"/>
  <c r="AU108" i="71"/>
  <c r="AU76" i="71"/>
  <c r="AU44" i="71"/>
  <c r="AU82" i="71"/>
  <c r="AU14" i="71"/>
  <c r="AU21" i="71"/>
  <c r="AU71" i="71"/>
  <c r="AU15" i="71"/>
  <c r="AU81" i="71"/>
  <c r="AU48" i="71"/>
  <c r="AU42" i="71"/>
  <c r="AU54" i="71"/>
  <c r="AU104" i="71"/>
  <c r="AU53" i="71"/>
  <c r="AU51" i="71"/>
  <c r="AU86" i="71"/>
  <c r="AU27" i="71"/>
  <c r="AU46" i="71"/>
  <c r="AU74" i="71"/>
  <c r="AU70" i="71"/>
  <c r="AU57" i="71"/>
  <c r="AU56" i="71"/>
  <c r="AU107" i="71"/>
  <c r="AU75" i="71"/>
  <c r="AU38" i="71"/>
  <c r="AU100" i="71"/>
  <c r="AU68" i="71"/>
  <c r="AU36" i="71"/>
  <c r="AU66" i="71"/>
  <c r="AU109" i="71"/>
  <c r="AU95" i="71"/>
  <c r="AU55" i="71"/>
  <c r="AU78" i="71"/>
  <c r="AU49" i="71"/>
  <c r="AU40" i="71"/>
  <c r="AU29" i="71"/>
  <c r="AU10" i="71"/>
  <c r="AU80" i="71"/>
  <c r="AU103" i="71"/>
  <c r="AU39" i="71"/>
  <c r="AU93" i="71"/>
  <c r="AU19" i="71"/>
  <c r="AU30" i="71"/>
  <c r="AU32" i="71"/>
  <c r="AU45" i="71"/>
  <c r="AU89" i="71"/>
  <c r="AU88" i="71"/>
  <c r="AU94" i="71"/>
  <c r="AU91" i="71"/>
  <c r="AU23" i="71"/>
  <c r="AU69" i="71"/>
  <c r="AU84" i="71"/>
  <c r="AU52" i="71"/>
  <c r="AU20" i="71"/>
  <c r="AU34" i="71"/>
  <c r="AU37" i="71"/>
  <c r="AU79" i="71"/>
  <c r="AU31" i="71"/>
  <c r="AU97" i="71"/>
  <c r="AU17" i="71"/>
  <c r="AU58" i="71"/>
  <c r="AU35" i="71"/>
  <c r="AU25" i="71"/>
  <c r="AU101" i="71"/>
  <c r="AU59" i="71"/>
  <c r="AU102" i="71"/>
  <c r="AU61" i="71"/>
  <c r="AU98" i="71"/>
  <c r="AT18" i="70"/>
  <c r="AT46" i="70"/>
  <c r="AT39" i="70"/>
  <c r="AT65" i="70"/>
  <c r="AT20" i="70"/>
  <c r="AT37" i="70"/>
  <c r="AT74" i="70"/>
  <c r="AT72" i="70"/>
  <c r="AT19" i="70"/>
  <c r="AT83" i="70"/>
  <c r="AT94" i="70"/>
  <c r="AT71" i="70"/>
  <c r="AT102" i="70"/>
  <c r="AT80" i="70"/>
  <c r="AT81" i="70"/>
  <c r="AT36" i="70"/>
  <c r="AT101" i="70"/>
  <c r="AT82" i="70"/>
  <c r="AT92" i="70"/>
  <c r="AT27" i="70"/>
  <c r="AT99" i="70"/>
  <c r="AT50" i="70"/>
  <c r="AT31" i="70"/>
  <c r="AT33" i="70"/>
  <c r="AT97" i="70"/>
  <c r="AT84" i="70"/>
  <c r="AT63" i="70"/>
  <c r="AT40" i="70"/>
  <c r="AT93" i="70"/>
  <c r="AT59" i="70"/>
  <c r="AT30" i="70"/>
  <c r="AT22" i="70"/>
  <c r="AT60" i="70"/>
  <c r="AT49" i="70"/>
  <c r="AT26" i="70"/>
  <c r="AT21" i="70"/>
  <c r="AT34" i="70"/>
  <c r="AT56" i="70"/>
  <c r="AT11" i="70"/>
  <c r="AT67" i="70"/>
  <c r="AT62" i="70"/>
  <c r="AT79" i="70"/>
  <c r="AT90" i="70"/>
  <c r="AT29" i="70"/>
  <c r="AT23" i="70"/>
  <c r="AT47" i="70"/>
  <c r="AT73" i="70"/>
  <c r="AT106" i="70"/>
  <c r="AT15" i="70"/>
  <c r="AT98" i="70"/>
  <c r="AT70" i="70"/>
  <c r="AT38" i="70"/>
  <c r="AT53" i="70"/>
  <c r="AT32" i="70"/>
  <c r="AT24" i="70"/>
  <c r="AT45" i="70"/>
  <c r="AT85" i="70"/>
  <c r="AT89" i="70"/>
  <c r="AT75" i="70"/>
  <c r="AT69" i="70"/>
  <c r="AT57" i="70"/>
  <c r="AT68" i="70"/>
  <c r="AT100" i="70"/>
  <c r="AT58" i="70"/>
  <c r="AT54" i="70"/>
  <c r="AT88" i="70"/>
  <c r="AT107" i="70"/>
  <c r="AT91" i="70"/>
  <c r="AT64" i="70"/>
  <c r="AT103" i="70"/>
  <c r="AT25" i="70"/>
  <c r="AT78" i="70"/>
  <c r="AT43" i="70"/>
  <c r="AT66" i="70"/>
  <c r="AT10" i="70"/>
  <c r="AT12" i="70"/>
  <c r="AT87" i="70"/>
  <c r="AT76" i="70"/>
  <c r="AT86" i="70"/>
  <c r="AT51" i="70"/>
  <c r="AT95" i="70"/>
  <c r="AT55" i="70"/>
  <c r="AT44" i="70"/>
  <c r="AT61" i="70"/>
  <c r="AT13" i="70"/>
  <c r="AT96" i="70"/>
  <c r="AT52" i="70"/>
  <c r="AT105" i="70"/>
  <c r="AT48" i="70"/>
  <c r="AT41" i="70"/>
  <c r="AT28" i="70"/>
  <c r="AT35" i="70"/>
  <c r="AT17" i="70"/>
  <c r="AT14" i="70"/>
  <c r="AT42" i="70"/>
  <c r="AT104" i="70"/>
  <c r="AT77" i="70"/>
  <c r="AT16" i="70"/>
  <c r="AP14" i="69"/>
  <c r="AP18" i="69"/>
  <c r="AP22" i="69"/>
  <c r="AP26" i="69"/>
  <c r="AP30" i="69"/>
  <c r="AP34" i="69"/>
  <c r="AP38" i="69"/>
  <c r="AP42" i="69"/>
  <c r="AP46" i="69"/>
  <c r="AP50" i="69"/>
  <c r="AP54" i="69"/>
  <c r="AP58" i="69"/>
  <c r="AP62" i="69"/>
  <c r="AP66" i="69"/>
  <c r="AP70" i="69"/>
  <c r="AP74" i="69"/>
  <c r="AP78" i="69"/>
  <c r="AP82" i="69"/>
  <c r="AP86" i="69"/>
  <c r="AP90" i="69"/>
  <c r="AP94" i="69"/>
  <c r="AP98" i="69"/>
  <c r="AP102" i="69"/>
  <c r="AP106" i="69"/>
  <c r="AP11" i="69"/>
  <c r="AP15" i="69"/>
  <c r="AP19" i="69"/>
  <c r="AP23" i="69"/>
  <c r="AP27" i="69"/>
  <c r="AP31" i="69"/>
  <c r="AP35" i="69"/>
  <c r="AP39" i="69"/>
  <c r="AP43" i="69"/>
  <c r="AP47" i="69"/>
  <c r="AP51" i="69"/>
  <c r="AP55" i="69"/>
  <c r="AP59" i="69"/>
  <c r="AP63" i="69"/>
  <c r="AP67" i="69"/>
  <c r="AP71" i="69"/>
  <c r="AP75" i="69"/>
  <c r="AP79" i="69"/>
  <c r="AP83" i="69"/>
  <c r="AP87" i="69"/>
  <c r="AP91" i="69"/>
  <c r="AP95" i="69"/>
  <c r="AP99" i="69"/>
  <c r="AP103" i="69"/>
  <c r="AP107" i="69"/>
  <c r="AP12" i="69"/>
  <c r="AP16" i="69"/>
  <c r="AP20" i="69"/>
  <c r="AP24" i="69"/>
  <c r="AP28" i="69"/>
  <c r="AP32" i="69"/>
  <c r="AP36" i="69"/>
  <c r="AP40" i="69"/>
  <c r="AP44" i="69"/>
  <c r="AP48" i="69"/>
  <c r="AP52" i="69"/>
  <c r="AP56" i="69"/>
  <c r="AP60" i="69"/>
  <c r="AP64" i="69"/>
  <c r="AP68" i="69"/>
  <c r="AP72" i="69"/>
  <c r="AP76" i="69"/>
  <c r="AP80" i="69"/>
  <c r="AP84" i="69"/>
  <c r="AP88" i="69"/>
  <c r="AP92" i="69"/>
  <c r="AP96" i="69"/>
  <c r="AP100" i="69"/>
  <c r="AP104" i="69"/>
  <c r="AP13" i="69"/>
  <c r="AP17" i="69"/>
  <c r="AP21" i="69"/>
  <c r="AP25" i="69"/>
  <c r="AP29" i="69"/>
  <c r="AP33" i="69"/>
  <c r="AP37" i="69"/>
  <c r="AP41" i="69"/>
  <c r="AP45" i="69"/>
  <c r="AP49" i="69"/>
  <c r="AP53" i="69"/>
  <c r="AP57" i="69"/>
  <c r="AP61" i="69"/>
  <c r="AP65" i="69"/>
  <c r="AP69" i="69"/>
  <c r="AP73" i="69"/>
  <c r="AP77" i="69"/>
  <c r="AP81" i="69"/>
  <c r="AP85" i="69"/>
  <c r="AP89" i="69"/>
  <c r="AP93" i="69"/>
  <c r="AP97" i="69"/>
  <c r="AP101" i="69"/>
  <c r="AP105" i="69"/>
  <c r="AS93" i="1"/>
  <c r="AS77" i="1"/>
  <c r="AS61" i="1"/>
  <c r="AS45" i="1"/>
  <c r="AS29" i="1"/>
  <c r="AS13" i="1"/>
  <c r="AS96" i="1"/>
  <c r="AS80" i="1"/>
  <c r="AS64" i="1"/>
  <c r="AS48" i="1"/>
  <c r="AS32" i="1"/>
  <c r="AS16" i="1"/>
  <c r="AS99" i="1"/>
  <c r="AS83" i="1"/>
  <c r="AS67" i="1"/>
  <c r="AS51" i="1"/>
  <c r="AS35" i="1"/>
  <c r="AS19" i="1"/>
  <c r="AS102" i="1"/>
  <c r="AS86" i="1"/>
  <c r="AS70" i="1"/>
  <c r="AS54" i="1"/>
  <c r="AS38" i="1"/>
  <c r="AS22" i="1"/>
  <c r="AS105" i="1"/>
  <c r="AS89" i="1"/>
  <c r="AS73" i="1"/>
  <c r="AS57" i="1"/>
  <c r="AS41" i="1"/>
  <c r="AS25" i="1"/>
  <c r="AS10" i="1"/>
  <c r="AS92" i="1"/>
  <c r="AS76" i="1"/>
  <c r="AS60" i="1"/>
  <c r="AS44" i="1"/>
  <c r="AS28" i="1"/>
  <c r="AS12" i="1"/>
  <c r="AS95" i="1"/>
  <c r="AS79" i="1"/>
  <c r="AS63" i="1"/>
  <c r="AS47" i="1"/>
  <c r="AS31" i="1"/>
  <c r="AS15" i="1"/>
  <c r="AS98" i="1"/>
  <c r="AS82" i="1"/>
  <c r="AS66" i="1"/>
  <c r="AS50" i="1"/>
  <c r="AS34" i="1"/>
  <c r="AS18" i="1"/>
  <c r="AS101" i="1"/>
  <c r="AS85" i="1"/>
  <c r="AS69" i="1"/>
  <c r="AS53" i="1"/>
  <c r="AS37" i="1"/>
  <c r="AS21" i="1"/>
  <c r="AS104" i="1"/>
  <c r="AS88" i="1"/>
  <c r="AS72" i="1"/>
  <c r="AS56" i="1"/>
  <c r="AS40" i="1"/>
  <c r="AS24" i="1"/>
  <c r="AS107" i="1"/>
  <c r="AS91" i="1"/>
  <c r="AS75" i="1"/>
  <c r="AS59" i="1"/>
  <c r="AS43" i="1"/>
  <c r="AS27" i="1"/>
  <c r="AS11" i="1"/>
  <c r="AS94" i="1"/>
  <c r="AS78" i="1"/>
  <c r="AS62" i="1"/>
  <c r="AS46" i="1"/>
  <c r="AS30" i="1"/>
  <c r="AS14" i="1"/>
  <c r="AS97" i="1"/>
  <c r="AS81" i="1"/>
  <c r="AS65" i="1"/>
  <c r="AS49" i="1"/>
  <c r="AS33" i="1"/>
  <c r="AS17" i="1"/>
  <c r="AS100" i="1"/>
  <c r="AS84" i="1"/>
  <c r="AS68" i="1"/>
  <c r="AS52" i="1"/>
  <c r="AS36" i="1"/>
  <c r="AS20" i="1"/>
  <c r="AS103" i="1"/>
  <c r="AS87" i="1"/>
  <c r="AS71" i="1"/>
  <c r="AS55" i="1"/>
  <c r="AS39" i="1"/>
  <c r="AS23" i="1"/>
  <c r="AS106" i="1"/>
  <c r="AS90" i="1"/>
  <c r="AS74" i="1"/>
  <c r="AS58" i="1"/>
  <c r="AS42" i="1"/>
  <c r="AS26" i="1"/>
  <c r="AQ83" i="69"/>
  <c r="AR83" i="69" s="1"/>
  <c r="AS83" i="69" s="1"/>
  <c r="AQ99" i="69"/>
  <c r="AQ69" i="69"/>
  <c r="AQ58" i="69"/>
  <c r="AR58" i="69" s="1"/>
  <c r="AS58" i="69" s="1"/>
  <c r="AQ33" i="69"/>
  <c r="AR33" i="69" s="1"/>
  <c r="AS33" i="69" s="1"/>
  <c r="AQ46" i="69"/>
  <c r="AQ95" i="69"/>
  <c r="AQ101" i="69"/>
  <c r="AQ13" i="69"/>
  <c r="AR13" i="69" s="1"/>
  <c r="AS13" i="69" s="1"/>
  <c r="AQ31" i="69"/>
  <c r="AR31" i="69" s="1"/>
  <c r="AS31" i="69" s="1"/>
  <c r="AQ77" i="69"/>
  <c r="AR77" i="69" s="1"/>
  <c r="AS77" i="69" s="1"/>
  <c r="AQ65" i="69"/>
  <c r="AR65" i="69" s="1"/>
  <c r="AS65" i="69" s="1"/>
  <c r="AQ38" i="69"/>
  <c r="AR38" i="69" s="1"/>
  <c r="AS38" i="69" s="1"/>
  <c r="AQ11" i="69"/>
  <c r="AQ39" i="69"/>
  <c r="AR39" i="69" s="1"/>
  <c r="AS39" i="69" s="1"/>
  <c r="AQ92" i="69"/>
  <c r="AQ54" i="69"/>
  <c r="AR54" i="69" s="1"/>
  <c r="AS54" i="69" s="1"/>
  <c r="AQ86" i="69"/>
  <c r="AQ42" i="69"/>
  <c r="AR42" i="69" s="1"/>
  <c r="AS42" i="69" s="1"/>
  <c r="AQ102" i="69"/>
  <c r="AQ15" i="69"/>
  <c r="AQ27" i="69"/>
  <c r="AQ63" i="69"/>
  <c r="AQ75" i="69"/>
  <c r="AQ97" i="69"/>
  <c r="AR97" i="69" s="1"/>
  <c r="AS97" i="69" s="1"/>
  <c r="AQ41" i="69"/>
  <c r="AR41" i="69" s="1"/>
  <c r="AS41" i="69" s="1"/>
  <c r="AQ64" i="69"/>
  <c r="AR64" i="69" s="1"/>
  <c r="AS64" i="69" s="1"/>
  <c r="AQ47" i="69"/>
  <c r="AQ67" i="69"/>
  <c r="AR67" i="69" s="1"/>
  <c r="AS67" i="69" s="1"/>
  <c r="AQ88" i="69"/>
  <c r="AQ37" i="69"/>
  <c r="AQ28" i="69"/>
  <c r="AQ68" i="69"/>
  <c r="AR68" i="69" s="1"/>
  <c r="AS68" i="69" s="1"/>
  <c r="AQ26" i="69"/>
  <c r="AR26" i="69" s="1"/>
  <c r="AS26" i="69" s="1"/>
  <c r="AQ36" i="69"/>
  <c r="AR36" i="69" s="1"/>
  <c r="AS36" i="69" s="1"/>
  <c r="AQ107" i="69"/>
  <c r="AQ53" i="69"/>
  <c r="AR53" i="69" s="1"/>
  <c r="AS53" i="69" s="1"/>
  <c r="AQ40" i="69"/>
  <c r="AQ87" i="69"/>
  <c r="AR87" i="69" s="1"/>
  <c r="AS87" i="69" s="1"/>
  <c r="AQ18" i="69"/>
  <c r="AQ85" i="69"/>
  <c r="AR85" i="69" s="1"/>
  <c r="AS85" i="69" s="1"/>
  <c r="AQ35" i="69"/>
  <c r="AQ45" i="69"/>
  <c r="AR45" i="69" s="1"/>
  <c r="AS45" i="69" s="1"/>
  <c r="AQ79" i="69"/>
  <c r="AQ29" i="69"/>
  <c r="AR29" i="69" s="1"/>
  <c r="AS29" i="69" s="1"/>
  <c r="AQ17" i="69"/>
  <c r="AR17" i="69" s="1"/>
  <c r="AS17" i="69" s="1"/>
  <c r="AQ49" i="69"/>
  <c r="AR49" i="69" s="1"/>
  <c r="AS49" i="69" s="1"/>
  <c r="AQ66" i="69"/>
  <c r="AQ50" i="69"/>
  <c r="AQ44" i="69"/>
  <c r="AR44" i="69" s="1"/>
  <c r="AS44" i="69" s="1"/>
  <c r="AQ23" i="69"/>
  <c r="AR23" i="69" s="1"/>
  <c r="AS23" i="69" s="1"/>
  <c r="AQ14" i="69"/>
  <c r="AQ106" i="69"/>
  <c r="AR106" i="69" s="1"/>
  <c r="AS106" i="69" s="1"/>
  <c r="AQ34" i="69"/>
  <c r="AR34" i="69" s="1"/>
  <c r="AS34" i="69" s="1"/>
  <c r="AQ30" i="69"/>
  <c r="AQ48" i="69"/>
  <c r="AQ25" i="69"/>
  <c r="AQ73" i="69"/>
  <c r="AR73" i="69" s="1"/>
  <c r="AS73" i="69" s="1"/>
  <c r="AQ55" i="69"/>
  <c r="AR55" i="69" s="1"/>
  <c r="AS55" i="69" s="1"/>
  <c r="AQ84" i="69"/>
  <c r="AR84" i="69" s="1"/>
  <c r="AS84" i="69" s="1"/>
  <c r="AQ100" i="69"/>
  <c r="AR100" i="69" s="1"/>
  <c r="AS100" i="69" s="1"/>
  <c r="AQ19" i="69"/>
  <c r="AQ57" i="69"/>
  <c r="AQ43" i="69"/>
  <c r="AQ61" i="69"/>
  <c r="AR61" i="69" s="1"/>
  <c r="AS61" i="69" s="1"/>
  <c r="AQ56" i="69"/>
  <c r="AQ94" i="69"/>
  <c r="AQ80" i="69"/>
  <c r="AQ32" i="69"/>
  <c r="AR32" i="69" s="1"/>
  <c r="AS32" i="69" s="1"/>
  <c r="AQ103" i="69"/>
  <c r="AR103" i="69" s="1"/>
  <c r="AS103" i="69" s="1"/>
  <c r="AQ96" i="69"/>
  <c r="AR96" i="69" s="1"/>
  <c r="AS96" i="69" s="1"/>
  <c r="AQ20" i="69"/>
  <c r="AQ72" i="69"/>
  <c r="AR72" i="69" s="1"/>
  <c r="AS72" i="69" s="1"/>
  <c r="AQ59" i="69"/>
  <c r="AQ91" i="69"/>
  <c r="AQ22" i="69"/>
  <c r="AQ74" i="69"/>
  <c r="AR74" i="69" s="1"/>
  <c r="AS74" i="69" s="1"/>
  <c r="AQ12" i="69"/>
  <c r="AR12" i="69" s="1"/>
  <c r="AS12" i="69" s="1"/>
  <c r="AQ52" i="69"/>
  <c r="AR52" i="69" s="1"/>
  <c r="AS52" i="69" s="1"/>
  <c r="AQ70" i="69"/>
  <c r="AQ60" i="69"/>
  <c r="AQ89" i="69"/>
  <c r="AR89" i="69" s="1"/>
  <c r="AS89" i="69" s="1"/>
  <c r="AQ16" i="69"/>
  <c r="AR16" i="69" s="1"/>
  <c r="AS16" i="69" s="1"/>
  <c r="AQ93" i="69"/>
  <c r="AQ81" i="69"/>
  <c r="AR81" i="69" s="1"/>
  <c r="AS81" i="69" s="1"/>
  <c r="AQ90" i="69"/>
  <c r="AR90" i="69" s="1"/>
  <c r="AS90" i="69" s="1"/>
  <c r="AQ104" i="69"/>
  <c r="AQ71" i="69"/>
  <c r="AR71" i="69" s="1"/>
  <c r="AS71" i="69" s="1"/>
  <c r="AQ105" i="69"/>
  <c r="AQ21" i="69"/>
  <c r="AQ98" i="69"/>
  <c r="AQ76" i="69"/>
  <c r="AQ82" i="69"/>
  <c r="AQ24" i="69"/>
  <c r="AQ62" i="69"/>
  <c r="AQ51" i="69"/>
  <c r="AQ78" i="69"/>
  <c r="AR78" i="69" s="1"/>
  <c r="AS78" i="69" s="1"/>
  <c r="AM18" i="42"/>
  <c r="AM60" i="42"/>
  <c r="AM76" i="42"/>
  <c r="AM92" i="42"/>
  <c r="AM104" i="42"/>
  <c r="AM107" i="42"/>
  <c r="AM21" i="42"/>
  <c r="AM25" i="42"/>
  <c r="AM61" i="42"/>
  <c r="AM77" i="42"/>
  <c r="AM66" i="42"/>
  <c r="AM82" i="42"/>
  <c r="AM99" i="42"/>
  <c r="AM12" i="42"/>
  <c r="AM48" i="42"/>
  <c r="AM84" i="42"/>
  <c r="AM96" i="42"/>
  <c r="AM22" i="42"/>
  <c r="AM37" i="42"/>
  <c r="AM42" i="42"/>
  <c r="AM43" i="42"/>
  <c r="AM83" i="42"/>
  <c r="AM16" i="42"/>
  <c r="AM24" i="42"/>
  <c r="AM68" i="42"/>
  <c r="AM80" i="42"/>
  <c r="AM108" i="42"/>
  <c r="AM30" i="42"/>
  <c r="AM62" i="42"/>
  <c r="AM31" i="42"/>
  <c r="AM17" i="42"/>
  <c r="AM29" i="42"/>
  <c r="AM69" i="42"/>
  <c r="AM85" i="42"/>
  <c r="AM109" i="42"/>
  <c r="AM74" i="42"/>
  <c r="AM90" i="42"/>
  <c r="AM51" i="42"/>
  <c r="AM32" i="42"/>
  <c r="AM44" i="42"/>
  <c r="AM38" i="42"/>
  <c r="AM78" i="42"/>
  <c r="AM89" i="42"/>
  <c r="AM105" i="42"/>
  <c r="AM93" i="42"/>
  <c r="AM57" i="42"/>
  <c r="AM41" i="42"/>
  <c r="AM87" i="42"/>
  <c r="AM47" i="42"/>
  <c r="AM11" i="42"/>
  <c r="AM70" i="42"/>
  <c r="AM88" i="42"/>
  <c r="AM52" i="42"/>
  <c r="AM20" i="42"/>
  <c r="AM35" i="42"/>
  <c r="AM58" i="42"/>
  <c r="AM54" i="42"/>
  <c r="AM91" i="42"/>
  <c r="AM26" i="42"/>
  <c r="AM81" i="42"/>
  <c r="AM53" i="42"/>
  <c r="AM33" i="42"/>
  <c r="AM71" i="42"/>
  <c r="AM39" i="42"/>
  <c r="AM106" i="42"/>
  <c r="AM46" i="42"/>
  <c r="AM72" i="42"/>
  <c r="AM40" i="42"/>
  <c r="AM103" i="42"/>
  <c r="AM27" i="42"/>
  <c r="AM50" i="42"/>
  <c r="AM10" i="42"/>
  <c r="AM59" i="42"/>
  <c r="AM101" i="42"/>
  <c r="AM73" i="42"/>
  <c r="AM49" i="42"/>
  <c r="AM13" i="42"/>
  <c r="AM63" i="42"/>
  <c r="AM23" i="42"/>
  <c r="AM94" i="42"/>
  <c r="AM14" i="42"/>
  <c r="AM64" i="42"/>
  <c r="AM36" i="42"/>
  <c r="AM75" i="42"/>
  <c r="AM19" i="42"/>
  <c r="AM102" i="42"/>
  <c r="AM97" i="42"/>
  <c r="AM65" i="42"/>
  <c r="AM45" i="42"/>
  <c r="AM95" i="42"/>
  <c r="AM55" i="42"/>
  <c r="AM15" i="42"/>
  <c r="AM86" i="42"/>
  <c r="AM100" i="42"/>
  <c r="AM56" i="42"/>
  <c r="AM28" i="42"/>
  <c r="AM67" i="42"/>
  <c r="AM98" i="42"/>
  <c r="AM79" i="42"/>
  <c r="AM34" i="42"/>
  <c r="AL48" i="42"/>
  <c r="AL19" i="42"/>
  <c r="AL83" i="42"/>
  <c r="AL70" i="42"/>
  <c r="AN70" i="42" s="1"/>
  <c r="AL49" i="42"/>
  <c r="AL38" i="42"/>
  <c r="AL102" i="42"/>
  <c r="AL15" i="42"/>
  <c r="AL36" i="42"/>
  <c r="AL59" i="42"/>
  <c r="AL41" i="42"/>
  <c r="AL105" i="42"/>
  <c r="AL108" i="42"/>
  <c r="AL44" i="42"/>
  <c r="AL78" i="42"/>
  <c r="AL23" i="42"/>
  <c r="AN23" i="42" s="1"/>
  <c r="AL55" i="42"/>
  <c r="AL87" i="42"/>
  <c r="AL60" i="42"/>
  <c r="AL54" i="42"/>
  <c r="AN54" i="42" s="1"/>
  <c r="AL18" i="42"/>
  <c r="AL21" i="42"/>
  <c r="AL53" i="42"/>
  <c r="AL85" i="42"/>
  <c r="AL11" i="42"/>
  <c r="AT58" i="71"/>
  <c r="AT47" i="71"/>
  <c r="AT30" i="71"/>
  <c r="AT12" i="71"/>
  <c r="AT89" i="71"/>
  <c r="AT27" i="71"/>
  <c r="AT36" i="71"/>
  <c r="AT100" i="71"/>
  <c r="AV100" i="71" s="1"/>
  <c r="AW100" i="71" s="1"/>
  <c r="AT32" i="71"/>
  <c r="AT23" i="71"/>
  <c r="AT104" i="71"/>
  <c r="AT18" i="71"/>
  <c r="AV18" i="71" s="1"/>
  <c r="AW18" i="71" s="1"/>
  <c r="AT77" i="71"/>
  <c r="AT46" i="71"/>
  <c r="AT86" i="71"/>
  <c r="AT95" i="71"/>
  <c r="AT96" i="71"/>
  <c r="AT69" i="71"/>
  <c r="AT17" i="71"/>
  <c r="AT76" i="71"/>
  <c r="AT35" i="71"/>
  <c r="AL62" i="42"/>
  <c r="AL35" i="42"/>
  <c r="AN35" i="42" s="1"/>
  <c r="AL99" i="42"/>
  <c r="AL82" i="42"/>
  <c r="AL65" i="42"/>
  <c r="AL58" i="42"/>
  <c r="AL50" i="42"/>
  <c r="AL75" i="42"/>
  <c r="AL72" i="42"/>
  <c r="AL28" i="42"/>
  <c r="AL57" i="42"/>
  <c r="AL84" i="42"/>
  <c r="AL109" i="42"/>
  <c r="AL40" i="42"/>
  <c r="AL30" i="42"/>
  <c r="AL31" i="42"/>
  <c r="AL63" i="42"/>
  <c r="AL95" i="42"/>
  <c r="AL56" i="42"/>
  <c r="AL86" i="42"/>
  <c r="AL34" i="42"/>
  <c r="AL29" i="42"/>
  <c r="AL61" i="42"/>
  <c r="AL93" i="42"/>
  <c r="AT10" i="71"/>
  <c r="AT74" i="71"/>
  <c r="AT51" i="71"/>
  <c r="AT54" i="71"/>
  <c r="AV54" i="71" s="1"/>
  <c r="AW54" i="71" s="1"/>
  <c r="AT80" i="71"/>
  <c r="AT33" i="71"/>
  <c r="AT65" i="71"/>
  <c r="AT52" i="71"/>
  <c r="AT108" i="71"/>
  <c r="AT63" i="71"/>
  <c r="AV63" i="71" s="1"/>
  <c r="AW63" i="71" s="1"/>
  <c r="AT39" i="71"/>
  <c r="AT102" i="71"/>
  <c r="AV102" i="71" s="1"/>
  <c r="AW102" i="71" s="1"/>
  <c r="AT49" i="71"/>
  <c r="AT109" i="71"/>
  <c r="AT56" i="71"/>
  <c r="AT82" i="71"/>
  <c r="AT15" i="71"/>
  <c r="AT105" i="71"/>
  <c r="AV105" i="71" s="1"/>
  <c r="AW105" i="71" s="1"/>
  <c r="AT73" i="71"/>
  <c r="AT25" i="71"/>
  <c r="AT92" i="71"/>
  <c r="AT91" i="71"/>
  <c r="AL10" i="42"/>
  <c r="AL26" i="42"/>
  <c r="AL51" i="42"/>
  <c r="AL92" i="42"/>
  <c r="AL17" i="42"/>
  <c r="AL81" i="42"/>
  <c r="AL106" i="42"/>
  <c r="AL20" i="42"/>
  <c r="AL91" i="42"/>
  <c r="AL27" i="42"/>
  <c r="AL104" i="42"/>
  <c r="AL73" i="42"/>
  <c r="AL52" i="42"/>
  <c r="AL24" i="42"/>
  <c r="AL80" i="42"/>
  <c r="AL42" i="42"/>
  <c r="AL39" i="42"/>
  <c r="AL71" i="42"/>
  <c r="AL103" i="42"/>
  <c r="AL32" i="42"/>
  <c r="AL14" i="42"/>
  <c r="AL66" i="42"/>
  <c r="AL37" i="42"/>
  <c r="AL69" i="42"/>
  <c r="AL101" i="42"/>
  <c r="AT26" i="71"/>
  <c r="AT90" i="71"/>
  <c r="AT55" i="71"/>
  <c r="AT98" i="71"/>
  <c r="AT41" i="71"/>
  <c r="AT70" i="71"/>
  <c r="AT50" i="71"/>
  <c r="AT68" i="71"/>
  <c r="AT88" i="71"/>
  <c r="AT79" i="71"/>
  <c r="AT59" i="71"/>
  <c r="AT22" i="71"/>
  <c r="AT66" i="71"/>
  <c r="AT13" i="71"/>
  <c r="AT62" i="71"/>
  <c r="AT43" i="71"/>
  <c r="AT31" i="71"/>
  <c r="AV31" i="71" s="1"/>
  <c r="AW31" i="71" s="1"/>
  <c r="AT101" i="71"/>
  <c r="AT53" i="71"/>
  <c r="AV53" i="71" s="1"/>
  <c r="AW53" i="71" s="1"/>
  <c r="AT60" i="71"/>
  <c r="AT24" i="71"/>
  <c r="AT83" i="71"/>
  <c r="AL76" i="42"/>
  <c r="AL90" i="42"/>
  <c r="AL67" i="42"/>
  <c r="AL64" i="42"/>
  <c r="AL33" i="42"/>
  <c r="AL97" i="42"/>
  <c r="AL22" i="42"/>
  <c r="AL13" i="42"/>
  <c r="AL107" i="42"/>
  <c r="AL43" i="42"/>
  <c r="AL25" i="42"/>
  <c r="AL89" i="42"/>
  <c r="AL100" i="42"/>
  <c r="AL12" i="42"/>
  <c r="AL46" i="42"/>
  <c r="AL74" i="42"/>
  <c r="AL47" i="42"/>
  <c r="AL79" i="42"/>
  <c r="AL88" i="42"/>
  <c r="AL96" i="42"/>
  <c r="AL94" i="42"/>
  <c r="AL98" i="42"/>
  <c r="AL45" i="42"/>
  <c r="AL77" i="42"/>
  <c r="AL16" i="42"/>
  <c r="AN16" i="42" s="1"/>
  <c r="AT38" i="71"/>
  <c r="AT106" i="71"/>
  <c r="AT99" i="71"/>
  <c r="AT34" i="71"/>
  <c r="AT61" i="71"/>
  <c r="AT11" i="71"/>
  <c r="AT20" i="71"/>
  <c r="AT84" i="71"/>
  <c r="AT107" i="71"/>
  <c r="AT48" i="71"/>
  <c r="AT87" i="71"/>
  <c r="AV87" i="71" s="1"/>
  <c r="AW87" i="71" s="1"/>
  <c r="AT81" i="71"/>
  <c r="AT94" i="71"/>
  <c r="AT37" i="71"/>
  <c r="AT72" i="71"/>
  <c r="AT28" i="71"/>
  <c r="AV28" i="71" s="1"/>
  <c r="AW28" i="71" s="1"/>
  <c r="AT75" i="71"/>
  <c r="AT42" i="71"/>
  <c r="AT14" i="71"/>
  <c r="AT64" i="71"/>
  <c r="AT19" i="71"/>
  <c r="AV19" i="71" s="1"/>
  <c r="AW19" i="71" s="1"/>
  <c r="AT21" i="71"/>
  <c r="AT57" i="71"/>
  <c r="AT67" i="71"/>
  <c r="AT71" i="71"/>
  <c r="AS77" i="70"/>
  <c r="AS102" i="70"/>
  <c r="AS99" i="70"/>
  <c r="AS61" i="70"/>
  <c r="AS62" i="70"/>
  <c r="AS86" i="70"/>
  <c r="AS19" i="70"/>
  <c r="AS76" i="70"/>
  <c r="AS56" i="70"/>
  <c r="AS103" i="70"/>
  <c r="AS69" i="70"/>
  <c r="AU69" i="70" s="1"/>
  <c r="AS80" i="70"/>
  <c r="AS25" i="70"/>
  <c r="AS66" i="70"/>
  <c r="AS53" i="70"/>
  <c r="AS65" i="70"/>
  <c r="AS60" i="70"/>
  <c r="AS41" i="70"/>
  <c r="AS34" i="70"/>
  <c r="AS68" i="70"/>
  <c r="AS32" i="70"/>
  <c r="AS87" i="70"/>
  <c r="AS15" i="70"/>
  <c r="AS18" i="70"/>
  <c r="AT16" i="71"/>
  <c r="AT45" i="71"/>
  <c r="AT93" i="71"/>
  <c r="AT78" i="71"/>
  <c r="AV78" i="71" s="1"/>
  <c r="AW78" i="71" s="1"/>
  <c r="AS75" i="70"/>
  <c r="AS78" i="70"/>
  <c r="AS83" i="70"/>
  <c r="AU83" i="70" s="1"/>
  <c r="AS29" i="70"/>
  <c r="AS14" i="70"/>
  <c r="AS54" i="70"/>
  <c r="AS93" i="70"/>
  <c r="AS44" i="70"/>
  <c r="AS90" i="70"/>
  <c r="AS63" i="70"/>
  <c r="AS52" i="70"/>
  <c r="AS48" i="70"/>
  <c r="AS72" i="70"/>
  <c r="AS95" i="70"/>
  <c r="AS37" i="70"/>
  <c r="AS49" i="70"/>
  <c r="AS38" i="70"/>
  <c r="AU38" i="70" s="1"/>
  <c r="AS24" i="70"/>
  <c r="AS71" i="70"/>
  <c r="AS20" i="70"/>
  <c r="AS104" i="70"/>
  <c r="AS79" i="70"/>
  <c r="AS100" i="70"/>
  <c r="AS33" i="70"/>
  <c r="AT85" i="71"/>
  <c r="AT40" i="71"/>
  <c r="AT103" i="71"/>
  <c r="AS59" i="70"/>
  <c r="AS51" i="70"/>
  <c r="AS22" i="70"/>
  <c r="AS27" i="70"/>
  <c r="AS70" i="70"/>
  <c r="AS30" i="70"/>
  <c r="AS91" i="70"/>
  <c r="AS13" i="70"/>
  <c r="AS88" i="70"/>
  <c r="AS58" i="70"/>
  <c r="AS101" i="70"/>
  <c r="AS81" i="70"/>
  <c r="AS57" i="70"/>
  <c r="AS98" i="70"/>
  <c r="AS85" i="70"/>
  <c r="AS97" i="70"/>
  <c r="AS92" i="70"/>
  <c r="AS89" i="70"/>
  <c r="AU89" i="70" s="1"/>
  <c r="AS42" i="70"/>
  <c r="AS21" i="70"/>
  <c r="AS64" i="70"/>
  <c r="AS50" i="70"/>
  <c r="AU50" i="70" s="1"/>
  <c r="AV50" i="70" s="1"/>
  <c r="AS23" i="70"/>
  <c r="AS26" i="70"/>
  <c r="AR10" i="1"/>
  <c r="AT97" i="71"/>
  <c r="AT29" i="71"/>
  <c r="AT44" i="71"/>
  <c r="AS67" i="70"/>
  <c r="AS46" i="70"/>
  <c r="AU46" i="70" s="1"/>
  <c r="AS35" i="70"/>
  <c r="AS28" i="70"/>
  <c r="AS94" i="70"/>
  <c r="AS107" i="70"/>
  <c r="AS45" i="70"/>
  <c r="AS12" i="70"/>
  <c r="AU12" i="70" s="1"/>
  <c r="AS82" i="70"/>
  <c r="AS31" i="70"/>
  <c r="AS10" i="70"/>
  <c r="AS16" i="70"/>
  <c r="AS40" i="70"/>
  <c r="AS39" i="70"/>
  <c r="AS84" i="70"/>
  <c r="AS17" i="70"/>
  <c r="AS105" i="70"/>
  <c r="AS106" i="70"/>
  <c r="AU106" i="70" s="1"/>
  <c r="AS47" i="70"/>
  <c r="AS96" i="70"/>
  <c r="AU96" i="70" s="1"/>
  <c r="AS74" i="70"/>
  <c r="AS55" i="70"/>
  <c r="AS36" i="70"/>
  <c r="AL68" i="42"/>
  <c r="AS11" i="70"/>
  <c r="AR33" i="1"/>
  <c r="AS73" i="70"/>
  <c r="AR11" i="1"/>
  <c r="AS43" i="70"/>
  <c r="AR22" i="1"/>
  <c r="AR30" i="1"/>
  <c r="AR86" i="1"/>
  <c r="AR63" i="1"/>
  <c r="AR56" i="1"/>
  <c r="AR89" i="1"/>
  <c r="AR46" i="1"/>
  <c r="AR39" i="1"/>
  <c r="AR91" i="1"/>
  <c r="AR37" i="1"/>
  <c r="AR28" i="1"/>
  <c r="AR69" i="1"/>
  <c r="AR13" i="1"/>
  <c r="AT13" i="1" s="1"/>
  <c r="AR18" i="1"/>
  <c r="AR70" i="1"/>
  <c r="AR31" i="1"/>
  <c r="AR20" i="1"/>
  <c r="AR65" i="1"/>
  <c r="AR41" i="1"/>
  <c r="AR94" i="1"/>
  <c r="AR67" i="1"/>
  <c r="AR68" i="1"/>
  <c r="AR87" i="1"/>
  <c r="AR92" i="1"/>
  <c r="AQ10" i="69"/>
  <c r="AR50" i="1"/>
  <c r="AR106" i="1"/>
  <c r="AR83" i="1"/>
  <c r="AR88" i="1"/>
  <c r="AR15" i="1"/>
  <c r="AR66" i="1"/>
  <c r="AT66" i="1" s="1"/>
  <c r="AR51" i="1"/>
  <c r="AR52" i="1"/>
  <c r="AR93" i="1"/>
  <c r="AR48" i="1"/>
  <c r="AR85" i="1"/>
  <c r="AR25" i="1"/>
  <c r="AT25" i="1" s="1"/>
  <c r="AR26" i="1"/>
  <c r="AR82" i="1"/>
  <c r="AR47" i="1"/>
  <c r="AR44" i="1"/>
  <c r="AR81" i="1"/>
  <c r="AR42" i="1"/>
  <c r="AR27" i="1"/>
  <c r="AR79" i="1"/>
  <c r="AR21" i="1"/>
  <c r="AR107" i="1"/>
  <c r="AR57" i="1"/>
  <c r="AR24" i="1"/>
  <c r="AR62" i="1"/>
  <c r="AR23" i="1"/>
  <c r="AR103" i="1"/>
  <c r="AR104" i="1"/>
  <c r="AR29" i="1"/>
  <c r="AR90" i="1"/>
  <c r="AT90" i="1" s="1"/>
  <c r="AR59" i="1"/>
  <c r="AR64" i="1"/>
  <c r="AR12" i="1"/>
  <c r="AR84" i="1"/>
  <c r="AR17" i="1"/>
  <c r="AR45" i="1"/>
  <c r="AR38" i="1"/>
  <c r="AR98" i="1"/>
  <c r="AR75" i="1"/>
  <c r="AR80" i="1"/>
  <c r="AR105" i="1"/>
  <c r="AR58" i="1"/>
  <c r="AR43" i="1"/>
  <c r="AR32" i="1"/>
  <c r="AR49" i="1"/>
  <c r="AR40" i="1"/>
  <c r="AR77" i="1"/>
  <c r="AR53" i="1"/>
  <c r="AR74" i="1"/>
  <c r="AR35" i="1"/>
  <c r="AR36" i="1"/>
  <c r="AR73" i="1"/>
  <c r="AR34" i="1"/>
  <c r="AR102" i="1"/>
  <c r="AR71" i="1"/>
  <c r="AR76" i="1"/>
  <c r="AR99" i="1"/>
  <c r="AR100" i="1"/>
  <c r="AR14" i="1"/>
  <c r="AR61" i="1"/>
  <c r="AR54" i="1"/>
  <c r="AR19" i="1"/>
  <c r="AR95" i="1"/>
  <c r="AR96" i="1"/>
  <c r="AR16" i="1"/>
  <c r="AR78" i="1"/>
  <c r="AR55" i="1"/>
  <c r="AR60" i="1"/>
  <c r="AT60" i="1" s="1"/>
  <c r="AR97" i="1"/>
  <c r="AR72" i="1"/>
  <c r="AT72" i="1" s="1"/>
  <c r="AR101" i="1"/>
  <c r="AN61" i="42"/>
  <c r="AN69" i="42"/>
  <c r="AN45" i="42"/>
  <c r="AN103" i="42"/>
  <c r="AN18" i="42"/>
  <c r="AN104" i="42"/>
  <c r="AN109" i="42"/>
  <c r="AO109" i="42" s="1"/>
  <c r="AN108" i="42"/>
  <c r="AO108" i="42" s="1"/>
  <c r="AN38" i="42"/>
  <c r="AN39" i="42"/>
  <c r="AN62" i="42"/>
  <c r="AU55" i="70"/>
  <c r="AV55" i="70" s="1"/>
  <c r="AU36" i="70"/>
  <c r="AU40" i="70"/>
  <c r="AU20" i="70"/>
  <c r="AU18" i="70"/>
  <c r="AU39" i="70"/>
  <c r="AU19" i="70"/>
  <c r="AU16" i="70"/>
  <c r="AU15" i="70"/>
  <c r="AV13" i="71"/>
  <c r="AW13" i="71" s="1"/>
  <c r="AU14" i="70"/>
  <c r="AU45" i="70"/>
  <c r="AU88" i="70"/>
  <c r="AU47" i="70"/>
  <c r="AU76" i="70"/>
  <c r="AU79" i="70"/>
  <c r="AU66" i="70"/>
  <c r="AU41" i="70"/>
  <c r="AU49" i="70"/>
  <c r="AU37" i="70"/>
  <c r="AV35" i="71"/>
  <c r="AW35" i="71" s="1"/>
  <c r="AU67" i="70"/>
  <c r="AU74" i="70"/>
  <c r="AU65" i="70"/>
  <c r="AV101" i="71"/>
  <c r="AW101" i="71" s="1"/>
  <c r="AV27" i="71"/>
  <c r="AW27" i="71" s="1"/>
  <c r="AU87" i="70"/>
  <c r="AU64" i="70"/>
  <c r="AU104" i="70"/>
  <c r="AU27" i="70"/>
  <c r="AV49" i="71"/>
  <c r="AW49" i="71" s="1"/>
  <c r="AU101" i="70"/>
  <c r="AV59" i="71"/>
  <c r="AW59" i="71" s="1"/>
  <c r="AU75" i="70"/>
  <c r="AU71" i="70"/>
  <c r="AU72" i="70"/>
  <c r="AV46" i="71"/>
  <c r="AW46" i="71" s="1"/>
  <c r="AV11" i="71"/>
  <c r="AW11" i="71" s="1"/>
  <c r="AU77" i="70"/>
  <c r="AV77" i="70" s="1"/>
  <c r="AU56" i="70"/>
  <c r="AU98" i="70"/>
  <c r="AV92" i="71"/>
  <c r="AW92" i="71" s="1"/>
  <c r="AV23" i="71"/>
  <c r="AW23" i="71" s="1"/>
  <c r="AV99" i="71"/>
  <c r="AW99" i="71" s="1"/>
  <c r="AU25" i="70"/>
  <c r="AN53" i="42"/>
  <c r="AT14" i="1"/>
  <c r="AT58" i="1"/>
  <c r="AT20" i="1"/>
  <c r="AT95" i="1"/>
  <c r="AT57" i="1"/>
  <c r="AT83" i="1"/>
  <c r="AT43" i="1"/>
  <c r="AT37" i="1"/>
  <c r="AT69" i="1"/>
  <c r="AT77" i="1"/>
  <c r="AT89" i="1"/>
  <c r="AN98" i="42" l="1"/>
  <c r="AN95" i="42"/>
  <c r="AN64" i="42"/>
  <c r="AN101" i="42"/>
  <c r="AN27" i="42"/>
  <c r="AN57" i="42"/>
  <c r="AN85" i="42"/>
  <c r="AN80" i="42"/>
  <c r="AN83" i="42"/>
  <c r="AN22" i="42"/>
  <c r="AN107" i="42"/>
  <c r="AT42" i="1"/>
  <c r="AT71" i="1"/>
  <c r="AT100" i="1"/>
  <c r="AT65" i="1"/>
  <c r="AT30" i="1"/>
  <c r="AT59" i="1"/>
  <c r="AT24" i="1"/>
  <c r="AT88" i="1"/>
  <c r="AT18" i="1"/>
  <c r="AT82" i="1"/>
  <c r="AT76" i="1"/>
  <c r="AT41" i="1"/>
  <c r="AT105" i="1"/>
  <c r="AT70" i="1"/>
  <c r="AT64" i="1"/>
  <c r="AT29" i="1"/>
  <c r="AT93" i="1"/>
  <c r="AU61" i="70"/>
  <c r="AV37" i="71"/>
  <c r="AW37" i="71" s="1"/>
  <c r="AV32" i="71"/>
  <c r="AW32" i="71" s="1"/>
  <c r="AV36" i="71"/>
  <c r="AW36" i="71" s="1"/>
  <c r="AV70" i="71"/>
  <c r="AW70" i="71" s="1"/>
  <c r="AV15" i="71"/>
  <c r="AW15" i="71" s="1"/>
  <c r="AV82" i="71"/>
  <c r="AW82" i="71" s="1"/>
  <c r="AV106" i="71"/>
  <c r="AW106" i="71" s="1"/>
  <c r="AT17" i="1"/>
  <c r="AT11" i="1"/>
  <c r="AT75" i="1"/>
  <c r="AT63" i="1"/>
  <c r="AT92" i="1"/>
  <c r="AU42" i="70"/>
  <c r="AU52" i="70"/>
  <c r="AU44" i="70"/>
  <c r="AU107" i="70"/>
  <c r="AU70" i="70"/>
  <c r="AU90" i="70"/>
  <c r="AU63" i="70"/>
  <c r="AV63" i="70" s="1"/>
  <c r="AU31" i="70"/>
  <c r="AU81" i="70"/>
  <c r="AV81" i="70" s="1"/>
  <c r="AV69" i="71"/>
  <c r="AW69" i="71" s="1"/>
  <c r="AV40" i="71"/>
  <c r="AW40" i="71" s="1"/>
  <c r="AV68" i="71"/>
  <c r="AW68" i="71" s="1"/>
  <c r="AV83" i="71"/>
  <c r="AW83" i="71" s="1"/>
  <c r="AN15" i="42"/>
  <c r="AN65" i="42"/>
  <c r="AN75" i="42"/>
  <c r="AN40" i="42"/>
  <c r="AN81" i="42"/>
  <c r="AN105" i="42"/>
  <c r="AN29" i="42"/>
  <c r="AN30" i="42"/>
  <c r="AN24" i="42"/>
  <c r="AN42" i="42"/>
  <c r="AN84" i="42"/>
  <c r="AN25" i="42"/>
  <c r="AN92" i="42"/>
  <c r="AT74" i="1"/>
  <c r="AT103" i="1"/>
  <c r="AT33" i="1"/>
  <c r="AT97" i="1"/>
  <c r="AT62" i="1"/>
  <c r="AT27" i="1"/>
  <c r="AT91" i="1"/>
  <c r="AT56" i="1"/>
  <c r="AT15" i="1"/>
  <c r="AT79" i="1"/>
  <c r="AT44" i="1"/>
  <c r="AT96" i="1"/>
  <c r="AT61" i="1"/>
  <c r="AN79" i="42"/>
  <c r="AN55" i="42"/>
  <c r="AN97" i="42"/>
  <c r="AN89" i="42"/>
  <c r="AU48" i="70"/>
  <c r="AU13" i="70"/>
  <c r="AU43" i="70"/>
  <c r="AU54" i="70"/>
  <c r="AU57" i="70"/>
  <c r="AU85" i="70"/>
  <c r="AU53" i="70"/>
  <c r="AV75" i="71"/>
  <c r="AW75" i="71" s="1"/>
  <c r="AV73" i="71"/>
  <c r="AW73" i="71" s="1"/>
  <c r="AV39" i="71"/>
  <c r="AW39" i="71" s="1"/>
  <c r="AV97" i="71"/>
  <c r="AW97" i="71" s="1"/>
  <c r="AV88" i="71"/>
  <c r="AW88" i="71" s="1"/>
  <c r="AV107" i="71"/>
  <c r="AW107" i="71" s="1"/>
  <c r="AV77" i="71"/>
  <c r="AW77" i="71" s="1"/>
  <c r="AV26" i="71"/>
  <c r="AW26" i="71" s="1"/>
  <c r="AV64" i="71"/>
  <c r="AW64" i="71" s="1"/>
  <c r="AV84" i="71"/>
  <c r="AW84" i="71" s="1"/>
  <c r="AV55" i="71"/>
  <c r="AW55" i="71" s="1"/>
  <c r="AV33" i="71"/>
  <c r="AW33" i="71" s="1"/>
  <c r="AV17" i="71"/>
  <c r="AW17" i="71" s="1"/>
  <c r="AV86" i="71"/>
  <c r="AW86" i="71" s="1"/>
  <c r="AV80" i="71"/>
  <c r="AW80" i="71" s="1"/>
  <c r="AV56" i="71"/>
  <c r="AW56" i="71" s="1"/>
  <c r="AV21" i="71"/>
  <c r="AW21" i="71" s="1"/>
  <c r="AV76" i="71"/>
  <c r="AW76" i="71" s="1"/>
  <c r="AV16" i="71"/>
  <c r="AW16" i="71" s="1"/>
  <c r="AV90" i="71"/>
  <c r="AW90" i="71" s="1"/>
  <c r="AV47" i="71"/>
  <c r="AW47" i="71" s="1"/>
  <c r="AV94" i="71"/>
  <c r="AW94" i="71" s="1"/>
  <c r="AV98" i="71"/>
  <c r="AW98" i="71" s="1"/>
  <c r="AV65" i="71"/>
  <c r="AW65" i="71" s="1"/>
  <c r="AV12" i="71"/>
  <c r="AW12" i="71" s="1"/>
  <c r="AV25" i="71"/>
  <c r="AW25" i="71" s="1"/>
  <c r="AV42" i="71"/>
  <c r="AW42" i="71" s="1"/>
  <c r="AV41" i="71"/>
  <c r="AW41" i="71" s="1"/>
  <c r="AV96" i="71"/>
  <c r="AW96" i="71" s="1"/>
  <c r="AV29" i="71"/>
  <c r="AW29" i="71" s="1"/>
  <c r="AR20" i="69"/>
  <c r="AS20" i="69" s="1"/>
  <c r="AV61" i="71"/>
  <c r="AW61" i="71" s="1"/>
  <c r="AV95" i="71"/>
  <c r="AW95" i="71" s="1"/>
  <c r="AV43" i="71"/>
  <c r="AW43" i="71" s="1"/>
  <c r="AV85" i="71"/>
  <c r="AW85" i="71" s="1"/>
  <c r="AV48" i="71"/>
  <c r="AW48" i="71" s="1"/>
  <c r="AV89" i="71"/>
  <c r="AW89" i="71" s="1"/>
  <c r="AV51" i="71"/>
  <c r="AW51" i="71" s="1"/>
  <c r="AV71" i="71"/>
  <c r="AW71" i="71" s="1"/>
  <c r="AV20" i="71"/>
  <c r="AW20" i="71" s="1"/>
  <c r="AV10" i="71"/>
  <c r="AW10" i="71" s="1"/>
  <c r="AN10" i="42"/>
  <c r="AT10" i="1"/>
  <c r="AV74" i="71"/>
  <c r="AW74" i="71" s="1"/>
  <c r="AV44" i="71"/>
  <c r="AW44" i="71" s="1"/>
  <c r="AV62" i="71"/>
  <c r="AW62" i="71" s="1"/>
  <c r="AV50" i="71"/>
  <c r="AW50" i="71" s="1"/>
  <c r="AV34" i="71"/>
  <c r="AW34" i="71" s="1"/>
  <c r="AV30" i="71"/>
  <c r="AW30" i="71" s="1"/>
  <c r="AV103" i="71"/>
  <c r="AW103" i="71" s="1"/>
  <c r="AV58" i="71"/>
  <c r="AW58" i="71" s="1"/>
  <c r="AV79" i="71"/>
  <c r="AW79" i="71" s="1"/>
  <c r="AV52" i="71"/>
  <c r="AW52" i="71" s="1"/>
  <c r="AV91" i="71"/>
  <c r="AW91" i="71" s="1"/>
  <c r="AV45" i="71"/>
  <c r="AW45" i="71" s="1"/>
  <c r="AV93" i="71"/>
  <c r="AW93" i="71" s="1"/>
  <c r="AV66" i="71"/>
  <c r="AW66" i="71" s="1"/>
  <c r="AV38" i="71"/>
  <c r="AW38" i="71" s="1"/>
  <c r="AV57" i="71"/>
  <c r="AW57" i="71" s="1"/>
  <c r="AV104" i="71"/>
  <c r="AW104" i="71" s="1"/>
  <c r="AV81" i="71"/>
  <c r="AW81" i="71" s="1"/>
  <c r="AV14" i="71"/>
  <c r="AW14" i="71" s="1"/>
  <c r="AV72" i="71"/>
  <c r="AW72" i="71" s="1"/>
  <c r="AV67" i="71"/>
  <c r="AW67" i="71" s="1"/>
  <c r="AV24" i="71"/>
  <c r="AW24" i="71" s="1"/>
  <c r="AV60" i="71"/>
  <c r="AW60" i="71" s="1"/>
  <c r="AV22" i="71"/>
  <c r="AW22" i="71" s="1"/>
  <c r="AU51" i="70"/>
  <c r="AN26" i="42"/>
  <c r="AN21" i="42"/>
  <c r="AT46" i="1"/>
  <c r="AT86" i="1"/>
  <c r="AT80" i="1"/>
  <c r="AU80" i="1" s="1"/>
  <c r="AT45" i="1"/>
  <c r="AR105" i="69"/>
  <c r="AS105" i="69" s="1"/>
  <c r="AR60" i="69"/>
  <c r="AS60" i="69" s="1"/>
  <c r="AR50" i="69"/>
  <c r="AS50" i="69" s="1"/>
  <c r="AR76" i="69"/>
  <c r="AS76" i="69" s="1"/>
  <c r="AR18" i="69"/>
  <c r="AS18" i="69" s="1"/>
  <c r="AR82" i="69"/>
  <c r="AS82" i="69" s="1"/>
  <c r="AR25" i="69"/>
  <c r="AS25" i="69" s="1"/>
  <c r="AR15" i="69"/>
  <c r="AS15" i="69" s="1"/>
  <c r="AR66" i="69"/>
  <c r="AS66" i="69" s="1"/>
  <c r="AR79" i="69"/>
  <c r="AS79" i="69" s="1"/>
  <c r="AR28" i="69"/>
  <c r="AS28" i="69" s="1"/>
  <c r="AR47" i="69"/>
  <c r="AS47" i="69" s="1"/>
  <c r="AR92" i="69"/>
  <c r="AS92" i="69" s="1"/>
  <c r="AR62" i="69"/>
  <c r="AS62" i="69" s="1"/>
  <c r="AR98" i="69"/>
  <c r="AS98" i="69" s="1"/>
  <c r="AR104" i="69"/>
  <c r="AS104" i="69" s="1"/>
  <c r="AR91" i="69"/>
  <c r="AS91" i="69" s="1"/>
  <c r="AR94" i="69"/>
  <c r="AS94" i="69" s="1"/>
  <c r="AR57" i="69"/>
  <c r="AS57" i="69" s="1"/>
  <c r="AR30" i="69"/>
  <c r="AS30" i="69" s="1"/>
  <c r="AR37" i="69"/>
  <c r="AS37" i="69" s="1"/>
  <c r="AR63" i="69"/>
  <c r="AS63" i="69" s="1"/>
  <c r="AR95" i="69"/>
  <c r="AS95" i="69" s="1"/>
  <c r="AR69" i="69"/>
  <c r="AS69" i="69" s="1"/>
  <c r="AR24" i="69"/>
  <c r="AS24" i="69" s="1"/>
  <c r="AR21" i="69"/>
  <c r="AS21" i="69" s="1"/>
  <c r="AR59" i="69"/>
  <c r="AS59" i="69" s="1"/>
  <c r="AR56" i="69"/>
  <c r="AS56" i="69" s="1"/>
  <c r="AR19" i="69"/>
  <c r="AS19" i="69" s="1"/>
  <c r="AR35" i="69"/>
  <c r="AS35" i="69" s="1"/>
  <c r="AR40" i="69"/>
  <c r="AS40" i="69" s="1"/>
  <c r="AR88" i="69"/>
  <c r="AS88" i="69" s="1"/>
  <c r="AR27" i="69"/>
  <c r="AS27" i="69" s="1"/>
  <c r="AR86" i="69"/>
  <c r="AS86" i="69" s="1"/>
  <c r="AR11" i="69"/>
  <c r="AS11" i="69" s="1"/>
  <c r="AR46" i="69"/>
  <c r="AS46" i="69" s="1"/>
  <c r="AR99" i="69"/>
  <c r="AS99" i="69" s="1"/>
  <c r="AR51" i="69"/>
  <c r="AS51" i="69" s="1"/>
  <c r="AR93" i="69"/>
  <c r="AS93" i="69" s="1"/>
  <c r="AR70" i="69"/>
  <c r="AS70" i="69" s="1"/>
  <c r="AR22" i="69"/>
  <c r="AS22" i="69" s="1"/>
  <c r="AR80" i="69"/>
  <c r="AS80" i="69" s="1"/>
  <c r="AR43" i="69"/>
  <c r="AS43" i="69" s="1"/>
  <c r="AR48" i="69"/>
  <c r="AS48" i="69" s="1"/>
  <c r="AR14" i="69"/>
  <c r="AS14" i="69" s="1"/>
  <c r="AR107" i="69"/>
  <c r="AS107" i="69" s="1"/>
  <c r="AR75" i="69"/>
  <c r="AS75" i="69" s="1"/>
  <c r="AR102" i="69"/>
  <c r="AS102" i="69" s="1"/>
  <c r="AR101" i="69"/>
  <c r="AS101" i="69" s="1"/>
  <c r="AT107" i="1"/>
  <c r="AU107" i="1" s="1"/>
  <c r="AT19" i="1"/>
  <c r="AU19" i="1" s="1"/>
  <c r="AT49" i="1"/>
  <c r="AU49" i="1" s="1"/>
  <c r="AT47" i="1"/>
  <c r="AU47" i="1" s="1"/>
  <c r="AT99" i="1"/>
  <c r="AU99" i="1" s="1"/>
  <c r="AT51" i="1"/>
  <c r="AU51" i="1" s="1"/>
  <c r="AT53" i="1"/>
  <c r="AU53" i="1" s="1"/>
  <c r="AT28" i="1"/>
  <c r="AU28" i="1" s="1"/>
  <c r="AT104" i="1"/>
  <c r="AU104" i="1" s="1"/>
  <c r="AT34" i="1"/>
  <c r="AU34" i="1" s="1"/>
  <c r="AT16" i="1"/>
  <c r="AU16" i="1" s="1"/>
  <c r="AT40" i="1"/>
  <c r="AU40" i="1" s="1"/>
  <c r="AT98" i="1"/>
  <c r="AU98" i="1" s="1"/>
  <c r="AT102" i="1"/>
  <c r="AU102" i="1" s="1"/>
  <c r="AT32" i="1"/>
  <c r="AU32" i="1" s="1"/>
  <c r="AT106" i="1"/>
  <c r="AU106" i="1" s="1"/>
  <c r="AT26" i="1"/>
  <c r="AU26" i="1" s="1"/>
  <c r="AT50" i="1"/>
  <c r="AU50" i="1" s="1"/>
  <c r="AT22" i="1"/>
  <c r="AU22" i="1" s="1"/>
  <c r="AT68" i="1"/>
  <c r="AU68" i="1" s="1"/>
  <c r="AT101" i="1"/>
  <c r="AU101" i="1" s="1"/>
  <c r="AT73" i="1"/>
  <c r="AU73" i="1" s="1"/>
  <c r="AT48" i="1"/>
  <c r="AU48" i="1" s="1"/>
  <c r="AT87" i="1"/>
  <c r="AU87" i="1" s="1"/>
  <c r="AT85" i="1"/>
  <c r="AU85" i="1" s="1"/>
  <c r="AT31" i="1"/>
  <c r="AU31" i="1" s="1"/>
  <c r="AT39" i="1"/>
  <c r="AU39" i="1" s="1"/>
  <c r="AT55" i="1"/>
  <c r="AU55" i="1" s="1"/>
  <c r="AT21" i="1"/>
  <c r="AU21" i="1" s="1"/>
  <c r="AT81" i="1"/>
  <c r="AU81" i="1" s="1"/>
  <c r="AT35" i="1"/>
  <c r="AU35" i="1" s="1"/>
  <c r="AT67" i="1"/>
  <c r="AU67" i="1" s="1"/>
  <c r="AT84" i="1"/>
  <c r="AU84" i="1" s="1"/>
  <c r="AT54" i="1"/>
  <c r="AU54" i="1" s="1"/>
  <c r="AT94" i="1"/>
  <c r="AU94" i="1" s="1"/>
  <c r="AT36" i="1"/>
  <c r="AU36" i="1" s="1"/>
  <c r="AT38" i="1"/>
  <c r="AU38" i="1" s="1"/>
  <c r="AT52" i="1"/>
  <c r="AU52" i="1" s="1"/>
  <c r="AT23" i="1"/>
  <c r="AU23" i="1" s="1"/>
  <c r="AT78" i="1"/>
  <c r="AU78" i="1" s="1"/>
  <c r="AT12" i="1"/>
  <c r="AU12" i="1" s="1"/>
  <c r="AU10" i="70"/>
  <c r="AV10" i="70" s="1"/>
  <c r="AN78" i="42"/>
  <c r="AO78" i="42" s="1"/>
  <c r="AN37" i="42"/>
  <c r="AO37" i="42" s="1"/>
  <c r="AN56" i="42"/>
  <c r="AO56" i="42" s="1"/>
  <c r="AN19" i="42"/>
  <c r="AO19" i="42" s="1"/>
  <c r="AN12" i="42"/>
  <c r="AO12" i="42" s="1"/>
  <c r="AN68" i="42"/>
  <c r="AO68" i="42" s="1"/>
  <c r="AN51" i="42"/>
  <c r="AO51" i="42" s="1"/>
  <c r="AN20" i="42"/>
  <c r="AO20" i="42" s="1"/>
  <c r="AN13" i="42"/>
  <c r="AO13" i="42" s="1"/>
  <c r="AU34" i="70"/>
  <c r="AV34" i="70" s="1"/>
  <c r="AU84" i="70"/>
  <c r="AV84" i="70" s="1"/>
  <c r="AU29" i="70"/>
  <c r="AV29" i="70" s="1"/>
  <c r="AU78" i="70"/>
  <c r="AV78" i="70" s="1"/>
  <c r="AN91" i="42"/>
  <c r="AO91" i="42" s="1"/>
  <c r="AN72" i="42"/>
  <c r="AO72" i="42" s="1"/>
  <c r="AN86" i="42"/>
  <c r="AO86" i="42" s="1"/>
  <c r="AU21" i="70"/>
  <c r="AV21" i="70" s="1"/>
  <c r="AU58" i="70"/>
  <c r="AV58" i="70" s="1"/>
  <c r="AU105" i="70"/>
  <c r="AV105" i="70" s="1"/>
  <c r="AU68" i="70"/>
  <c r="AV68" i="70" s="1"/>
  <c r="AU91" i="70"/>
  <c r="AV91" i="70" s="1"/>
  <c r="AU11" i="70"/>
  <c r="AV11" i="70" s="1"/>
  <c r="AN32" i="42"/>
  <c r="AO32" i="42" s="1"/>
  <c r="AN31" i="42"/>
  <c r="AO31" i="42" s="1"/>
  <c r="AN74" i="42"/>
  <c r="AO74" i="42" s="1"/>
  <c r="AN46" i="42"/>
  <c r="AO46" i="42" s="1"/>
  <c r="AU35" i="70"/>
  <c r="AV35" i="70" s="1"/>
  <c r="AU60" i="70"/>
  <c r="AV60" i="70" s="1"/>
  <c r="AU86" i="70"/>
  <c r="AV86" i="70" s="1"/>
  <c r="AU30" i="70"/>
  <c r="AV30" i="70" s="1"/>
  <c r="AN43" i="42"/>
  <c r="AO43" i="42" s="1"/>
  <c r="AN76" i="42"/>
  <c r="AO76" i="42" s="1"/>
  <c r="AN17" i="42"/>
  <c r="AO17" i="42" s="1"/>
  <c r="AN67" i="42"/>
  <c r="AO67" i="42" s="1"/>
  <c r="AN59" i="42"/>
  <c r="AO59" i="42" s="1"/>
  <c r="AN14" i="42"/>
  <c r="AO14" i="42" s="1"/>
  <c r="AU24" i="70"/>
  <c r="AV24" i="70" s="1"/>
  <c r="AU102" i="70"/>
  <c r="AV102" i="70" s="1"/>
  <c r="AU73" i="70"/>
  <c r="AV73" i="70" s="1"/>
  <c r="AU82" i="70"/>
  <c r="AV82" i="70" s="1"/>
  <c r="AU33" i="70"/>
  <c r="AV33" i="70" s="1"/>
  <c r="AU59" i="70"/>
  <c r="AV59" i="70" s="1"/>
  <c r="AU17" i="70"/>
  <c r="AV17" i="70" s="1"/>
  <c r="AN41" i="42"/>
  <c r="AO41" i="42" s="1"/>
  <c r="AN60" i="42"/>
  <c r="AO60" i="42" s="1"/>
  <c r="AN82" i="42"/>
  <c r="AO82" i="42" s="1"/>
  <c r="AN28" i="42"/>
  <c r="AO28" i="42" s="1"/>
  <c r="AN36" i="42"/>
  <c r="AO36" i="42" s="1"/>
  <c r="AN96" i="42"/>
  <c r="AO96" i="42" s="1"/>
  <c r="AN102" i="42"/>
  <c r="AO102" i="42" s="1"/>
  <c r="AN94" i="42"/>
  <c r="AO94" i="42" s="1"/>
  <c r="AN52" i="42"/>
  <c r="AO52" i="42" s="1"/>
  <c r="AN87" i="42"/>
  <c r="AO87" i="42" s="1"/>
  <c r="AN33" i="42"/>
  <c r="AO33" i="42" s="1"/>
  <c r="AN106" i="42"/>
  <c r="AO106" i="42" s="1"/>
  <c r="AN100" i="42"/>
  <c r="AO100" i="42" s="1"/>
  <c r="AU62" i="70"/>
  <c r="AV62" i="70" s="1"/>
  <c r="AU32" i="70"/>
  <c r="AV32" i="70" s="1"/>
  <c r="AU103" i="70"/>
  <c r="AV103" i="70" s="1"/>
  <c r="AN66" i="42"/>
  <c r="AO66" i="42" s="1"/>
  <c r="AN49" i="42"/>
  <c r="AO49" i="42" s="1"/>
  <c r="AN90" i="42"/>
  <c r="AO90" i="42" s="1"/>
  <c r="AN48" i="42"/>
  <c r="AO48" i="42" s="1"/>
  <c r="AU28" i="70"/>
  <c r="AV28" i="70" s="1"/>
  <c r="AU100" i="70"/>
  <c r="AV100" i="70" s="1"/>
  <c r="AU95" i="70"/>
  <c r="AV95" i="70" s="1"/>
  <c r="AN93" i="42"/>
  <c r="AO93" i="42" s="1"/>
  <c r="AN71" i="42"/>
  <c r="AO71" i="42" s="1"/>
  <c r="AN44" i="42"/>
  <c r="AO44" i="42" s="1"/>
  <c r="AN11" i="42"/>
  <c r="AO11" i="42" s="1"/>
  <c r="AN63" i="42"/>
  <c r="AO63" i="42" s="1"/>
  <c r="AN77" i="42"/>
  <c r="AO77" i="42" s="1"/>
  <c r="AU94" i="70"/>
  <c r="AV94" i="70" s="1"/>
  <c r="AN88" i="42"/>
  <c r="AO88" i="42" s="1"/>
  <c r="AU22" i="70"/>
  <c r="AV22" i="70" s="1"/>
  <c r="AU99" i="70"/>
  <c r="AV99" i="70" s="1"/>
  <c r="AU92" i="70"/>
  <c r="AV92" i="70" s="1"/>
  <c r="AU80" i="70"/>
  <c r="AV80" i="70" s="1"/>
  <c r="AN73" i="42"/>
  <c r="AO73" i="42" s="1"/>
  <c r="AN47" i="42"/>
  <c r="AO47" i="42" s="1"/>
  <c r="AN99" i="42"/>
  <c r="AO99" i="42" s="1"/>
  <c r="AN50" i="42"/>
  <c r="AO50" i="42" s="1"/>
  <c r="AN58" i="42"/>
  <c r="AO58" i="42" s="1"/>
  <c r="AN34" i="42"/>
  <c r="AO34" i="42" s="1"/>
  <c r="AU26" i="70"/>
  <c r="AV26" i="70" s="1"/>
  <c r="AU23" i="70"/>
  <c r="AV23" i="70" s="1"/>
  <c r="AU93" i="70"/>
  <c r="AV93" i="70" s="1"/>
  <c r="AU97" i="70"/>
  <c r="AV97" i="70" s="1"/>
  <c r="AR10" i="69"/>
  <c r="AS10" i="69" s="1"/>
  <c r="AV51" i="70"/>
  <c r="AV16" i="70"/>
  <c r="AV48" i="70"/>
  <c r="AO35" i="42"/>
  <c r="AO70" i="42"/>
  <c r="AV108" i="71"/>
  <c r="AW108" i="71" s="1"/>
  <c r="AO16" i="42"/>
  <c r="AV12" i="70"/>
  <c r="AO42" i="42"/>
  <c r="AV71" i="70"/>
  <c r="AV74" i="70"/>
  <c r="AV15" i="70"/>
  <c r="AV52" i="70"/>
  <c r="AU33" i="1"/>
  <c r="AU37" i="1"/>
  <c r="AU29" i="1"/>
  <c r="AU83" i="1"/>
  <c r="AU57" i="1"/>
  <c r="AU74" i="1"/>
  <c r="AU96" i="1"/>
  <c r="AO24" i="42"/>
  <c r="AO75" i="42"/>
  <c r="AO26" i="42"/>
  <c r="AO45" i="42"/>
  <c r="AO21" i="42"/>
  <c r="AV31" i="70"/>
  <c r="AV87" i="70"/>
  <c r="AV67" i="70"/>
  <c r="AV43" i="70"/>
  <c r="AU91" i="1"/>
  <c r="AU61" i="1"/>
  <c r="AU92" i="1"/>
  <c r="AU15" i="1"/>
  <c r="AU18" i="1"/>
  <c r="AU42" i="1"/>
  <c r="AU30" i="1"/>
  <c r="AV107" i="70"/>
  <c r="AV106" i="70"/>
  <c r="AV72" i="70"/>
  <c r="AV13" i="70"/>
  <c r="AV70" i="70"/>
  <c r="AV89" i="70"/>
  <c r="AU97" i="1"/>
  <c r="AU25" i="1"/>
  <c r="AU20" i="1"/>
  <c r="AV25" i="70"/>
  <c r="AV98" i="70"/>
  <c r="AV56" i="70"/>
  <c r="AO98" i="42"/>
  <c r="AO23" i="42"/>
  <c r="AV79" i="70"/>
  <c r="AV96" i="70"/>
  <c r="AV109" i="71"/>
  <c r="AW109" i="71" s="1"/>
  <c r="AO25" i="42"/>
  <c r="AO65" i="42"/>
  <c r="AV64" i="70"/>
  <c r="AV54" i="70"/>
  <c r="AU27" i="1"/>
  <c r="AU77" i="1"/>
  <c r="AU79" i="1"/>
  <c r="AU46" i="1"/>
  <c r="AV85" i="70"/>
  <c r="AU63" i="1"/>
  <c r="AU59" i="1"/>
  <c r="AU72" i="1"/>
  <c r="AU69" i="1"/>
  <c r="AU71" i="1"/>
  <c r="AU45" i="1"/>
  <c r="AU44" i="1"/>
  <c r="AU86" i="1"/>
  <c r="AV27" i="70"/>
  <c r="AV65" i="70"/>
  <c r="AU93" i="1"/>
  <c r="AU100" i="1"/>
  <c r="AV83" i="70"/>
  <c r="AV101" i="70"/>
  <c r="AV104" i="70"/>
  <c r="AU70" i="1"/>
  <c r="AU62" i="1"/>
  <c r="AU14" i="1"/>
  <c r="AU56" i="1"/>
  <c r="AV66" i="70"/>
  <c r="AV76" i="70"/>
  <c r="AV39" i="70"/>
  <c r="AV40" i="70"/>
  <c r="AU90" i="1"/>
  <c r="AU95" i="1"/>
  <c r="AU76" i="1"/>
  <c r="AU60" i="1"/>
  <c r="AU17" i="1"/>
  <c r="AU10" i="1"/>
  <c r="AU82" i="1"/>
  <c r="AV75" i="70"/>
  <c r="AV42" i="70"/>
  <c r="AO62" i="42"/>
  <c r="AO40" i="42"/>
  <c r="AO79" i="42"/>
  <c r="AO104" i="42"/>
  <c r="AO92" i="42"/>
  <c r="AO18" i="42"/>
  <c r="AO53" i="42"/>
  <c r="AU41" i="1"/>
  <c r="AU103" i="1"/>
  <c r="AU43" i="1"/>
  <c r="AU65" i="1"/>
  <c r="AU89" i="1"/>
  <c r="AU105" i="1"/>
  <c r="AU13" i="1"/>
  <c r="AU88" i="1"/>
  <c r="AU11" i="1"/>
  <c r="AU66" i="1"/>
  <c r="AV46" i="70"/>
  <c r="AV88" i="70"/>
  <c r="AV53" i="70"/>
  <c r="AO97" i="42"/>
  <c r="AO39" i="42"/>
  <c r="AO27" i="42"/>
  <c r="AO89" i="42"/>
  <c r="AO29" i="42"/>
  <c r="AO103" i="42"/>
  <c r="AO84" i="42"/>
  <c r="AO61" i="42"/>
  <c r="AU75" i="1"/>
  <c r="AU24" i="1"/>
  <c r="AU58" i="1"/>
  <c r="AU64" i="1"/>
  <c r="AV61" i="70"/>
  <c r="AV57" i="70"/>
  <c r="AV44" i="70"/>
  <c r="AV37" i="70"/>
  <c r="AV49" i="70"/>
  <c r="AV47" i="70"/>
  <c r="AV20" i="70"/>
  <c r="AV41" i="70"/>
  <c r="AO80" i="42"/>
  <c r="AO22" i="42"/>
  <c r="AO54" i="42"/>
  <c r="AO38" i="42"/>
  <c r="AO85" i="42"/>
  <c r="AV14" i="70"/>
  <c r="AO83" i="42"/>
  <c r="AV19" i="70"/>
  <c r="AV69" i="70"/>
  <c r="AV90" i="70"/>
  <c r="AV45" i="70"/>
  <c r="AV38" i="70"/>
  <c r="AV36" i="70"/>
  <c r="AO64" i="42"/>
  <c r="AO30" i="42"/>
  <c r="AV18" i="70"/>
  <c r="AO57" i="42"/>
  <c r="AO15" i="42"/>
  <c r="AO105" i="42"/>
  <c r="AO107" i="42"/>
  <c r="AO81" i="42"/>
  <c r="AO55" i="42"/>
  <c r="AO101" i="42"/>
  <c r="AO69" i="42"/>
  <c r="AO95" i="42"/>
  <c r="AS4" i="69" l="1"/>
  <c r="AS5" i="69" s="1"/>
  <c r="AW4" i="71"/>
  <c r="AW5" i="71" s="1"/>
  <c r="AU4" i="1"/>
  <c r="AU5" i="1" s="1"/>
  <c r="AV4" i="70"/>
  <c r="AV5" i="70" s="1"/>
  <c r="AO10" i="42" l="1"/>
  <c r="AO4" i="42" s="1"/>
  <c r="AO5" i="42" s="1"/>
</calcChain>
</file>

<file path=xl/comments1.xml><?xml version="1.0" encoding="utf-8"?>
<comments xmlns="http://schemas.openxmlformats.org/spreadsheetml/2006/main">
  <authors>
    <author>PNNL SW</author>
  </authors>
  <commentList>
    <comment ref="E9" authorId="0" shapeId="0">
      <text>
        <r>
          <rPr>
            <b/>
            <sz val="9"/>
            <color indexed="81"/>
            <rFont val="Tahoma"/>
            <family val="2"/>
          </rPr>
          <t>PNNL SW:</t>
        </r>
        <r>
          <rPr>
            <sz val="9"/>
            <color indexed="81"/>
            <rFont val="Tahoma"/>
            <family val="2"/>
          </rPr>
          <t xml:space="preserve">
Note, if enetered data is normalized to nominal speed, enter the noiminal speed here.</t>
        </r>
      </text>
    </comment>
    <comment ref="AH9" authorId="0" shapeId="0">
      <text>
        <r>
          <rPr>
            <b/>
            <sz val="9"/>
            <color indexed="81"/>
            <rFont val="Tahoma"/>
            <family val="2"/>
          </rPr>
          <t>PNNL SW:</t>
        </r>
        <r>
          <rPr>
            <sz val="9"/>
            <color indexed="81"/>
            <rFont val="Tahoma"/>
            <family val="2"/>
          </rPr>
          <t xml:space="preserve">
Based on linear interpolation of 75% and 110% of BEP flow points</t>
        </r>
      </text>
    </comment>
  </commentList>
</comments>
</file>

<file path=xl/comments2.xml><?xml version="1.0" encoding="utf-8"?>
<comments xmlns="http://schemas.openxmlformats.org/spreadsheetml/2006/main">
  <authors>
    <author>PNNL SW</author>
  </authors>
  <commentList>
    <comment ref="E9" authorId="0" shapeId="0">
      <text>
        <r>
          <rPr>
            <b/>
            <sz val="9"/>
            <color indexed="81"/>
            <rFont val="Tahoma"/>
            <family val="2"/>
          </rPr>
          <t>PNNL SW:</t>
        </r>
        <r>
          <rPr>
            <sz val="9"/>
            <color indexed="81"/>
            <rFont val="Tahoma"/>
            <family val="2"/>
          </rPr>
          <t xml:space="preserve">
Note, if enetered data is normalized to nominal speed, enter the noiminal speed here.</t>
        </r>
      </text>
    </comment>
  </commentList>
</comments>
</file>

<file path=xl/comments3.xml><?xml version="1.0" encoding="utf-8"?>
<comments xmlns="http://schemas.openxmlformats.org/spreadsheetml/2006/main">
  <authors>
    <author>PNNL SW</author>
  </authors>
  <commentList>
    <comment ref="E9" authorId="0" shapeId="0">
      <text>
        <r>
          <rPr>
            <b/>
            <sz val="9"/>
            <color indexed="81"/>
            <rFont val="Tahoma"/>
            <family val="2"/>
          </rPr>
          <t>PNNL SW:</t>
        </r>
        <r>
          <rPr>
            <sz val="9"/>
            <color indexed="81"/>
            <rFont val="Tahoma"/>
            <family val="2"/>
          </rPr>
          <t xml:space="preserve">
Note, if enetered data is normalized to nominal speed, enter the noiminal speed here.</t>
        </r>
      </text>
    </comment>
  </commentList>
</comments>
</file>

<file path=xl/comments4.xml><?xml version="1.0" encoding="utf-8"?>
<comments xmlns="http://schemas.openxmlformats.org/spreadsheetml/2006/main">
  <authors>
    <author>PNNL SW</author>
  </authors>
  <commentList>
    <comment ref="E9" authorId="0" shapeId="0">
      <text>
        <r>
          <rPr>
            <b/>
            <sz val="9"/>
            <color indexed="81"/>
            <rFont val="Tahoma"/>
            <family val="2"/>
          </rPr>
          <t>PNNL SW:</t>
        </r>
        <r>
          <rPr>
            <sz val="9"/>
            <color indexed="81"/>
            <rFont val="Tahoma"/>
            <family val="2"/>
          </rPr>
          <t xml:space="preserve">
Note, if enetered data is normalized to nominal speed, enter the noiminal speed here.</t>
        </r>
      </text>
    </comment>
  </commentList>
</comments>
</file>

<file path=xl/comments5.xml><?xml version="1.0" encoding="utf-8"?>
<comments xmlns="http://schemas.openxmlformats.org/spreadsheetml/2006/main">
  <authors>
    <author>PNNL SW</author>
  </authors>
  <commentList>
    <comment ref="E9" authorId="0" shapeId="0">
      <text>
        <r>
          <rPr>
            <b/>
            <sz val="9"/>
            <color indexed="81"/>
            <rFont val="Tahoma"/>
            <family val="2"/>
          </rPr>
          <t>PNNL SW:</t>
        </r>
        <r>
          <rPr>
            <sz val="9"/>
            <color indexed="81"/>
            <rFont val="Tahoma"/>
            <family val="2"/>
          </rPr>
          <t xml:space="preserve">
Note, if enetered data is normalized to nominal speed, enter the noiminal full speed here.</t>
        </r>
      </text>
    </comment>
  </commentList>
</comments>
</file>

<file path=xl/comments6.xml><?xml version="1.0" encoding="utf-8"?>
<comments xmlns="http://schemas.openxmlformats.org/spreadsheetml/2006/main">
  <authors>
    <author>Jason Tuenge (PNNL)</author>
  </authors>
  <commentList>
    <comment ref="I11" authorId="0" shapeId="0">
      <text>
        <r>
          <rPr>
            <b/>
            <sz val="9"/>
            <color indexed="81"/>
            <rFont val="Tahoma"/>
            <family val="2"/>
          </rPr>
          <t>Jason Tuenge (PNNL):</t>
        </r>
        <r>
          <rPr>
            <sz val="9"/>
            <color indexed="81"/>
            <rFont val="Tahoma"/>
            <family val="2"/>
          </rPr>
          <t xml:space="preserve">
HP values are listed in descending order, as required by the MATCH function when the 3rd argument has a value of -1 (see BarePump sheet).</t>
        </r>
      </text>
    </comment>
    <comment ref="I36" authorId="0" shapeId="0">
      <text>
        <r>
          <rPr>
            <b/>
            <sz val="9"/>
            <color indexed="81"/>
            <rFont val="Tahoma"/>
            <family val="2"/>
          </rPr>
          <t>Jason Tuenge (PNNL):</t>
        </r>
        <r>
          <rPr>
            <sz val="9"/>
            <color indexed="81"/>
            <rFont val="Tahoma"/>
            <family val="2"/>
          </rPr>
          <t xml:space="preserve">
HP values are listed in descending order, as required by the MATCH function when the 3rd argument has a value of -1 (see BarePump sheet).</t>
        </r>
      </text>
    </comment>
  </commentList>
</comments>
</file>

<file path=xl/sharedStrings.xml><?xml version="1.0" encoding="utf-8"?>
<sst xmlns="http://schemas.openxmlformats.org/spreadsheetml/2006/main" count="513" uniqueCount="205">
  <si>
    <t>BEP</t>
  </si>
  <si>
    <t>Brand</t>
  </si>
  <si>
    <t>Q (GPM)</t>
  </si>
  <si>
    <t>Model Name / Number</t>
  </si>
  <si>
    <t>75% of BEP Q</t>
  </si>
  <si>
    <t>110% of BEP Q</t>
  </si>
  <si>
    <t>Primary Data Collection Fields</t>
  </si>
  <si>
    <t>Key</t>
  </si>
  <si>
    <t>Calculation - DO NOT ENTER DATA</t>
  </si>
  <si>
    <t>Load Points</t>
  </si>
  <si>
    <t>% BEP flow</t>
  </si>
  <si>
    <t>Full Load Efficiency (%)</t>
  </si>
  <si>
    <t>Motor Efficiency for Use in Calculations (%)</t>
  </si>
  <si>
    <t>a</t>
  </si>
  <si>
    <t>b</t>
  </si>
  <si>
    <t>c</t>
  </si>
  <si>
    <t>d</t>
  </si>
  <si>
    <t>Full Load Losses (hp)</t>
  </si>
  <si>
    <t>Motor horsepower</t>
  </si>
  <si>
    <t>ASSUMPTIONS</t>
  </si>
  <si>
    <t>Motor Loss Equation Coefficients</t>
  </si>
  <si>
    <t>Hydraulic Output Power (hp)</t>
  </si>
  <si>
    <t>CONTROLS</t>
  </si>
  <si>
    <t>PUMP INFORMATION</t>
  </si>
  <si>
    <t>% BEP Flow</t>
  </si>
  <si>
    <t>LOAD POINTS &amp; WEIGHTS</t>
  </si>
  <si>
    <t>MOTOR LOSSES</t>
  </si>
  <si>
    <t>Bare Pump+Motor+ Controls</t>
  </si>
  <si>
    <t>Bare Pump &amp; 
Bare Pump+Motor</t>
  </si>
  <si>
    <t>Equal Weights</t>
  </si>
  <si>
    <t>ODP</t>
  </si>
  <si>
    <t>TEFC</t>
  </si>
  <si>
    <t>MEI Weighting Factors</t>
  </si>
  <si>
    <t>DOE Pump Type</t>
  </si>
  <si>
    <t># of Stages</t>
  </si>
  <si>
    <t>H (ft)</t>
  </si>
  <si>
    <t>CALCULATIONS</t>
  </si>
  <si>
    <t>MOTOR</t>
  </si>
  <si>
    <t>ESCC</t>
  </si>
  <si>
    <t>ESFM</t>
  </si>
  <si>
    <t>IL</t>
  </si>
  <si>
    <t>RSV</t>
  </si>
  <si>
    <t>VTS</t>
  </si>
  <si>
    <t>Equipment Category</t>
  </si>
  <si>
    <t>OH7</t>
  </si>
  <si>
    <t>OH0</t>
  </si>
  <si>
    <t>OH1</t>
  </si>
  <si>
    <t>OH3</t>
  </si>
  <si>
    <t>OH5</t>
  </si>
  <si>
    <t>VS8</t>
  </si>
  <si>
    <t>VS0</t>
  </si>
  <si>
    <t>Motor Loss Equations</t>
  </si>
  <si>
    <t>PER Numerator (hp)</t>
  </si>
  <si>
    <t>Constant Load PEI</t>
  </si>
  <si>
    <t>Shaft HP @ 120% of BEP flow for Motor Sizing</t>
  </si>
  <si>
    <t>EXAMPLE</t>
  </si>
  <si>
    <t>BARE PUMP</t>
  </si>
  <si>
    <t>BARE PUMP + 95% EFF. MOTOR</t>
  </si>
  <si>
    <t>Pump Efficiency Coefficients</t>
  </si>
  <si>
    <t>e</t>
  </si>
  <si>
    <t>f</t>
  </si>
  <si>
    <t>75% of BEP Q Corrected to Nominal Speed</t>
  </si>
  <si>
    <t>110% of BEP Q Corrected to Nominal Speed</t>
  </si>
  <si>
    <t>Input Power to the Motor (hp)</t>
  </si>
  <si>
    <t xml:space="preserve">PRIMARY DATA COLLECTION FIELDS </t>
  </si>
  <si>
    <t>100% of BEP Q</t>
  </si>
  <si>
    <t>CALCULATION OF PER_STD</t>
  </si>
  <si>
    <t>Minimum Efficiency (%)</t>
  </si>
  <si>
    <t xml:space="preserve">Enclosed Motors </t>
  </si>
  <si>
    <t>Nominal Full-Load Efficiency (%)</t>
  </si>
  <si>
    <t>Open Motors</t>
  </si>
  <si>
    <t>Number of Poles</t>
  </si>
  <si>
    <t>Default Submersible Motor Full Load Nominal Efficiency</t>
  </si>
  <si>
    <t>Nominal Full-Load Efficiencies of NEMA Design A, NEMA Design B and IEC Design N Motors (Excluding Fire Pump Electric Motors) at 60 Hz</t>
  </si>
  <si>
    <t>(h) Starting on June 1, 2016, each NEMA Design A motor, NEMA Design B motor, and IEC Design N motor that is an electric motor meeting the criteria in paragraph (g) of this section and with a power rating from 1 horsepower through 500 horsepower, but excluding fire pump electric motors, manufactured (alone or as a component of another piece of equipment) shall have a nominal full-load efficiency of not less than the following:</t>
  </si>
  <si>
    <t>§431.25   Electric Motors Energy Conservation Standards and Effective Dates.</t>
  </si>
  <si>
    <t>DEFAULT MOTOR EFFICIENCY</t>
  </si>
  <si>
    <t>ESTABLISHING THE PER_STD FOR THE MINIMALLY COMPLIANT PUMP</t>
  </si>
  <si>
    <t>PER_STD Pump Efficiency</t>
  </si>
  <si>
    <t>PER_STD</t>
  </si>
  <si>
    <t>RATINGS</t>
  </si>
  <si>
    <t>PASS?</t>
  </si>
  <si>
    <t>TOTAL PUMPS FAILING</t>
  </si>
  <si>
    <t>% PUMPS FAILING</t>
  </si>
  <si>
    <t>BARE PUMP + 87% EFF. MOTOR</t>
  </si>
  <si>
    <t>BARE PUMP + 96% EFF. MOTOR</t>
  </si>
  <si>
    <t>BEP Data Corrected to Nominal Speed</t>
  </si>
  <si>
    <t>Reference System Curve Equation</t>
  </si>
  <si>
    <t xml:space="preserve">≤5 </t>
  </si>
  <si>
    <t xml:space="preserve">&gt;5 and ≤20 </t>
  </si>
  <si>
    <t xml:space="preserve">&gt;20 and ≤50 </t>
  </si>
  <si>
    <t xml:space="preserve">&gt;50 </t>
  </si>
  <si>
    <t>Motor and Continuous Control Part Load Loss Factor Equation</t>
  </si>
  <si>
    <t>Motor and Continuous Control Part Load Loss Factor Equation Coefficients</t>
  </si>
  <si>
    <t>Motor horsepower (hp)</t>
  </si>
  <si>
    <t>Motor+ Control Losses @ 25% BEP (hp)</t>
  </si>
  <si>
    <t xml:space="preserve">Motor+ Control Losses @ 50% BEP (hp) </t>
  </si>
  <si>
    <t xml:space="preserve">Motor+ Control Losses @ 75% BEP (hp) </t>
  </si>
  <si>
    <t>Input Power to the Control (hp)</t>
  </si>
  <si>
    <t>BARE PUMP + 95% EFF. MOTOR + CONT. CONTROL</t>
  </si>
  <si>
    <t>75% of BEP Q Corrected to Reference System Curve</t>
  </si>
  <si>
    <t>50% of BEP Q Corrected to Reference System Curve</t>
  </si>
  <si>
    <t>25% of BEP Q Corrected to Reference System Curve</t>
  </si>
  <si>
    <t>Hydraulic Output Power (hp) @ Nominal Speed</t>
  </si>
  <si>
    <t>Variable Load PEI</t>
  </si>
  <si>
    <t>Pump Configuration</t>
  </si>
  <si>
    <t>Pump Sub-Configuration</t>
  </si>
  <si>
    <t>Calculation-Based Test Method</t>
  </si>
  <si>
    <t>Testing-Based Test Method</t>
  </si>
  <si>
    <t>Bare Pump</t>
  </si>
  <si>
    <t xml:space="preserve">Not Applicable </t>
  </si>
  <si>
    <t>Pump + Motor</t>
  </si>
  <si>
    <t>Not Applicable</t>
  </si>
  <si>
    <t>Pump + Motor + Speed Controls</t>
  </si>
  <si>
    <t>Pump + Motor Not Covered by DOE’s Electric Motor Energy Conservation Standards (Except Submersible Motors) + Continuous or Non-Continuous Controls</t>
  </si>
  <si>
    <t>APPLICABILITY OF TEST METHODS BASED ON PUMP CONFIGURATION</t>
  </si>
  <si>
    <t>PUMP EQUIPMENT CLASSES</t>
  </si>
  <si>
    <t>Part Load Loss (hp)</t>
  </si>
  <si>
    <t>Motor+ Control Losses @ BEP (hp)</t>
  </si>
  <si>
    <t>Bare Pump Efficiency (%)</t>
  </si>
  <si>
    <t>PRIMARY DATA COLLECTION FIELDS</t>
  </si>
  <si>
    <t>Nominal Speed</t>
  </si>
  <si>
    <t>Specific gravity (SG)</t>
  </si>
  <si>
    <t>Category</t>
  </si>
  <si>
    <t>C-value</t>
  </si>
  <si>
    <t>Nominal Speed of Rotation (rpm)</t>
  </si>
  <si>
    <t>Specific Speed, Ns</t>
  </si>
  <si>
    <t>Motor Pole Config.</t>
  </si>
  <si>
    <t>Default Motor Efficiency (%)</t>
  </si>
  <si>
    <t>Default Motor Part Load Loss @ BEP Q (hp)</t>
  </si>
  <si>
    <t>Default Motor Full Load Losses (hp)</t>
  </si>
  <si>
    <t>Default Motor Part Load Loss @ 75% BEP Q (hp)</t>
  </si>
  <si>
    <t>Default Motor Part Load Loss @ 110% BEP Q (hp)</t>
  </si>
  <si>
    <t>Metric</t>
  </si>
  <si>
    <t>PEICL</t>
  </si>
  <si>
    <t>Test Method</t>
  </si>
  <si>
    <t>PEIVL</t>
  </si>
  <si>
    <t>Abbr.</t>
  </si>
  <si>
    <t>ANSI/HI Term</t>
  </si>
  <si>
    <t>Definitions</t>
  </si>
  <si>
    <t>End Suction Close-Coupled Pump</t>
  </si>
  <si>
    <t>an end suction pump in which:  (1) the motor shaft also serves as the impeller shaft for the bare pump;  (2) the pump requires attachment to a rigid foundation to function as designed and cannot function as designed when supported only by the supply and discharge  piping to which it is connected; and  (3) the pump does not include a basket strainer. Examples include, but are not limited to, pumps complying with ANSI/HI nomenclature OH7, as described in ANSI/HI 1.1–1.2–2014.</t>
  </si>
  <si>
    <t>End Suction Frame Mounted Pump</t>
  </si>
  <si>
    <t>In-Line Pump</t>
  </si>
  <si>
    <t>a single-stage, single axis flow, rotodynamic pump in which:  (1) liquid is discharged through a volute in a plane perpendicular to the impeller shaft; and  (2) the pump requires attachment to a rigid foundation to function as designed and cannot function as designed when supported only by the supply and discharge piping to which it is connected.  Examples include, but are not limited to, pumps complying with ANSI/HI nomenclature OH3, OH4, or OH5, as described in ANSI/HI 1.1–1.2–2014.</t>
  </si>
  <si>
    <t>OH4 
(single suction)</t>
  </si>
  <si>
    <t>Radially Split, Multistage, Vertical, In-line Casing Diffuser Pump</t>
  </si>
  <si>
    <t>a vertically suspended, multi-stage, single axis flow, rotodynamic pump in which:  (1) liquid is discharged in a plane perpendicular to the impeller shaft,  (2) each stage (or bowl) consists of an impeller and diffuser, and  (3) no external part of such a pump is designed to be submerged  in the pumped liquid.  Examples include, but are not limited to, pumps complying with ANSI/HI nomenclature VS8, as described in ANSI/HI 2.1–2.2–2008.</t>
  </si>
  <si>
    <t>a single-stage or multistage rotodynamic pump that is designed to be operated with the motor and stage(s) (or bowl(s)) fully submerged in the pumped liquid, and in which:  (1) each stage of this pump consists of an impeller and diffuser, and  (2) liquid enters and exits each stage of the bare pump in a direction parallel to the impeller shaft.  Examples include, but are not limited to, pumps complying with ANSI/HI nomenclature VS0, as described in ANSI/HI 2.1–2.2–2008.</t>
  </si>
  <si>
    <t xml:space="preserve">This tab calculates the PEIVL for pumps rated as pumps sold with motors and controls rated using the testing-based approach.  This procedure is applicable to all pumps sold with electric motors, other than single-phase induction motors, with continuous or non-continuous controls. </t>
  </si>
  <si>
    <t xml:space="preserve">This tab calculates the PEICL for pumps rated as pumps sold with motors rated using the testing-based approach.  This procedure is applicable to all pumps sold with electric motors, other than single-phase induction motors. </t>
  </si>
  <si>
    <t>CALCULATION-BASED APPROACH TO CALCULATE PEICL FOR PUMPS + MOTORS</t>
  </si>
  <si>
    <t>TESTING-BASED APPROACH TO CALCULATE PEICL FOR PUMPS + MOTORS</t>
  </si>
  <si>
    <t>CALCULATION-BASED APPROACH TO CALCULATE PEIVL FOR PUMPS + MOTORS + CONTROLS</t>
  </si>
  <si>
    <t>TESTING-BASED APPROACH TO CALCULATE PEIVL FOR PUMPS + MOTORS + CONTROLS</t>
  </si>
  <si>
    <t>PERVL</t>
  </si>
  <si>
    <t>PERCL</t>
  </si>
  <si>
    <t>CALCULATION-BASED APPROACH TO CALCULATE PEICL FOR BARE PUMPS</t>
  </si>
  <si>
    <t>Hydraulic Output Power (hp) @ Full Speed</t>
  </si>
  <si>
    <t>Default Motor Full Load Loss (hp)</t>
  </si>
  <si>
    <r>
      <t>PEI</t>
    </r>
    <r>
      <rPr>
        <vertAlign val="subscript"/>
        <sz val="14"/>
        <color theme="1"/>
        <rFont val="Calibri"/>
        <family val="2"/>
        <scheme val="minor"/>
      </rPr>
      <t>CL</t>
    </r>
    <r>
      <rPr>
        <sz val="14"/>
        <color theme="1"/>
        <rFont val="Calibri"/>
        <family val="2"/>
        <scheme val="minor"/>
      </rPr>
      <t xml:space="preserve"> or PEI</t>
    </r>
    <r>
      <rPr>
        <vertAlign val="subscript"/>
        <sz val="14"/>
        <color theme="1"/>
        <rFont val="Calibri"/>
        <family val="2"/>
        <scheme val="minor"/>
      </rPr>
      <t>VL</t>
    </r>
  </si>
  <si>
    <r>
      <t>PEI</t>
    </r>
    <r>
      <rPr>
        <b/>
        <vertAlign val="subscript"/>
        <sz val="20"/>
        <color theme="1"/>
        <rFont val="Calibri"/>
        <family val="2"/>
        <scheme val="minor"/>
      </rPr>
      <t>VL</t>
    </r>
  </si>
  <si>
    <r>
      <t>PEI</t>
    </r>
    <r>
      <rPr>
        <b/>
        <vertAlign val="subscript"/>
        <sz val="20"/>
        <color theme="1"/>
        <rFont val="Calibri"/>
        <family val="2"/>
        <scheme val="minor"/>
      </rPr>
      <t>CL</t>
    </r>
  </si>
  <si>
    <t>Pump Input Power (hp)</t>
  </si>
  <si>
    <t xml:space="preserve">Pump Input Power @ 25% BEP (hp) </t>
  </si>
  <si>
    <t xml:space="preserve">Pump Input Power @ 50% BEP (hp) </t>
  </si>
  <si>
    <t xml:space="preserve">Pump Input Power @ 75% BEP (hp) </t>
  </si>
  <si>
    <t>Nominal Full Speed of Rotation (rpm)</t>
  </si>
  <si>
    <t>BEP Data Corrected to Nominal Full Speed</t>
  </si>
  <si>
    <t>75 % of BEP Q Corrected to Nominal Full Speed</t>
  </si>
  <si>
    <t>110% of BEP Q Corrected to Nominal Full Speed</t>
  </si>
  <si>
    <t>75% of BEP Q at Reduced Speed</t>
  </si>
  <si>
    <t>50% of BEP Q at Reduced Speed</t>
  </si>
  <si>
    <t>25% of BEP Q at Reduced Speed</t>
  </si>
  <si>
    <t>Vertical Turbine Submersible Pump</t>
  </si>
  <si>
    <t xml:space="preserve">This tab calculates the PEICL for pumps rated as bare pumps and pumps sold with motors rated using the calculation-based approach.  This procedure is applicable to pumps sold as bare pumps, pumps sold with drivers other than electric motors, and pumps sold with only single-phase induction motors. </t>
  </si>
  <si>
    <t>This tab calculates the PEICL for pumps rated as pumps sold with motors rated using the calculation-based approach.  This procedure is applicable to pumps sold with motors subject to DOE’s energy conservation standards for electric motors at §431.25 (except for single-phase induction motors) and VTS pumps sold with submersible motors. Pumps sold with any other motors cannot use this calculation-based approach and must apply the testing-based method.</t>
  </si>
  <si>
    <t>This tab calculates the PEIVL for pumps sold with motors and controls rated using the calculation-based approach.  This procedure is applicable to pumps sold with motors subject to DOE’s energy conservation standards for electric motors at §431.25 (except for single-phase induction motors) and continuous controls and pumps sold with submersible motors and continuous controls. Pumps sold with any other motors and/or non-continuous controls cannot use this calculation-based approach and must apply the testing-based method.</t>
  </si>
  <si>
    <t>Tested Speed (rpm)</t>
  </si>
  <si>
    <t>Nominal Motor Horsepower (hp)</t>
  </si>
  <si>
    <t>Motor HP for Default Motor Efficiency (hp)</t>
  </si>
  <si>
    <t xml:space="preserve">Motor Horsepower (hp) </t>
  </si>
  <si>
    <t>110% of BEP Q at Full Speed</t>
  </si>
  <si>
    <t>75% of BEP Q at Full Speed</t>
  </si>
  <si>
    <t>Tested Full Speed (rpm)</t>
  </si>
  <si>
    <t>100% of BEP Q at Full Speed</t>
  </si>
  <si>
    <t>Pump + Motor Covered by DOE’s Electric Motor Energy Conservation Standards 
OR 
Pump + Submersible Motor</t>
  </si>
  <si>
    <t>Pump + Motor Covered by DOE’s Electric Motor Energy Conservation Standards + Continuous Control 
OR 
Pump + Submersible Motor + Continuous Control</t>
  </si>
  <si>
    <r>
      <rPr>
        <b/>
        <sz val="14"/>
        <rFont val="Calibri"/>
        <family val="2"/>
        <scheme val="minor"/>
      </rPr>
      <t>PEICL_Calc_BarePump:</t>
    </r>
    <r>
      <rPr>
        <sz val="14"/>
        <rFont val="Calibri"/>
        <family val="2"/>
        <scheme val="minor"/>
      </rPr>
      <t xml:space="preserve"> 
Tested Pump Efficiency of Bare Pump 
+ Default Motor Efficiency 
+ Default Motor Part Load Loss Curve</t>
    </r>
  </si>
  <si>
    <r>
      <rPr>
        <b/>
        <sz val="14"/>
        <rFont val="Calibri"/>
        <family val="2"/>
        <scheme val="minor"/>
      </rPr>
      <t xml:space="preserve">PEIVL_Calc_Pump+Motor+Control: </t>
    </r>
    <r>
      <rPr>
        <sz val="14"/>
        <rFont val="Calibri"/>
        <family val="2"/>
        <scheme val="minor"/>
      </rPr>
      <t xml:space="preserve">
Tested Pump Efficiency of Bare Pump 
+ Motor Nameplate Efficiency for Actual Motor Paired with Pump 
+ Default Motor/Control Part Load Loss Curve 
+ Assumed System Curve</t>
    </r>
  </si>
  <si>
    <r>
      <rPr>
        <b/>
        <u/>
        <sz val="14"/>
        <color rgb="FF000000"/>
        <rFont val="Calibri"/>
        <family val="2"/>
        <scheme val="minor"/>
      </rPr>
      <t>TO USE</t>
    </r>
    <r>
      <rPr>
        <b/>
        <sz val="14"/>
        <color rgb="FF000000"/>
        <rFont val="Calibri"/>
        <family val="2"/>
        <scheme val="minor"/>
      </rPr>
      <t xml:space="preserve">:
</t>
    </r>
    <r>
      <rPr>
        <sz val="14"/>
        <color rgb="FF000000"/>
        <rFont val="Calibri"/>
        <family val="2"/>
        <scheme val="minor"/>
      </rPr>
      <t xml:space="preserve">1. Determine which tab is appropriate for the pump configuration (bare pump, pump + motor, or pump + motor + control) and test method (calculation-based or testing-based) being evaluated.  
2.  Enter relevant pump performance data at tested speed at the specified load points on the appropriate tab/worksheet as described below.  Note, if data normalized to nominal speed (i.e., 1800 or 3600 rpm) is entered, the PEI will still calculate correctly.  Each row represents one pump model and all the data in that row should correspond to that model.   </t>
    </r>
  </si>
  <si>
    <r>
      <rPr>
        <b/>
        <sz val="14"/>
        <rFont val="Calibri"/>
        <family val="2"/>
        <scheme val="minor"/>
      </rPr>
      <t xml:space="preserve">PEICL_Calc_Pump+Motor: </t>
    </r>
    <r>
      <rPr>
        <sz val="14"/>
        <rFont val="Calibri"/>
        <family val="2"/>
        <scheme val="minor"/>
      </rPr>
      <t xml:space="preserve">
Tested Pump Efficiency of Bare Pump 
+ Motor Nameplate Efficiency for Actual Motor Paired with Pump 
+ Default Motor Part Load Loss Curve</t>
    </r>
  </si>
  <si>
    <t>Pump + Motor Covered by DOE’s Electric Motor Energy Conservation Standards + Non-Continuous Control 
OR Pump + Submersible Motor + Non-Continuous Control</t>
  </si>
  <si>
    <r>
      <rPr>
        <b/>
        <sz val="14"/>
        <color theme="0"/>
        <rFont val="Calibri"/>
        <family val="2"/>
        <scheme val="minor"/>
      </rPr>
      <t xml:space="preserve">PEIVL_Test_Pump+Motor+Control: </t>
    </r>
    <r>
      <rPr>
        <sz val="14"/>
        <color theme="0"/>
        <rFont val="Calibri"/>
        <family val="2"/>
        <scheme val="minor"/>
      </rPr>
      <t xml:space="preserve">
Tested Wire-to-Water Performance</t>
    </r>
  </si>
  <si>
    <t>Bare pump, pump + motor, 
or pump + motor + controls</t>
  </si>
  <si>
    <r>
      <t>Calculation-Based (</t>
    </r>
    <r>
      <rPr>
        <b/>
        <sz val="14"/>
        <color rgb="FF007E39"/>
        <rFont val="Calibri"/>
        <family val="2"/>
        <scheme val="minor"/>
      </rPr>
      <t>"Calc"</t>
    </r>
    <r>
      <rPr>
        <sz val="14"/>
        <rFont val="Calibri"/>
        <family val="2"/>
        <scheme val="minor"/>
      </rPr>
      <t>) or Testing-based (</t>
    </r>
    <r>
      <rPr>
        <b/>
        <sz val="14"/>
        <color theme="3"/>
        <rFont val="Calibri"/>
        <family val="2"/>
        <scheme val="minor"/>
      </rPr>
      <t>"Test"</t>
    </r>
    <r>
      <rPr>
        <sz val="14"/>
        <rFont val="Calibri"/>
        <family val="2"/>
        <scheme val="minor"/>
      </rPr>
      <t>)</t>
    </r>
  </si>
  <si>
    <r>
      <rPr>
        <b/>
        <u/>
        <sz val="14"/>
        <rFont val="Calibri"/>
        <family val="2"/>
        <scheme val="minor"/>
      </rPr>
      <t xml:space="preserve">For Pumps Rated Using The Calculation-Based Approach
</t>
    </r>
    <r>
      <rPr>
        <sz val="14"/>
        <rFont val="Calibri"/>
        <family val="2"/>
        <scheme val="minor"/>
      </rPr>
      <t xml:space="preserve">The green-shaded </t>
    </r>
    <r>
      <rPr>
        <b/>
        <sz val="14"/>
        <color rgb="FF007E39"/>
        <rFont val="Calibri"/>
        <family val="2"/>
        <scheme val="minor"/>
      </rPr>
      <t>"Calc"</t>
    </r>
    <r>
      <rPr>
        <sz val="14"/>
        <rFont val="Calibri"/>
        <family val="2"/>
        <scheme val="minor"/>
      </rPr>
      <t xml:space="preserve"> tabs accept tested pump shaft input power data (as determined in accordance with HI 40.6) and the full load motor efficiency information, if applicable. </t>
    </r>
    <r>
      <rPr>
        <b/>
        <sz val="14"/>
        <rFont val="Calibri"/>
        <family val="2"/>
        <scheme val="minor"/>
      </rPr>
      <t xml:space="preserve"> </t>
    </r>
    <r>
      <rPr>
        <sz val="14"/>
        <rFont val="Calibri"/>
        <family val="2"/>
        <scheme val="minor"/>
      </rPr>
      <t>Fill out the "</t>
    </r>
    <r>
      <rPr>
        <b/>
        <sz val="14"/>
        <rFont val="Calibri"/>
        <family val="2"/>
        <scheme val="minor"/>
      </rPr>
      <t xml:space="preserve">Calc" </t>
    </r>
    <r>
      <rPr>
        <sz val="14"/>
        <rFont val="Calibri"/>
        <family val="2"/>
        <scheme val="minor"/>
      </rPr>
      <t>tab for each equipment class as follows:</t>
    </r>
    <r>
      <rPr>
        <b/>
        <sz val="14"/>
        <rFont val="Calibri"/>
        <family val="2"/>
        <scheme val="minor"/>
      </rPr>
      <t xml:space="preserve">
FOR BARE PUMPS, PUMPS SOLD WITH DRIVERS OTHER THAN ELECTRIC MOTORS, AND PUMPS SOLD WITH ONLY SINGLE-PHASE INDUCTION MOTORS:</t>
    </r>
    <r>
      <rPr>
        <sz val="14"/>
        <rFont val="Calibri"/>
        <family val="2"/>
        <scheme val="minor"/>
      </rPr>
      <t xml:space="preserve">
Use the</t>
    </r>
    <r>
      <rPr>
        <b/>
        <sz val="14"/>
        <rFont val="Calibri"/>
        <family val="2"/>
        <scheme val="minor"/>
      </rPr>
      <t xml:space="preserve"> PEICL_Calc_BarePump tab</t>
    </r>
    <r>
      <rPr>
        <sz val="14"/>
        <rFont val="Calibri"/>
        <family val="2"/>
        <scheme val="minor"/>
      </rPr>
      <t xml:space="preserve"> and enter:  
      -Pump make and model information, including tested speed (i.e., the speed at which the pump was tested). 
      -Select the appropriate pump equipment class. </t>
    </r>
    <r>
      <rPr>
        <b/>
        <sz val="14"/>
        <rFont val="Calibri"/>
        <family val="2"/>
        <scheme val="minor"/>
      </rPr>
      <t xml:space="preserve"> This will ensure the correct C-Value is selected.  </t>
    </r>
    <r>
      <rPr>
        <sz val="14"/>
        <rFont val="Calibri"/>
        <family val="2"/>
        <scheme val="minor"/>
      </rPr>
      <t xml:space="preserve">Please refer to the Pump equipment class  table to the right.
      -Pump shaft input power, efficiency, and flow rate at pump BEP. 
      -Pump shaft input power and efficiency at 50%, 75%, and 110% of BEP flow. 
      -Motor information in the green cells is NOT REQUIRED to calculate PER or PEI. 
</t>
    </r>
    <r>
      <rPr>
        <b/>
        <sz val="14"/>
        <rFont val="Calibri"/>
        <family val="2"/>
        <scheme val="minor"/>
      </rPr>
      <t>FOR PUMPS SOLD WITH MOTORS SUBJECT TO DOE's ENERGY CONSERVATION STANDARDS FOR ELECTRIC MOTORS AT 431.25 AND VERTICAL TURBINE SUBMERSIBLE PUMPS SOLD WITH SUBMERSIBLE MOTORS (WITH OR WITHOUT CONTINUOUS CONTROLS):</t>
    </r>
    <r>
      <rPr>
        <sz val="14"/>
        <rFont val="Calibri"/>
        <family val="2"/>
        <scheme val="minor"/>
      </rPr>
      <t xml:space="preserve">
Use the </t>
    </r>
    <r>
      <rPr>
        <b/>
        <sz val="14"/>
        <rFont val="Calibri"/>
        <family val="2"/>
        <scheme val="minor"/>
      </rPr>
      <t>PEICL_Calc_Pump+Motor or PEIVL_Calc_Pump+Motor+Controls tabs</t>
    </r>
    <r>
      <rPr>
        <sz val="14"/>
        <rFont val="Calibri"/>
        <family val="2"/>
        <scheme val="minor"/>
      </rPr>
      <t>, as appropriate</t>
    </r>
    <r>
      <rPr>
        <b/>
        <sz val="14"/>
        <rFont val="Calibri"/>
        <family val="2"/>
        <scheme val="minor"/>
      </rPr>
      <t>.</t>
    </r>
    <r>
      <rPr>
        <sz val="14"/>
        <rFont val="Calibri"/>
        <family val="2"/>
        <scheme val="minor"/>
      </rPr>
      <t xml:space="preserve">  Enter the same pump information as for a bare pump and, in addition:
     - Motor size, full load efficiency, and type (enclosed or open) for the motor sold with that pump.</t>
    </r>
  </si>
  <si>
    <r>
      <rPr>
        <b/>
        <u/>
        <sz val="14"/>
        <rFont val="Calibri"/>
        <family val="2"/>
        <scheme val="minor"/>
      </rPr>
      <t>For Pumps Rated Using The Testing-Based Approach</t>
    </r>
    <r>
      <rPr>
        <sz val="14"/>
        <rFont val="Calibri"/>
        <family val="2"/>
        <scheme val="minor"/>
      </rPr>
      <t xml:space="preserve">
The testing-based approach is applicable to all pumps sold with electric motors, other than single-phase induction motors, including pumps sold with continuous controls and pumps sold with non-continuous controls.  
The blue-shaded, </t>
    </r>
    <r>
      <rPr>
        <b/>
        <sz val="14"/>
        <color theme="3"/>
        <rFont val="Calibri"/>
        <family val="2"/>
        <scheme val="minor"/>
      </rPr>
      <t>"Test"</t>
    </r>
    <r>
      <rPr>
        <sz val="14"/>
        <rFont val="Calibri"/>
        <family val="2"/>
        <scheme val="minor"/>
      </rPr>
      <t xml:space="preserve"> tabs accept the input power to the motor as determined by a wire-to-water test of the combined bare pump and motor and should be filled out as follows: 
</t>
    </r>
    <r>
      <rPr>
        <b/>
        <sz val="14"/>
        <rFont val="Calibri"/>
        <family val="2"/>
        <scheme val="minor"/>
      </rPr>
      <t>FOR PUMPS SOLD WITH ELECTRIC MOTORS AND NO CONTROLS:</t>
    </r>
    <r>
      <rPr>
        <sz val="14"/>
        <rFont val="Calibri"/>
        <family val="2"/>
        <scheme val="minor"/>
      </rPr>
      <t xml:space="preserve">
Use the </t>
    </r>
    <r>
      <rPr>
        <b/>
        <sz val="14"/>
        <rFont val="Calibri"/>
        <family val="2"/>
        <scheme val="minor"/>
      </rPr>
      <t>PEICL_Test_Pump+Motor tab</t>
    </r>
    <r>
      <rPr>
        <sz val="14"/>
        <rFont val="Calibri"/>
        <family val="2"/>
        <scheme val="minor"/>
      </rPr>
      <t xml:space="preserve"> and enter:  
      -Pump make and model information, including tested speed (i.e., the speed at which the pump was tested). 
      -Select the appropriate pump equipment class.  </t>
    </r>
    <r>
      <rPr>
        <b/>
        <sz val="14"/>
        <rFont val="Calibri"/>
        <family val="2"/>
        <scheme val="minor"/>
      </rPr>
      <t xml:space="preserve">This will ensure the correct C-Value is selected.  </t>
    </r>
    <r>
      <rPr>
        <sz val="14"/>
        <rFont val="Calibri"/>
        <family val="2"/>
        <scheme val="minor"/>
      </rPr>
      <t xml:space="preserve">Please refer to the Pump equipment class table to the right.
      -Pump flow rate, head, and input power to the motor at the specified load points (i.e., 75%, 100%, and 110% of BEP flow).  
</t>
    </r>
    <r>
      <rPr>
        <b/>
        <sz val="14"/>
        <rFont val="Calibri"/>
        <family val="2"/>
        <scheme val="minor"/>
      </rPr>
      <t>FOR PUMPS SOLD WITH ELECTIC MOTORS AND CONTINUOUS OR NON-CONTINUOUS CONTROLS:</t>
    </r>
    <r>
      <rPr>
        <sz val="14"/>
        <rFont val="Calibri"/>
        <family val="2"/>
        <scheme val="minor"/>
      </rPr>
      <t xml:space="preserve">
Use the </t>
    </r>
    <r>
      <rPr>
        <b/>
        <sz val="14"/>
        <rFont val="Calibri"/>
        <family val="2"/>
        <scheme val="minor"/>
      </rPr>
      <t xml:space="preserve">PEICL_Test_Pump+Motor+Controls tab </t>
    </r>
    <r>
      <rPr>
        <sz val="14"/>
        <rFont val="Calibri"/>
        <family val="2"/>
        <scheme val="minor"/>
      </rPr>
      <t xml:space="preserve">and enter:  
      -Pump make and model information, including rated speed (i.e. the speed at which the pump was tested). 
      -Select the appropriate pump equipment class.  </t>
    </r>
    <r>
      <rPr>
        <b/>
        <sz val="14"/>
        <rFont val="Calibri"/>
        <family val="2"/>
        <scheme val="minor"/>
      </rPr>
      <t xml:space="preserve">This will ensure the correct C-Value is selected.  </t>
    </r>
    <r>
      <rPr>
        <sz val="14"/>
        <rFont val="Calibri"/>
        <family val="2"/>
        <scheme val="minor"/>
      </rPr>
      <t xml:space="preserve">Please refer to the Pump equipment class table to the right.
      -Pump flow rate, head, and input power to the controls at the specified variable load points (i.e., 25%, 50%, 75%, and 100% of BEP flow).  
      -Pump hydraulic power at full speed at 75% and 110% of BEP flow.  </t>
    </r>
  </si>
  <si>
    <t>Pump + Motor Not Covered by DOE’s Electric Motor Energy Conservation Standards (Except Submersible Motors)</t>
  </si>
  <si>
    <r>
      <rPr>
        <b/>
        <u/>
        <sz val="14"/>
        <color theme="1"/>
        <rFont val="Calibri"/>
        <family val="2"/>
        <scheme val="minor"/>
      </rPr>
      <t>NOTES</t>
    </r>
    <r>
      <rPr>
        <sz val="14"/>
        <color theme="1"/>
        <rFont val="Calibri"/>
        <family val="2"/>
        <scheme val="minor"/>
      </rPr>
      <t xml:space="preserve">
The Constant Load Pump Energy Index (PEI</t>
    </r>
    <r>
      <rPr>
        <vertAlign val="subscript"/>
        <sz val="14"/>
        <color theme="1"/>
        <rFont val="Calibri"/>
        <family val="2"/>
        <scheme val="minor"/>
      </rPr>
      <t>CL</t>
    </r>
    <r>
      <rPr>
        <sz val="14"/>
        <color theme="1"/>
        <rFont val="Calibri"/>
        <family val="2"/>
        <scheme val="minor"/>
      </rPr>
      <t>) or Variable Load Pump Energy Index (PEI</t>
    </r>
    <r>
      <rPr>
        <vertAlign val="subscript"/>
        <sz val="14"/>
        <color theme="1"/>
        <rFont val="Calibri"/>
        <family val="2"/>
        <scheme val="minor"/>
      </rPr>
      <t>VL</t>
    </r>
    <r>
      <rPr>
        <sz val="14"/>
        <color theme="1"/>
        <rFont val="Calibri"/>
        <family val="2"/>
        <scheme val="minor"/>
      </rPr>
      <t>) calculated in this tool is based on the standard level (C-Value) proposed in the Pumps Energy Conservation Standard Notice of Proposed Rulemaking.  80 FR 17826 (April 2, 2015).  In addition to the PEI</t>
    </r>
    <r>
      <rPr>
        <vertAlign val="subscript"/>
        <sz val="14"/>
        <color theme="1"/>
        <rFont val="Calibri"/>
        <family val="2"/>
        <scheme val="minor"/>
      </rPr>
      <t>CL</t>
    </r>
    <r>
      <rPr>
        <sz val="14"/>
        <color theme="1"/>
        <rFont val="Calibri"/>
        <family val="2"/>
        <scheme val="minor"/>
      </rPr>
      <t xml:space="preserve"> or PEI</t>
    </r>
    <r>
      <rPr>
        <vertAlign val="subscript"/>
        <sz val="14"/>
        <color theme="1"/>
        <rFont val="Calibri"/>
        <family val="2"/>
        <scheme val="minor"/>
      </rPr>
      <t>VL</t>
    </r>
    <r>
      <rPr>
        <sz val="14"/>
        <color theme="1"/>
        <rFont val="Calibri"/>
        <family val="2"/>
        <scheme val="minor"/>
      </rPr>
      <t xml:space="preserve">, the calculator will determine whether or not the given pump passes or fails under the proposed standard; above these columns, the total number and percentage of pump models of a given pump configuration is presented.  
The data entry format has generally been kept consistent with the original PEI Calculator developed during the Pumps Working Group negotiated rulemaking (Docket No. EERE-2013-BT-NOC-0039), although some minor changes have been made, especially on the tabs corresponding to the testing-based approach.  Future versions of the calculator may remove some unnecessary cells and be more consistent with the HI 40.6 data outputs.
It may be helpful to create separate tabs for each equipment class, depending on the number of pumps in each equipment class that must be certified. 
DOE invites comments on the format and accuracy of this Draft PEI Calculator.  However, the equations within these cells cannot be edited. 
</t>
    </r>
  </si>
  <si>
    <r>
      <rPr>
        <b/>
        <u/>
        <sz val="14"/>
        <color rgb="FF000000"/>
        <rFont val="Calibri"/>
        <family val="2"/>
        <scheme val="minor"/>
      </rPr>
      <t>INSTRUCTIONS:</t>
    </r>
    <r>
      <rPr>
        <sz val="14"/>
        <color rgb="FF000000"/>
        <rFont val="Calibri"/>
        <family val="2"/>
        <scheme val="minor"/>
      </rPr>
      <t xml:space="preserve">
The calculator contains 5 separate tabs for data input -- 3 for pumps rated using the calculation-based approach and 2 for pumps rated using the physical testing-based approach. The table at right clarifies the applicability of the different test methods to specific configurations of pumps with certain characteristics, paired motors, and/or integral controls.  The tabs are labeled using nomenclature that indicate the metric, test method, and pump configuration as follows:    </t>
    </r>
  </si>
  <si>
    <t>an end suction pump where:  (1) the bare pump has its own impeller shaft and bearings and does not rely on the motor shaft to serve as the impeller shaft;  (2) the pump requires attachment to a rigid foundation to function as designed and cannot function as designed when supported only by the supply and discharge piping to which it is connected; and  (3) the pump does not include a basket strainer. Examples include, but are not limited to, pumps complying with ANSI/HI nomenclature OH0 and OH1, as described in ANSI/HI 1.1–1.2–2014.</t>
  </si>
  <si>
    <r>
      <t xml:space="preserve">PEICL_Test_Pump+Motor: 
</t>
    </r>
    <r>
      <rPr>
        <sz val="14"/>
        <color theme="0"/>
        <rFont val="Calibri"/>
        <family val="2"/>
        <scheme val="minor"/>
      </rPr>
      <t>Tested Wire-to-Water Performance</t>
    </r>
  </si>
  <si>
    <r>
      <rPr>
        <b/>
        <u/>
        <sz val="14"/>
        <color rgb="FF000000"/>
        <rFont val="Calibri"/>
        <family val="2"/>
        <scheme val="minor"/>
      </rPr>
      <t>INTRODUCTION</t>
    </r>
    <r>
      <rPr>
        <sz val="14"/>
        <color rgb="FF000000"/>
        <rFont val="Calibri"/>
        <family val="2"/>
        <scheme val="minor"/>
      </rPr>
      <t xml:space="preserve">:
This Excel spreadsheet is designed to perform the calculations necessary to determine PEI -- a pump’s energy index -- as proposed in DOE's Notices of Proposed Rulemaking (Dockets EERE-2011-BT-STD-0031 and EERE-2013-BT-TP-0055).  Under the proposals, the PEI calculations must be performed using measured values – that is, using results from testing actual pumps in accordance with the proposed test method and sampling plan.  The PEI calculator is not considered an Alternative Efficiency Determination Method (AEDM) by the Department and could not to be used to simulate or estimate the efficiency of a pump.
DOE is providing this "calculator" as a convenience at the request of interested parties.  Interested parties should consult the Federal Register for the proposed formulas for calculating PEI and should not rely on this spreadsheet. Dockets EERE-2011-BT-STD-0031 and EERE-2013-BT-TP-0055 (available at www.regulations.gov) contains DOE's proposed rules for the standards and test procedure, respectively. While this calculator is an excel-based version of the calculations in the test procedure proposal, DOE did not rely on this document to develop the proposal itself. </t>
    </r>
  </si>
  <si>
    <t>DRAFT PEI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</si>
</sst>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quot;$&quot;#,##0\)"/>
    <numFmt numFmtId="165" formatCode="0.000"/>
    <numFmt numFmtId="166" formatCode="0.0"/>
    <numFmt numFmtId="167" formatCode="0.0000"/>
  </numFmts>
  <fonts count="46" x14ac:knownFonts="1">
    <font>
      <sz val="11"/>
      <color theme="1"/>
      <name val="Calibri"/>
      <family val="2"/>
      <scheme val="minor"/>
    </font>
    <font>
      <b/>
      <sz val="11"/>
      <color theme="1"/>
      <name val="Calibri"/>
      <family val="2"/>
      <scheme val="minor"/>
    </font>
    <font>
      <sz val="10"/>
      <name val="Arial"/>
      <family val="2"/>
    </font>
    <font>
      <sz val="10"/>
      <color theme="1"/>
      <name val="Arial"/>
      <family val="2"/>
    </font>
    <font>
      <b/>
      <sz val="18"/>
      <color indexed="22"/>
      <name val="Arial"/>
      <family val="2"/>
    </font>
    <font>
      <b/>
      <sz val="12"/>
      <color indexed="22"/>
      <name val="Arial"/>
      <family val="2"/>
    </font>
    <font>
      <sz val="11"/>
      <color indexed="8"/>
      <name val="Calibri"/>
      <family val="2"/>
      <scheme val="minor"/>
    </font>
    <font>
      <sz val="9"/>
      <color indexed="81"/>
      <name val="Tahoma"/>
      <family val="2"/>
    </font>
    <font>
      <b/>
      <sz val="9"/>
      <color indexed="81"/>
      <name val="Tahoma"/>
      <family val="2"/>
    </font>
    <font>
      <b/>
      <sz val="14"/>
      <color theme="1"/>
      <name val="Calibri"/>
      <family val="2"/>
      <scheme val="minor"/>
    </font>
    <font>
      <sz val="10"/>
      <color rgb="FF000000"/>
      <name val="Arial"/>
      <family val="2"/>
    </font>
    <font>
      <b/>
      <sz val="12"/>
      <color theme="1"/>
      <name val="Calibri"/>
      <family val="2"/>
      <scheme val="minor"/>
    </font>
    <font>
      <b/>
      <u/>
      <sz val="14"/>
      <name val="Calibri"/>
      <family val="2"/>
      <scheme val="minor"/>
    </font>
    <font>
      <b/>
      <sz val="12"/>
      <color theme="0"/>
      <name val="Calibri"/>
      <family val="2"/>
      <scheme val="minor"/>
    </font>
    <font>
      <b/>
      <sz val="10"/>
      <color rgb="FFFA7D00"/>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
      <b/>
      <sz val="20"/>
      <color theme="1"/>
      <name val="Calibri"/>
      <family val="2"/>
      <scheme val="minor"/>
    </font>
    <font>
      <sz val="10"/>
      <color rgb="FF000000"/>
      <name val="Calibri"/>
      <family val="2"/>
      <scheme val="minor"/>
    </font>
    <font>
      <sz val="12"/>
      <color rgb="FF000000"/>
      <name val="Calibri"/>
      <family val="2"/>
      <scheme val="minor"/>
    </font>
    <font>
      <b/>
      <sz val="12"/>
      <color rgb="FF000000"/>
      <name val="Calibri"/>
      <family val="2"/>
      <scheme val="minor"/>
    </font>
    <font>
      <b/>
      <sz val="14"/>
      <color rgb="FFFA7D00"/>
      <name val="Calibri"/>
      <family val="2"/>
      <scheme val="minor"/>
    </font>
    <font>
      <b/>
      <sz val="11"/>
      <color rgb="FF000000"/>
      <name val="Lucida Sans Unicode"/>
      <family val="2"/>
    </font>
    <font>
      <sz val="11"/>
      <color theme="1"/>
      <name val="Calibri"/>
      <family val="2"/>
      <scheme val="minor"/>
    </font>
    <font>
      <sz val="11"/>
      <color theme="0"/>
      <name val="Calibri"/>
      <family val="2"/>
      <scheme val="minor"/>
    </font>
    <font>
      <b/>
      <sz val="10"/>
      <name val="Arial"/>
      <family val="2"/>
    </font>
    <font>
      <b/>
      <sz val="14"/>
      <color rgb="FF000000"/>
      <name val="Calibri"/>
      <family val="2"/>
      <scheme val="minor"/>
    </font>
    <font>
      <b/>
      <u/>
      <sz val="14"/>
      <color rgb="FF000000"/>
      <name val="Calibri"/>
      <family val="2"/>
      <scheme val="minor"/>
    </font>
    <font>
      <sz val="14"/>
      <color rgb="FF000000"/>
      <name val="Calibri"/>
      <family val="2"/>
      <scheme val="minor"/>
    </font>
    <font>
      <b/>
      <u/>
      <sz val="14"/>
      <color theme="1"/>
      <name val="Calibri"/>
      <family val="2"/>
      <scheme val="minor"/>
    </font>
    <font>
      <sz val="12"/>
      <color rgb="FF000000"/>
      <name val="Calibri"/>
      <family val="2"/>
    </font>
    <font>
      <sz val="11"/>
      <color rgb="FF000000"/>
      <name val="Calibri"/>
      <family val="2"/>
      <scheme val="minor"/>
    </font>
    <font>
      <b/>
      <sz val="16"/>
      <color theme="1"/>
      <name val="Calibri"/>
      <family val="2"/>
      <scheme val="minor"/>
    </font>
    <font>
      <sz val="14"/>
      <name val="Calibri"/>
      <family val="2"/>
      <scheme val="minor"/>
    </font>
    <font>
      <b/>
      <sz val="14"/>
      <name val="Calibri"/>
      <family val="2"/>
      <scheme val="minor"/>
    </font>
    <font>
      <b/>
      <sz val="18"/>
      <color theme="1"/>
      <name val="Calibri"/>
      <family val="2"/>
      <scheme val="minor"/>
    </font>
    <font>
      <b/>
      <sz val="18"/>
      <name val="Calibri"/>
      <family val="2"/>
      <scheme val="minor"/>
    </font>
    <font>
      <b/>
      <sz val="18"/>
      <color theme="0"/>
      <name val="Calibri"/>
      <family val="2"/>
      <scheme val="minor"/>
    </font>
    <font>
      <u/>
      <sz val="11"/>
      <color theme="10"/>
      <name val="Calibri"/>
      <family val="2"/>
      <scheme val="minor"/>
    </font>
    <font>
      <vertAlign val="subscript"/>
      <sz val="14"/>
      <color theme="1"/>
      <name val="Calibri"/>
      <family val="2"/>
      <scheme val="minor"/>
    </font>
    <font>
      <b/>
      <vertAlign val="subscript"/>
      <sz val="20"/>
      <color theme="1"/>
      <name val="Calibri"/>
      <family val="2"/>
      <scheme val="minor"/>
    </font>
    <font>
      <sz val="14"/>
      <color theme="0"/>
      <name val="Calibri"/>
      <family val="2"/>
      <scheme val="minor"/>
    </font>
    <font>
      <b/>
      <sz val="14"/>
      <color rgb="FF007E39"/>
      <name val="Calibri"/>
      <family val="2"/>
      <scheme val="minor"/>
    </font>
    <font>
      <b/>
      <sz val="14"/>
      <color theme="3"/>
      <name val="Calibri"/>
      <family val="2"/>
      <scheme val="minor"/>
    </font>
    <font>
      <b/>
      <sz val="20"/>
      <name val="Calibri"/>
      <family val="2"/>
      <scheme val="minor"/>
    </font>
  </fonts>
  <fills count="2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FFC000"/>
        <bgColor indexed="64"/>
      </patternFill>
    </fill>
    <fill>
      <patternFill patternType="solid">
        <fgColor rgb="FF7030A0"/>
        <bgColor indexed="64"/>
      </patternFill>
    </fill>
    <fill>
      <patternFill patternType="solid">
        <fgColor theme="0" tint="-0.249977111117893"/>
        <bgColor indexed="64"/>
      </patternFill>
    </fill>
    <fill>
      <patternFill patternType="solid">
        <fgColor rgb="FFF2F2F2"/>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EEFFDD"/>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007E39"/>
        <bgColor indexed="64"/>
      </patternFill>
    </fill>
    <fill>
      <patternFill patternType="solid">
        <fgColor theme="0"/>
        <bgColor indexed="64"/>
      </patternFill>
    </fill>
    <fill>
      <patternFill patternType="solid">
        <fgColor theme="4"/>
        <bgColor indexed="64"/>
      </patternFill>
    </fill>
    <fill>
      <patternFill patternType="solid">
        <fgColor theme="2" tint="-0.249977111117893"/>
        <bgColor indexed="64"/>
      </patternFill>
    </fill>
    <fill>
      <patternFill patternType="solid">
        <fgColor theme="7"/>
        <bgColor indexed="64"/>
      </patternFill>
    </fill>
    <fill>
      <patternFill patternType="solid">
        <fgColor theme="3"/>
        <bgColor indexed="64"/>
      </patternFill>
    </fill>
    <fill>
      <patternFill patternType="solid">
        <fgColor rgb="FFE0FFC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6">
    <xf numFmtId="0" fontId="0" fillId="0" borderId="0"/>
    <xf numFmtId="0" fontId="2" fillId="0" borderId="0"/>
    <xf numFmtId="0" fontId="3" fillId="0" borderId="0"/>
    <xf numFmtId="3"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2" fillId="0" borderId="4" applyNumberFormat="0" applyFont="0" applyFill="0" applyAlignment="0" applyProtection="0"/>
    <xf numFmtId="0" fontId="14" fillId="12" borderId="26" applyNumberFormat="0" applyAlignment="0" applyProtection="0"/>
    <xf numFmtId="0" fontId="3" fillId="0" borderId="0"/>
    <xf numFmtId="9" fontId="24" fillId="0" borderId="0" applyFont="0" applyFill="0" applyBorder="0" applyAlignment="0" applyProtection="0"/>
    <xf numFmtId="0" fontId="14" fillId="12" borderId="26" applyNumberFormat="0" applyAlignment="0" applyProtection="0"/>
    <xf numFmtId="0" fontId="39" fillId="0" borderId="0" applyNumberFormat="0" applyFill="0" applyBorder="0" applyAlignment="0" applyProtection="0"/>
  </cellStyleXfs>
  <cellXfs count="636">
    <xf numFmtId="0" fontId="0" fillId="0" borderId="0" xfId="0"/>
    <xf numFmtId="0" fontId="0" fillId="0" borderId="0" xfId="0" applyFont="1"/>
    <xf numFmtId="0" fontId="0" fillId="0" borderId="0" xfId="0" applyFont="1" applyAlignment="1">
      <alignment horizontal="center" vertical="center" wrapText="1"/>
    </xf>
    <xf numFmtId="0" fontId="0"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0" fillId="0" borderId="0" xfId="0" applyFont="1"/>
    <xf numFmtId="0" fontId="0" fillId="0" borderId="0" xfId="0" applyFont="1"/>
    <xf numFmtId="0" fontId="1" fillId="0" borderId="0" xfId="0" applyFont="1" applyBorder="1" applyAlignment="1">
      <alignment vertical="center"/>
    </xf>
    <xf numFmtId="0" fontId="0" fillId="0" borderId="0" xfId="0" applyFont="1" applyFill="1" applyBorder="1" applyAlignment="1">
      <alignment vertical="center"/>
    </xf>
    <xf numFmtId="166" fontId="0" fillId="0" borderId="0" xfId="0" applyNumberFormat="1" applyFont="1"/>
    <xf numFmtId="166" fontId="0" fillId="0" borderId="0" xfId="0" applyNumberFormat="1" applyFont="1" applyFill="1" applyBorder="1"/>
    <xf numFmtId="166" fontId="1" fillId="0" borderId="0" xfId="0" applyNumberFormat="1" applyFont="1" applyFill="1" applyBorder="1" applyAlignment="1">
      <alignment horizontal="center" vertical="center" wrapText="1"/>
    </xf>
    <xf numFmtId="166" fontId="0" fillId="0" borderId="5"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wrapText="1"/>
    </xf>
    <xf numFmtId="0" fontId="0"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Border="1" applyAlignment="1">
      <alignment vertical="center"/>
    </xf>
    <xf numFmtId="0" fontId="0" fillId="0" borderId="2" xfId="0" applyFont="1" applyFill="1" applyBorder="1" applyAlignment="1">
      <alignment horizontal="center" vertical="center" wrapText="1"/>
    </xf>
    <xf numFmtId="0" fontId="0" fillId="0" borderId="0" xfId="0" applyFont="1" applyFill="1" applyBorder="1" applyAlignment="1">
      <alignment vertical="center"/>
    </xf>
    <xf numFmtId="165" fontId="0" fillId="0" borderId="1" xfId="0" applyNumberFormat="1" applyFont="1" applyBorder="1"/>
    <xf numFmtId="1" fontId="0" fillId="0" borderId="0" xfId="0" applyNumberFormat="1" applyFont="1" applyFill="1" applyBorder="1"/>
    <xf numFmtId="0" fontId="0" fillId="0" borderId="0" xfId="0" applyFont="1"/>
    <xf numFmtId="0" fontId="0" fillId="0" borderId="0" xfId="0" applyFont="1" applyAlignment="1">
      <alignment horizontal="center" vertical="center" wrapText="1"/>
    </xf>
    <xf numFmtId="0" fontId="0"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right" vertical="center"/>
    </xf>
    <xf numFmtId="165" fontId="0" fillId="0" borderId="1" xfId="0" applyNumberFormat="1" applyFont="1" applyBorder="1"/>
    <xf numFmtId="0" fontId="1" fillId="0" borderId="0" xfId="0" applyFont="1" applyBorder="1" applyAlignment="1">
      <alignment vertical="center"/>
    </xf>
    <xf numFmtId="0" fontId="0"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vertical="center"/>
    </xf>
    <xf numFmtId="9" fontId="0" fillId="0" borderId="0" xfId="0" applyNumberFormat="1" applyFont="1" applyFill="1" applyBorder="1"/>
    <xf numFmtId="0" fontId="0" fillId="16" borderId="5" xfId="0" applyFont="1" applyFill="1" applyBorder="1" applyAlignment="1">
      <alignment horizontal="center" vertical="center" wrapText="1"/>
    </xf>
    <xf numFmtId="0" fontId="0" fillId="16" borderId="1" xfId="0" applyFont="1" applyFill="1" applyBorder="1" applyAlignment="1">
      <alignment horizontal="center" vertical="center" wrapText="1"/>
    </xf>
    <xf numFmtId="166" fontId="0" fillId="0" borderId="0" xfId="0" applyNumberFormat="1" applyFont="1"/>
    <xf numFmtId="166" fontId="0" fillId="0" borderId="0" xfId="0" applyNumberFormat="1" applyFont="1" applyFill="1" applyBorder="1"/>
    <xf numFmtId="166" fontId="1" fillId="0" borderId="0" xfId="0" applyNumberFormat="1" applyFont="1" applyFill="1" applyBorder="1" applyAlignment="1">
      <alignment horizontal="center" vertical="center" wrapText="1"/>
    </xf>
    <xf numFmtId="166" fontId="0" fillId="0" borderId="6" xfId="0" applyNumberFormat="1" applyFont="1" applyFill="1" applyBorder="1" applyAlignment="1">
      <alignment horizontal="center" vertical="center" wrapText="1"/>
    </xf>
    <xf numFmtId="166" fontId="0" fillId="0" borderId="5"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2" fontId="0" fillId="11" borderId="1" xfId="0" applyNumberFormat="1" applyFont="1" applyFill="1" applyBorder="1"/>
    <xf numFmtId="2" fontId="0" fillId="11" borderId="6" xfId="0" applyNumberFormat="1" applyFont="1" applyFill="1" applyBorder="1"/>
    <xf numFmtId="166" fontId="0" fillId="11" borderId="1" xfId="0" applyNumberFormat="1" applyFont="1" applyFill="1" applyBorder="1"/>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11" borderId="5" xfId="0" applyFont="1" applyFill="1" applyBorder="1"/>
    <xf numFmtId="2" fontId="0" fillId="11" borderId="2" xfId="0" applyNumberFormat="1" applyFont="1" applyFill="1" applyBorder="1"/>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1" fillId="9" borderId="11" xfId="0" applyFont="1" applyFill="1" applyBorder="1" applyAlignment="1">
      <alignment horizontal="center" vertical="center" wrapText="1"/>
    </xf>
    <xf numFmtId="1" fontId="0" fillId="11" borderId="5" xfId="0" applyNumberFormat="1" applyFont="1" applyFill="1" applyBorder="1"/>
    <xf numFmtId="0" fontId="0" fillId="0" borderId="2" xfId="0" applyFont="1" applyBorder="1" applyAlignment="1">
      <alignment horizontal="center" vertical="center" wrapText="1"/>
    </xf>
    <xf numFmtId="166" fontId="0" fillId="0" borderId="10" xfId="0" applyNumberFormat="1" applyFont="1" applyFill="1" applyBorder="1" applyAlignment="1">
      <alignment horizontal="center" vertical="center" wrapText="1"/>
    </xf>
    <xf numFmtId="166" fontId="0" fillId="0" borderId="11" xfId="0" applyNumberFormat="1" applyFont="1" applyFill="1" applyBorder="1" applyAlignment="1">
      <alignment horizontal="center" vertical="center" wrapText="1"/>
    </xf>
    <xf numFmtId="1" fontId="0" fillId="11" borderId="7" xfId="0" applyNumberFormat="1" applyFont="1" applyFill="1" applyBorder="1"/>
    <xf numFmtId="2" fontId="0" fillId="11" borderId="9" xfId="0" applyNumberFormat="1" applyFont="1" applyFill="1" applyBorder="1"/>
    <xf numFmtId="2" fontId="0" fillId="11" borderId="8" xfId="0" applyNumberFormat="1" applyFont="1" applyFill="1" applyBorder="1"/>
    <xf numFmtId="166" fontId="0" fillId="0" borderId="2" xfId="0" applyNumberFormat="1" applyFont="1" applyFill="1" applyBorder="1" applyAlignment="1">
      <alignment horizontal="center" vertical="center" wrapText="1"/>
    </xf>
    <xf numFmtId="166" fontId="0" fillId="0" borderId="3" xfId="0" applyNumberFormat="1" applyFont="1" applyFill="1" applyBorder="1" applyAlignment="1">
      <alignment horizontal="center" vertical="center" wrapText="1"/>
    </xf>
    <xf numFmtId="166" fontId="0" fillId="11" borderId="2" xfId="0" applyNumberFormat="1" applyFont="1" applyFill="1" applyBorder="1"/>
    <xf numFmtId="1" fontId="0" fillId="11" borderId="3" xfId="0" applyNumberFormat="1" applyFont="1" applyFill="1" applyBorder="1"/>
    <xf numFmtId="2" fontId="0" fillId="0" borderId="30" xfId="0" applyNumberFormat="1" applyFont="1" applyFill="1" applyBorder="1"/>
    <xf numFmtId="165" fontId="0" fillId="0" borderId="6" xfId="0" applyNumberFormat="1" applyFont="1" applyBorder="1"/>
    <xf numFmtId="165" fontId="0" fillId="0" borderId="8" xfId="0" applyNumberFormat="1" applyFont="1" applyBorder="1"/>
    <xf numFmtId="0" fontId="0" fillId="0" borderId="13" xfId="0" applyFont="1" applyFill="1" applyBorder="1" applyAlignment="1">
      <alignment horizontal="center" vertical="center" wrapText="1"/>
    </xf>
    <xf numFmtId="1" fontId="0" fillId="0" borderId="0" xfId="0" applyNumberFormat="1" applyFont="1" applyFill="1" applyBorder="1"/>
    <xf numFmtId="0" fontId="11" fillId="13" borderId="12" xfId="0" applyFont="1" applyFill="1" applyBorder="1" applyAlignment="1">
      <alignment horizontal="center" vertical="center"/>
    </xf>
    <xf numFmtId="0" fontId="1" fillId="17" borderId="6" xfId="0" applyFont="1" applyFill="1" applyBorder="1" applyAlignment="1">
      <alignment horizontal="center" vertical="center" wrapText="1"/>
    </xf>
    <xf numFmtId="0" fontId="0" fillId="17" borderId="12" xfId="0" applyFont="1" applyFill="1" applyBorder="1"/>
    <xf numFmtId="9" fontId="0" fillId="17" borderId="8" xfId="13" applyFont="1" applyFill="1" applyBorder="1"/>
    <xf numFmtId="2" fontId="0" fillId="0" borderId="3" xfId="0" applyNumberFormat="1" applyFont="1" applyFill="1" applyBorder="1"/>
    <xf numFmtId="2" fontId="0" fillId="0" borderId="1" xfId="0" applyNumberFormat="1" applyFont="1" applyBorder="1"/>
    <xf numFmtId="0" fontId="1" fillId="0" borderId="0" xfId="0" applyFont="1" applyFill="1" applyBorder="1" applyAlignment="1"/>
    <xf numFmtId="0" fontId="1" fillId="13" borderId="11" xfId="0" applyFont="1" applyFill="1" applyBorder="1" applyAlignment="1"/>
    <xf numFmtId="0" fontId="1" fillId="13" borderId="9" xfId="0" applyFont="1" applyFill="1" applyBorder="1" applyAlignment="1"/>
    <xf numFmtId="0" fontId="11" fillId="13" borderId="10" xfId="0" applyFont="1" applyFill="1" applyBorder="1" applyAlignment="1"/>
    <xf numFmtId="0" fontId="11" fillId="13" borderId="7" xfId="0" applyFont="1" applyFill="1" applyBorder="1" applyAlignment="1"/>
    <xf numFmtId="0" fontId="0" fillId="0" borderId="3" xfId="0" applyFont="1" applyBorder="1" applyAlignment="1">
      <alignment horizontal="center" vertical="center" wrapText="1"/>
    </xf>
    <xf numFmtId="0" fontId="0" fillId="11" borderId="3" xfId="0" applyFont="1" applyFill="1" applyBorder="1"/>
    <xf numFmtId="166" fontId="0" fillId="0" borderId="37" xfId="0" applyNumberFormat="1" applyFont="1" applyFill="1" applyBorder="1" applyAlignment="1">
      <alignment horizontal="center" vertical="center" wrapText="1"/>
    </xf>
    <xf numFmtId="2" fontId="0" fillId="0" borderId="9" xfId="0" applyNumberFormat="1" applyFont="1" applyBorder="1"/>
    <xf numFmtId="0" fontId="9" fillId="18" borderId="40" xfId="0" applyFont="1" applyFill="1" applyBorder="1" applyAlignment="1">
      <alignment horizontal="center" vertical="center" wrapText="1"/>
    </xf>
    <xf numFmtId="0" fontId="9" fillId="18" borderId="56" xfId="0" applyFont="1" applyFill="1" applyBorder="1" applyAlignment="1">
      <alignment horizontal="center" vertical="center" wrapText="1"/>
    </xf>
    <xf numFmtId="0" fontId="9" fillId="18" borderId="57" xfId="0" applyFont="1" applyFill="1" applyBorder="1" applyAlignment="1">
      <alignment horizontal="center" vertical="center" wrapText="1"/>
    </xf>
    <xf numFmtId="0" fontId="9" fillId="18" borderId="28" xfId="0" applyFont="1" applyFill="1" applyBorder="1" applyAlignment="1">
      <alignment horizontal="center" vertical="center" wrapText="1"/>
    </xf>
    <xf numFmtId="0" fontId="33" fillId="0" borderId="0" xfId="0" applyFont="1"/>
    <xf numFmtId="0" fontId="0" fillId="0" borderId="0" xfId="0" applyFont="1"/>
    <xf numFmtId="166" fontId="0" fillId="11" borderId="1" xfId="0" applyNumberFormat="1" applyFont="1" applyFill="1" applyBorder="1"/>
    <xf numFmtId="2" fontId="0" fillId="11" borderId="5" xfId="0" applyNumberFormat="1" applyFont="1" applyFill="1" applyBorder="1"/>
    <xf numFmtId="2" fontId="0" fillId="11" borderId="1" xfId="0" applyNumberFormat="1" applyFont="1" applyFill="1" applyBorder="1"/>
    <xf numFmtId="2" fontId="0" fillId="11" borderId="6" xfId="0" applyNumberFormat="1" applyFont="1" applyFill="1" applyBorder="1"/>
    <xf numFmtId="0" fontId="0" fillId="11" borderId="5" xfId="0" applyFont="1" applyFill="1" applyBorder="1"/>
    <xf numFmtId="2" fontId="0" fillId="11" borderId="2" xfId="0" applyNumberFormat="1" applyFont="1" applyFill="1" applyBorder="1"/>
    <xf numFmtId="2" fontId="0" fillId="11" borderId="3" xfId="0" applyNumberFormat="1" applyFont="1" applyFill="1" applyBorder="1"/>
    <xf numFmtId="1" fontId="0" fillId="11" borderId="5" xfId="0" applyNumberFormat="1" applyFont="1" applyFill="1" applyBorder="1"/>
    <xf numFmtId="166" fontId="0" fillId="11" borderId="2" xfId="0" applyNumberFormat="1" applyFont="1" applyFill="1" applyBorder="1"/>
    <xf numFmtId="1" fontId="0" fillId="11" borderId="3" xfId="0" applyNumberFormat="1" applyFont="1" applyFill="1" applyBorder="1"/>
    <xf numFmtId="165" fontId="0" fillId="0" borderId="6" xfId="0" applyNumberFormat="1" applyFont="1" applyBorder="1"/>
    <xf numFmtId="2" fontId="0" fillId="0" borderId="1" xfId="0" applyNumberFormat="1" applyFont="1" applyBorder="1"/>
    <xf numFmtId="0" fontId="13" fillId="8" borderId="10" xfId="0" applyFont="1" applyFill="1" applyBorder="1" applyAlignment="1">
      <alignment horizontal="center" vertical="center" wrapText="1"/>
    </xf>
    <xf numFmtId="0" fontId="16" fillId="0" borderId="1" xfId="0" applyFont="1" applyBorder="1" applyAlignment="1">
      <alignment horizontal="center" vertical="center" wrapText="1"/>
    </xf>
    <xf numFmtId="166" fontId="0" fillId="0" borderId="35" xfId="0" applyNumberFormat="1" applyFont="1" applyFill="1" applyBorder="1" applyAlignment="1">
      <alignment horizontal="center" vertical="center" wrapText="1"/>
    </xf>
    <xf numFmtId="2" fontId="0" fillId="11" borderId="7" xfId="0" applyNumberFormat="1" applyFont="1" applyFill="1" applyBorder="1"/>
    <xf numFmtId="0" fontId="0" fillId="20" borderId="0" xfId="0" applyFill="1" applyBorder="1" applyAlignment="1">
      <alignment vertical="center"/>
    </xf>
    <xf numFmtId="0" fontId="0" fillId="20" borderId="0" xfId="0" applyFill="1" applyAlignment="1">
      <alignment vertical="center"/>
    </xf>
    <xf numFmtId="0" fontId="16" fillId="20" borderId="0" xfId="0" applyFont="1" applyFill="1" applyAlignment="1">
      <alignment vertical="center"/>
    </xf>
    <xf numFmtId="0" fontId="17" fillId="20" borderId="0" xfId="0" applyFont="1" applyFill="1" applyBorder="1" applyAlignment="1">
      <alignment horizontal="center" vertical="center"/>
    </xf>
    <xf numFmtId="0" fontId="9" fillId="20" borderId="0" xfId="0" applyFont="1" applyFill="1" applyAlignment="1">
      <alignment vertical="center"/>
    </xf>
    <xf numFmtId="0" fontId="1" fillId="20" borderId="0" xfId="0" applyFont="1" applyFill="1" applyAlignment="1">
      <alignment vertical="center"/>
    </xf>
    <xf numFmtId="0" fontId="11" fillId="20" borderId="0" xfId="0" applyFont="1" applyFill="1" applyAlignment="1">
      <alignment horizontal="center" vertical="center"/>
    </xf>
    <xf numFmtId="0" fontId="10" fillId="20" borderId="0" xfId="0" applyFont="1" applyFill="1" applyAlignment="1">
      <alignment vertical="center" wrapText="1"/>
    </xf>
    <xf numFmtId="0" fontId="0" fillId="20" borderId="0" xfId="0" applyFont="1" applyFill="1" applyBorder="1" applyAlignment="1">
      <alignment vertical="center"/>
    </xf>
    <xf numFmtId="0" fontId="1" fillId="20" borderId="10" xfId="0" applyFont="1" applyFill="1" applyBorder="1" applyAlignment="1">
      <alignment vertical="center"/>
    </xf>
    <xf numFmtId="0" fontId="19" fillId="20" borderId="0" xfId="0" applyFont="1" applyFill="1" applyBorder="1" applyAlignment="1">
      <alignment horizontal="center" vertical="center" wrapText="1"/>
    </xf>
    <xf numFmtId="0" fontId="10" fillId="20" borderId="0" xfId="0" applyFont="1" applyFill="1" applyAlignment="1">
      <alignment horizontal="left" vertical="center" wrapText="1"/>
    </xf>
    <xf numFmtId="0" fontId="1" fillId="20" borderId="10" xfId="0" applyFont="1" applyFill="1" applyBorder="1" applyAlignment="1">
      <alignment horizontal="center" vertical="center" wrapText="1"/>
    </xf>
    <xf numFmtId="0" fontId="1" fillId="20" borderId="12" xfId="0" applyFont="1" applyFill="1" applyBorder="1" applyAlignment="1">
      <alignment horizontal="center" vertical="center" wrapText="1"/>
    </xf>
    <xf numFmtId="0" fontId="1" fillId="20" borderId="5" xfId="0" applyFont="1" applyFill="1" applyBorder="1" applyAlignment="1">
      <alignment horizontal="center" vertical="center" wrapText="1"/>
    </xf>
    <xf numFmtId="0" fontId="1" fillId="20" borderId="1" xfId="0" applyFont="1" applyFill="1" applyBorder="1" applyAlignment="1">
      <alignment horizontal="center" vertical="center" wrapText="1"/>
    </xf>
    <xf numFmtId="0" fontId="1" fillId="20" borderId="6" xfId="0" applyFont="1" applyFill="1" applyBorder="1" applyAlignment="1">
      <alignment horizontal="center" vertical="center" wrapText="1"/>
    </xf>
    <xf numFmtId="0" fontId="15" fillId="20" borderId="5" xfId="0" applyFont="1" applyFill="1" applyBorder="1" applyAlignment="1">
      <alignment horizontal="center" vertical="center"/>
    </xf>
    <xf numFmtId="167" fontId="15" fillId="20" borderId="6" xfId="0" applyNumberFormat="1" applyFont="1" applyFill="1" applyBorder="1" applyAlignment="1">
      <alignment horizontal="center" vertical="center"/>
    </xf>
    <xf numFmtId="0" fontId="15" fillId="20" borderId="5" xfId="0" applyFont="1" applyFill="1" applyBorder="1" applyAlignment="1">
      <alignment horizontal="center" vertical="center" wrapText="1"/>
    </xf>
    <xf numFmtId="0" fontId="15" fillId="20" borderId="1" xfId="0" applyFont="1" applyFill="1" applyBorder="1" applyAlignment="1">
      <alignment horizontal="center" vertical="center"/>
    </xf>
    <xf numFmtId="0" fontId="15" fillId="20" borderId="6" xfId="0" applyFont="1" applyFill="1" applyBorder="1" applyAlignment="1">
      <alignment horizontal="center" vertical="center"/>
    </xf>
    <xf numFmtId="0" fontId="0" fillId="20" borderId="5" xfId="0" applyFill="1" applyBorder="1" applyAlignment="1">
      <alignment vertical="center"/>
    </xf>
    <xf numFmtId="0" fontId="0" fillId="20" borderId="6" xfId="0" applyFill="1" applyBorder="1" applyAlignment="1">
      <alignment vertical="center"/>
    </xf>
    <xf numFmtId="0" fontId="0" fillId="20" borderId="10" xfId="0" applyFill="1" applyBorder="1" applyAlignment="1">
      <alignment vertical="center"/>
    </xf>
    <xf numFmtId="0" fontId="0" fillId="20" borderId="11" xfId="0" applyFill="1" applyBorder="1" applyAlignment="1">
      <alignment vertical="center"/>
    </xf>
    <xf numFmtId="0" fontId="0" fillId="20" borderId="12" xfId="0" applyFill="1" applyBorder="1" applyAlignment="1">
      <alignment vertical="center"/>
    </xf>
    <xf numFmtId="1" fontId="1" fillId="20" borderId="5" xfId="0" applyNumberFormat="1" applyFont="1" applyFill="1" applyBorder="1" applyAlignment="1">
      <alignment horizontal="center" vertical="center"/>
    </xf>
    <xf numFmtId="0" fontId="1" fillId="20" borderId="1" xfId="0" applyFont="1" applyFill="1" applyBorder="1" applyAlignment="1">
      <alignment horizontal="center" vertical="center"/>
    </xf>
    <xf numFmtId="12" fontId="1" fillId="20" borderId="6" xfId="0" applyNumberFormat="1" applyFont="1" applyFill="1" applyBorder="1" applyAlignment="1">
      <alignment horizontal="center" vertical="center"/>
    </xf>
    <xf numFmtId="0" fontId="26" fillId="20" borderId="0" xfId="0" applyFont="1" applyFill="1" applyAlignment="1">
      <alignment horizontal="center" wrapText="1"/>
    </xf>
    <xf numFmtId="0" fontId="25" fillId="20" borderId="0" xfId="0" applyFont="1" applyFill="1" applyAlignment="1">
      <alignment vertical="center"/>
    </xf>
    <xf numFmtId="0" fontId="0" fillId="20" borderId="7" xfId="0" applyFill="1" applyBorder="1" applyAlignment="1">
      <alignment vertical="center"/>
    </xf>
    <xf numFmtId="0" fontId="0" fillId="20" borderId="9" xfId="0" applyFill="1" applyBorder="1" applyAlignment="1">
      <alignment vertical="center"/>
    </xf>
    <xf numFmtId="0" fontId="0" fillId="20" borderId="8" xfId="0" applyFill="1" applyBorder="1" applyAlignment="1">
      <alignment vertical="center"/>
    </xf>
    <xf numFmtId="0" fontId="23" fillId="20" borderId="0" xfId="0" applyFont="1" applyFill="1" applyBorder="1" applyAlignment="1">
      <alignment vertical="center" wrapText="1"/>
    </xf>
    <xf numFmtId="0" fontId="21" fillId="20" borderId="0" xfId="0" applyFont="1" applyFill="1" applyBorder="1" applyAlignment="1">
      <alignment vertical="center" wrapText="1"/>
    </xf>
    <xf numFmtId="0" fontId="21" fillId="20" borderId="0" xfId="0" applyFont="1" applyFill="1" applyBorder="1" applyAlignment="1">
      <alignment horizontal="center" vertical="center" wrapText="1"/>
    </xf>
    <xf numFmtId="12" fontId="1" fillId="20" borderId="1" xfId="0" applyNumberFormat="1" applyFont="1" applyFill="1" applyBorder="1" applyAlignment="1">
      <alignment horizontal="center" vertical="center"/>
    </xf>
    <xf numFmtId="0" fontId="15" fillId="20" borderId="7" xfId="0" applyFont="1" applyFill="1" applyBorder="1" applyAlignment="1">
      <alignment horizontal="center" vertical="center"/>
    </xf>
    <xf numFmtId="167" fontId="15" fillId="20" borderId="8" xfId="0" applyNumberFormat="1" applyFont="1" applyFill="1" applyBorder="1" applyAlignment="1">
      <alignment horizontal="center" vertical="center"/>
    </xf>
    <xf numFmtId="0" fontId="11" fillId="20" borderId="0" xfId="0" applyFont="1" applyFill="1" applyBorder="1" applyAlignment="1">
      <alignment horizontal="center" vertical="center"/>
    </xf>
    <xf numFmtId="0" fontId="11" fillId="20" borderId="0" xfId="0" applyFont="1" applyFill="1" applyBorder="1" applyAlignment="1">
      <alignment vertical="center"/>
    </xf>
    <xf numFmtId="0" fontId="15" fillId="20" borderId="9" xfId="0" applyFont="1" applyFill="1" applyBorder="1" applyAlignment="1">
      <alignment horizontal="center" vertical="center"/>
    </xf>
    <xf numFmtId="0" fontId="15" fillId="20" borderId="8" xfId="0" applyFont="1" applyFill="1" applyBorder="1" applyAlignment="1">
      <alignment horizontal="center" vertical="center"/>
    </xf>
    <xf numFmtId="1" fontId="1" fillId="20" borderId="7" xfId="0" applyNumberFormat="1" applyFont="1" applyFill="1" applyBorder="1" applyAlignment="1">
      <alignment horizontal="center" vertical="center"/>
    </xf>
    <xf numFmtId="0" fontId="1" fillId="20" borderId="9" xfId="0" applyFont="1" applyFill="1" applyBorder="1" applyAlignment="1">
      <alignment horizontal="center" vertical="center"/>
    </xf>
    <xf numFmtId="12" fontId="1" fillId="20" borderId="9" xfId="0" applyNumberFormat="1" applyFont="1" applyFill="1" applyBorder="1" applyAlignment="1">
      <alignment horizontal="center" vertical="center"/>
    </xf>
    <xf numFmtId="0" fontId="1" fillId="20" borderId="8" xfId="0" applyFont="1" applyFill="1" applyBorder="1" applyAlignment="1">
      <alignment horizontal="center" vertical="center"/>
    </xf>
    <xf numFmtId="0" fontId="21" fillId="20" borderId="27" xfId="0" applyFont="1" applyFill="1" applyBorder="1" applyAlignment="1">
      <alignment horizontal="center" vertical="center" wrapText="1"/>
    </xf>
    <xf numFmtId="0" fontId="21" fillId="20" borderId="28" xfId="0" applyFont="1" applyFill="1" applyBorder="1" applyAlignment="1">
      <alignment horizontal="center" vertical="center" wrapText="1"/>
    </xf>
    <xf numFmtId="0" fontId="21" fillId="20" borderId="56" xfId="0" applyFont="1" applyFill="1" applyBorder="1" applyAlignment="1">
      <alignment horizontal="center" vertical="center" wrapText="1"/>
    </xf>
    <xf numFmtId="0" fontId="21" fillId="20" borderId="57" xfId="0" applyFont="1" applyFill="1" applyBorder="1" applyAlignment="1">
      <alignment horizontal="center" vertical="center" wrapText="1"/>
    </xf>
    <xf numFmtId="0" fontId="1" fillId="20" borderId="23" xfId="0" applyFont="1" applyFill="1" applyBorder="1" applyAlignment="1">
      <alignment horizontal="center" vertical="center"/>
    </xf>
    <xf numFmtId="0" fontId="1" fillId="20" borderId="40" xfId="0" applyFont="1" applyFill="1" applyBorder="1" applyAlignment="1">
      <alignment horizontal="center" vertical="center"/>
    </xf>
    <xf numFmtId="0" fontId="1" fillId="20" borderId="25" xfId="0" applyFont="1" applyFill="1" applyBorder="1" applyAlignment="1">
      <alignment horizontal="center" vertical="center"/>
    </xf>
    <xf numFmtId="0" fontId="1" fillId="20" borderId="0" xfId="0" applyFont="1" applyFill="1" applyBorder="1" applyAlignment="1">
      <alignment vertical="center"/>
    </xf>
    <xf numFmtId="0" fontId="1" fillId="20" borderId="0" xfId="0" applyFont="1" applyFill="1" applyBorder="1" applyAlignment="1">
      <alignment horizontal="center" vertical="center"/>
    </xf>
    <xf numFmtId="0" fontId="20" fillId="20" borderId="46" xfId="0" applyFont="1" applyFill="1" applyBorder="1" applyAlignment="1">
      <alignment horizontal="center" vertical="center" wrapText="1"/>
    </xf>
    <xf numFmtId="166" fontId="15" fillId="20" borderId="34" xfId="0" applyNumberFormat="1" applyFont="1" applyFill="1" applyBorder="1" applyAlignment="1">
      <alignment horizontal="right"/>
    </xf>
    <xf numFmtId="166" fontId="15" fillId="20" borderId="47" xfId="0" applyNumberFormat="1" applyFont="1" applyFill="1" applyBorder="1" applyAlignment="1">
      <alignment horizontal="right"/>
    </xf>
    <xf numFmtId="166" fontId="20" fillId="20" borderId="48" xfId="0" applyNumberFormat="1" applyFont="1" applyFill="1" applyBorder="1" applyAlignment="1">
      <alignment horizontal="right" vertical="center" wrapText="1"/>
    </xf>
    <xf numFmtId="166" fontId="20" fillId="20" borderId="47" xfId="0" applyNumberFormat="1" applyFont="1" applyFill="1" applyBorder="1" applyAlignment="1">
      <alignment horizontal="right" vertical="center" wrapText="1"/>
    </xf>
    <xf numFmtId="166" fontId="20" fillId="20" borderId="32" xfId="0" applyNumberFormat="1" applyFont="1" applyFill="1" applyBorder="1" applyAlignment="1">
      <alignment horizontal="right" vertical="center" wrapText="1"/>
    </xf>
    <xf numFmtId="2" fontId="20" fillId="20" borderId="0" xfId="0" applyNumberFormat="1" applyFont="1" applyFill="1" applyBorder="1" applyAlignment="1">
      <alignment horizontal="right" vertical="center" wrapText="1"/>
    </xf>
    <xf numFmtId="0" fontId="1" fillId="20" borderId="34" xfId="0" applyFont="1" applyFill="1" applyBorder="1" applyAlignment="1">
      <alignment vertical="center"/>
    </xf>
    <xf numFmtId="0" fontId="0" fillId="20" borderId="32" xfId="0" applyFill="1" applyBorder="1" applyAlignment="1">
      <alignment horizontal="right" vertical="center"/>
    </xf>
    <xf numFmtId="0" fontId="20" fillId="20" borderId="16" xfId="0" applyFont="1" applyFill="1" applyBorder="1" applyAlignment="1">
      <alignment horizontal="center" vertical="center" wrapText="1"/>
    </xf>
    <xf numFmtId="166" fontId="15" fillId="20" borderId="5" xfId="0" applyNumberFormat="1" applyFont="1" applyFill="1" applyBorder="1" applyAlignment="1">
      <alignment horizontal="right"/>
    </xf>
    <xf numFmtId="166" fontId="15" fillId="20" borderId="6" xfId="0" applyNumberFormat="1" applyFont="1" applyFill="1" applyBorder="1" applyAlignment="1">
      <alignment horizontal="right"/>
    </xf>
    <xf numFmtId="166" fontId="20" fillId="20" borderId="3" xfId="0" applyNumberFormat="1" applyFont="1" applyFill="1" applyBorder="1" applyAlignment="1">
      <alignment horizontal="right" vertical="center" wrapText="1"/>
    </xf>
    <xf numFmtId="166" fontId="20" fillId="20" borderId="6" xfId="0" applyNumberFormat="1" applyFont="1" applyFill="1" applyBorder="1" applyAlignment="1">
      <alignment horizontal="right" vertical="center" wrapText="1"/>
    </xf>
    <xf numFmtId="166" fontId="20" fillId="20" borderId="1" xfId="0" applyNumberFormat="1" applyFont="1" applyFill="1" applyBorder="1" applyAlignment="1">
      <alignment horizontal="right" vertical="center" wrapText="1"/>
    </xf>
    <xf numFmtId="0" fontId="1" fillId="20" borderId="5" xfId="0" applyFont="1" applyFill="1" applyBorder="1" applyAlignment="1">
      <alignment vertical="center"/>
    </xf>
    <xf numFmtId="0" fontId="0" fillId="20" borderId="1" xfId="0" applyFill="1" applyBorder="1" applyAlignment="1">
      <alignment horizontal="right" vertical="center"/>
    </xf>
    <xf numFmtId="0" fontId="0" fillId="20" borderId="40" xfId="0" applyFill="1" applyBorder="1" applyAlignment="1">
      <alignment horizontal="center" vertical="center"/>
    </xf>
    <xf numFmtId="0" fontId="1" fillId="20" borderId="7" xfId="0" applyFont="1" applyFill="1" applyBorder="1" applyAlignment="1">
      <alignment vertical="center"/>
    </xf>
    <xf numFmtId="0" fontId="0" fillId="20" borderId="9" xfId="0" applyFill="1" applyBorder="1" applyAlignment="1">
      <alignment horizontal="right" vertical="center"/>
    </xf>
    <xf numFmtId="0" fontId="0" fillId="20" borderId="0" xfId="0" applyFill="1"/>
    <xf numFmtId="0" fontId="20" fillId="20" borderId="19" xfId="0" applyFont="1" applyFill="1" applyBorder="1" applyAlignment="1">
      <alignment horizontal="center" vertical="center" wrapText="1"/>
    </xf>
    <xf numFmtId="166" fontId="15" fillId="20" borderId="7" xfId="0" applyNumberFormat="1" applyFont="1" applyFill="1" applyBorder="1" applyAlignment="1">
      <alignment horizontal="right"/>
    </xf>
    <xf numFmtId="166" fontId="15" fillId="20" borderId="8" xfId="0" applyNumberFormat="1" applyFont="1" applyFill="1" applyBorder="1" applyAlignment="1">
      <alignment horizontal="right"/>
    </xf>
    <xf numFmtId="166" fontId="20" fillId="20" borderId="36" xfId="0" applyNumberFormat="1" applyFont="1" applyFill="1" applyBorder="1" applyAlignment="1">
      <alignment horizontal="right" vertical="center" wrapText="1"/>
    </xf>
    <xf numFmtId="166" fontId="20" fillId="20" borderId="8" xfId="0" applyNumberFormat="1" applyFont="1" applyFill="1" applyBorder="1" applyAlignment="1">
      <alignment horizontal="right" vertical="center" wrapText="1"/>
    </xf>
    <xf numFmtId="166" fontId="20" fillId="20" borderId="9" xfId="0" applyNumberFormat="1" applyFont="1" applyFill="1" applyBorder="1" applyAlignment="1">
      <alignment horizontal="right" vertical="center" wrapText="1"/>
    </xf>
    <xf numFmtId="0" fontId="21" fillId="20" borderId="40" xfId="0" applyFont="1" applyFill="1" applyBorder="1" applyAlignment="1">
      <alignment horizontal="center" vertical="center" wrapText="1"/>
    </xf>
    <xf numFmtId="0" fontId="20" fillId="20" borderId="54" xfId="0" applyFont="1" applyFill="1" applyBorder="1" applyAlignment="1">
      <alignment horizontal="center" vertical="center" wrapText="1"/>
    </xf>
    <xf numFmtId="166" fontId="20" fillId="20" borderId="50" xfId="0" applyNumberFormat="1" applyFont="1" applyFill="1" applyBorder="1" applyAlignment="1">
      <alignment horizontal="right" vertical="center" wrapText="1"/>
    </xf>
    <xf numFmtId="0" fontId="20" fillId="20" borderId="14" xfId="0" applyFont="1" applyFill="1" applyBorder="1" applyAlignment="1">
      <alignment horizontal="center" vertical="center" wrapText="1"/>
    </xf>
    <xf numFmtId="166" fontId="31" fillId="20" borderId="51" xfId="0" applyNumberFormat="1" applyFont="1" applyFill="1" applyBorder="1" applyAlignment="1">
      <alignment horizontal="right" wrapText="1"/>
    </xf>
    <xf numFmtId="0" fontId="20" fillId="20" borderId="18" xfId="0" applyFont="1" applyFill="1" applyBorder="1" applyAlignment="1">
      <alignment horizontal="center" vertical="center" wrapText="1"/>
    </xf>
    <xf numFmtId="166" fontId="31" fillId="20" borderId="52" xfId="0" applyNumberFormat="1" applyFont="1" applyFill="1" applyBorder="1" applyAlignment="1">
      <alignment horizontal="right" wrapText="1" readingOrder="1"/>
    </xf>
    <xf numFmtId="166" fontId="0" fillId="20" borderId="0" xfId="0" applyNumberFormat="1" applyFill="1" applyAlignment="1">
      <alignment vertical="center"/>
    </xf>
    <xf numFmtId="2" fontId="0" fillId="22" borderId="47" xfId="0" applyNumberFormat="1" applyFill="1" applyBorder="1" applyAlignment="1">
      <alignment vertical="center"/>
    </xf>
    <xf numFmtId="2" fontId="0" fillId="22" borderId="6" xfId="0" applyNumberFormat="1" applyFill="1" applyBorder="1" applyAlignment="1">
      <alignment vertical="center"/>
    </xf>
    <xf numFmtId="2" fontId="0" fillId="22" borderId="8" xfId="0" applyNumberFormat="1" applyFill="1" applyBorder="1" applyAlignment="1">
      <alignment vertical="center"/>
    </xf>
    <xf numFmtId="0" fontId="9" fillId="18" borderId="53" xfId="0" applyFont="1" applyFill="1" applyBorder="1" applyAlignment="1">
      <alignment horizontal="center" vertical="center" wrapText="1"/>
    </xf>
    <xf numFmtId="0" fontId="27" fillId="0" borderId="0" xfId="0" applyFont="1" applyFill="1" applyBorder="1" applyAlignment="1">
      <alignment vertical="top" wrapText="1"/>
    </xf>
    <xf numFmtId="0" fontId="16" fillId="0" borderId="0" xfId="0" applyFont="1" applyFill="1" applyBorder="1" applyAlignment="1">
      <alignment vertical="top" wrapText="1"/>
    </xf>
    <xf numFmtId="0" fontId="16" fillId="0" borderId="1" xfId="0" applyFont="1" applyBorder="1" applyAlignment="1">
      <alignment horizontal="center" vertical="center"/>
    </xf>
    <xf numFmtId="0" fontId="16" fillId="0" borderId="0" xfId="0" applyFont="1" applyBorder="1" applyAlignment="1">
      <alignment vertical="top" wrapText="1"/>
    </xf>
    <xf numFmtId="0" fontId="0" fillId="0" borderId="0" xfId="0" applyFont="1" applyBorder="1"/>
    <xf numFmtId="166" fontId="0" fillId="0" borderId="0" xfId="0" applyNumberFormat="1" applyFont="1" applyBorder="1"/>
    <xf numFmtId="0" fontId="13" fillId="8" borderId="61" xfId="0" applyFont="1" applyFill="1" applyBorder="1" applyAlignment="1">
      <alignment horizontal="center" vertical="center" wrapText="1"/>
    </xf>
    <xf numFmtId="0" fontId="0" fillId="16" borderId="14" xfId="0" applyFont="1" applyFill="1" applyBorder="1" applyAlignment="1">
      <alignment horizontal="center" vertical="center" wrapText="1"/>
    </xf>
    <xf numFmtId="0" fontId="38" fillId="19" borderId="23" xfId="0" applyFont="1" applyFill="1" applyBorder="1" applyAlignment="1">
      <alignment vertical="center"/>
    </xf>
    <xf numFmtId="0" fontId="38" fillId="19" borderId="24" xfId="0" applyFont="1" applyFill="1" applyBorder="1" applyAlignment="1">
      <alignment vertical="center"/>
    </xf>
    <xf numFmtId="0" fontId="38" fillId="19" borderId="25" xfId="0" applyFont="1" applyFill="1" applyBorder="1" applyAlignment="1">
      <alignment vertical="center"/>
    </xf>
    <xf numFmtId="0" fontId="0" fillId="0" borderId="42" xfId="0" applyFont="1" applyBorder="1"/>
    <xf numFmtId="0" fontId="11" fillId="13" borderId="10" xfId="0" applyFont="1" applyFill="1" applyBorder="1" applyAlignment="1">
      <alignment vertical="center"/>
    </xf>
    <xf numFmtId="0" fontId="11" fillId="13" borderId="7" xfId="0" applyFont="1" applyFill="1" applyBorder="1" applyAlignment="1">
      <alignment vertical="center"/>
    </xf>
    <xf numFmtId="0" fontId="37" fillId="8" borderId="23" xfId="0" applyFont="1" applyFill="1" applyBorder="1" applyAlignment="1">
      <alignment vertical="center"/>
    </xf>
    <xf numFmtId="0" fontId="37" fillId="8" borderId="24" xfId="0" applyFont="1" applyFill="1" applyBorder="1" applyAlignment="1">
      <alignment vertical="center"/>
    </xf>
    <xf numFmtId="0" fontId="37" fillId="8" borderId="25" xfId="0" applyFont="1" applyFill="1" applyBorder="1" applyAlignment="1">
      <alignment vertical="center"/>
    </xf>
    <xf numFmtId="0" fontId="0" fillId="0" borderId="20" xfId="0" applyFont="1" applyBorder="1"/>
    <xf numFmtId="0" fontId="0" fillId="0" borderId="21" xfId="0" applyFont="1" applyBorder="1"/>
    <xf numFmtId="0" fontId="0" fillId="0" borderId="22" xfId="0" applyFont="1" applyBorder="1"/>
    <xf numFmtId="0" fontId="0" fillId="0" borderId="41" xfId="0" applyFont="1" applyBorder="1"/>
    <xf numFmtId="0" fontId="37" fillId="14" borderId="23" xfId="0" applyFont="1" applyFill="1" applyBorder="1" applyAlignment="1">
      <alignment vertical="center"/>
    </xf>
    <xf numFmtId="0" fontId="37" fillId="14" borderId="24" xfId="0" applyFont="1" applyFill="1" applyBorder="1" applyAlignment="1">
      <alignment vertical="center"/>
    </xf>
    <xf numFmtId="0" fontId="37" fillId="14" borderId="25" xfId="0" applyFont="1" applyFill="1" applyBorder="1" applyAlignment="1">
      <alignment vertical="center"/>
    </xf>
    <xf numFmtId="0" fontId="11" fillId="9" borderId="3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17" borderId="1" xfId="0" applyFont="1" applyFill="1" applyBorder="1" applyAlignment="1">
      <alignment horizontal="center" vertical="center" wrapText="1"/>
    </xf>
    <xf numFmtId="0" fontId="0" fillId="17" borderId="6" xfId="0" applyFont="1" applyFill="1" applyBorder="1" applyAlignment="1">
      <alignment horizontal="center" vertical="center" wrapText="1"/>
    </xf>
    <xf numFmtId="0" fontId="36" fillId="3" borderId="23" xfId="0" applyFont="1" applyFill="1" applyBorder="1" applyAlignment="1">
      <alignment vertical="center"/>
    </xf>
    <xf numFmtId="0" fontId="36" fillId="3" borderId="24" xfId="0" applyFont="1" applyFill="1" applyBorder="1" applyAlignment="1">
      <alignment vertical="center"/>
    </xf>
    <xf numFmtId="0" fontId="36" fillId="3" borderId="25" xfId="0" applyFont="1" applyFill="1" applyBorder="1" applyAlignment="1">
      <alignment vertical="center"/>
    </xf>
    <xf numFmtId="0" fontId="38" fillId="24" borderId="23" xfId="0" applyFont="1" applyFill="1" applyBorder="1" applyAlignment="1">
      <alignment vertical="center"/>
    </xf>
    <xf numFmtId="0" fontId="38" fillId="24" borderId="24" xfId="0" applyFont="1" applyFill="1" applyBorder="1" applyAlignment="1">
      <alignment vertical="center"/>
    </xf>
    <xf numFmtId="0" fontId="38" fillId="24" borderId="25" xfId="0" applyFont="1" applyFill="1" applyBorder="1" applyAlignment="1">
      <alignment vertical="center"/>
    </xf>
    <xf numFmtId="0" fontId="1" fillId="20" borderId="0" xfId="0" applyFont="1" applyFill="1" applyAlignment="1">
      <alignment horizontal="left" vertical="center"/>
    </xf>
    <xf numFmtId="166" fontId="0" fillId="0" borderId="0" xfId="0" quotePrefix="1" applyNumberFormat="1" applyFont="1"/>
    <xf numFmtId="0" fontId="0" fillId="0" borderId="3" xfId="0" applyFont="1" applyFill="1" applyBorder="1" applyAlignment="1">
      <alignment horizontal="center" vertical="center" wrapText="1"/>
    </xf>
    <xf numFmtId="166" fontId="0" fillId="0" borderId="12" xfId="0" applyNumberFormat="1" applyFont="1" applyFill="1" applyBorder="1" applyAlignment="1">
      <alignment horizontal="center" vertical="center" wrapText="1"/>
    </xf>
    <xf numFmtId="166" fontId="0" fillId="11" borderId="3" xfId="0" applyNumberFormat="1" applyFont="1" applyFill="1" applyBorder="1"/>
    <xf numFmtId="0" fontId="13" fillId="8" borderId="40" xfId="0" applyFont="1" applyFill="1" applyBorder="1" applyAlignment="1">
      <alignment horizontal="center" vertical="center" wrapText="1"/>
    </xf>
    <xf numFmtId="0" fontId="0" fillId="0" borderId="61" xfId="0" applyFont="1" applyFill="1" applyBorder="1" applyAlignment="1">
      <alignment horizontal="center" vertical="center" wrapText="1"/>
    </xf>
    <xf numFmtId="2" fontId="0" fillId="11" borderId="14" xfId="0" applyNumberFormat="1" applyFont="1" applyFill="1" applyBorder="1"/>
    <xf numFmtId="2" fontId="0" fillId="11" borderId="18" xfId="0" applyNumberFormat="1" applyFont="1" applyFill="1" applyBorder="1"/>
    <xf numFmtId="0" fontId="0" fillId="0" borderId="10" xfId="0" applyFont="1" applyFill="1" applyBorder="1" applyAlignment="1">
      <alignment horizontal="center" vertical="center" wrapText="1"/>
    </xf>
    <xf numFmtId="166" fontId="0" fillId="11" borderId="9" xfId="0" applyNumberFormat="1" applyFont="1" applyFill="1" applyBorder="1"/>
    <xf numFmtId="166" fontId="13" fillId="6" borderId="10" xfId="0" applyNumberFormat="1" applyFont="1" applyFill="1" applyBorder="1" applyAlignment="1">
      <alignment horizontal="center" vertical="center" wrapText="1"/>
    </xf>
    <xf numFmtId="0" fontId="38" fillId="19" borderId="21"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vertical="center"/>
    </xf>
    <xf numFmtId="0" fontId="22" fillId="0" borderId="0" xfId="11" applyFont="1" applyFill="1" applyBorder="1" applyAlignment="1">
      <alignment vertical="center"/>
    </xf>
    <xf numFmtId="0" fontId="12" fillId="0" borderId="21" xfId="0" applyFont="1" applyFill="1" applyBorder="1" applyAlignment="1">
      <alignment vertical="center"/>
    </xf>
    <xf numFmtId="0" fontId="22" fillId="0" borderId="0" xfId="11" applyFont="1" applyFill="1" applyBorder="1" applyAlignment="1">
      <alignment vertical="center" wrapText="1"/>
    </xf>
    <xf numFmtId="0" fontId="12" fillId="0" borderId="20" xfId="0" applyFont="1" applyFill="1" applyBorder="1" applyAlignment="1">
      <alignment vertical="center"/>
    </xf>
    <xf numFmtId="0" fontId="9" fillId="0" borderId="41" xfId="0" applyFont="1" applyFill="1" applyBorder="1" applyAlignment="1">
      <alignment vertical="center"/>
    </xf>
    <xf numFmtId="0" fontId="22" fillId="0" borderId="41" xfId="11" applyFont="1" applyFill="1" applyBorder="1" applyAlignment="1">
      <alignment vertical="center" wrapText="1"/>
    </xf>
    <xf numFmtId="166" fontId="13" fillId="7" borderId="29" xfId="0" applyNumberFormat="1" applyFont="1" applyFill="1" applyBorder="1" applyAlignment="1">
      <alignment horizontal="center" vertical="center" wrapText="1"/>
    </xf>
    <xf numFmtId="166" fontId="13" fillId="6" borderId="74" xfId="0" applyNumberFormat="1" applyFont="1" applyFill="1" applyBorder="1" applyAlignment="1">
      <alignment horizontal="center" vertical="center" wrapText="1"/>
    </xf>
    <xf numFmtId="166" fontId="13" fillId="7" borderId="12" xfId="0" applyNumberFormat="1" applyFont="1" applyFill="1" applyBorder="1" applyAlignment="1">
      <alignment horizontal="center" vertical="center" wrapText="1"/>
    </xf>
    <xf numFmtId="0" fontId="0" fillId="0" borderId="5" xfId="0" applyFont="1" applyFill="1" applyBorder="1" applyProtection="1">
      <protection locked="0"/>
    </xf>
    <xf numFmtId="0" fontId="6" fillId="0" borderId="1" xfId="1" applyFont="1" applyFill="1" applyBorder="1" applyAlignment="1" applyProtection="1">
      <alignment horizontal="center"/>
      <protection locked="0"/>
    </xf>
    <xf numFmtId="0" fontId="0" fillId="0" borderId="1" xfId="0" applyFont="1" applyFill="1" applyBorder="1" applyProtection="1">
      <protection locked="0"/>
    </xf>
    <xf numFmtId="2" fontId="0" fillId="0" borderId="6" xfId="0" applyNumberFormat="1" applyFont="1" applyFill="1" applyBorder="1" applyProtection="1">
      <protection locked="0"/>
    </xf>
    <xf numFmtId="1" fontId="0" fillId="0" borderId="5" xfId="0" applyNumberFormat="1" applyFont="1" applyFill="1" applyBorder="1" applyProtection="1">
      <protection locked="0"/>
    </xf>
    <xf numFmtId="2" fontId="0" fillId="0" borderId="1" xfId="0" applyNumberFormat="1" applyFont="1" applyFill="1" applyBorder="1" applyProtection="1">
      <protection locked="0"/>
    </xf>
    <xf numFmtId="166" fontId="0" fillId="0" borderId="5" xfId="0" applyNumberFormat="1" applyFont="1" applyFill="1" applyBorder="1" applyProtection="1">
      <protection locked="0"/>
    </xf>
    <xf numFmtId="166" fontId="0" fillId="0" borderId="1" xfId="0" applyNumberFormat="1" applyFont="1" applyFill="1" applyBorder="1" applyProtection="1">
      <protection locked="0"/>
    </xf>
    <xf numFmtId="166" fontId="0" fillId="0" borderId="6" xfId="0" applyNumberFormat="1" applyFont="1" applyFill="1" applyBorder="1" applyProtection="1">
      <protection locked="0"/>
    </xf>
    <xf numFmtId="0" fontId="0" fillId="0" borderId="7" xfId="0" applyFont="1" applyFill="1" applyBorder="1" applyProtection="1">
      <protection locked="0"/>
    </xf>
    <xf numFmtId="0" fontId="6" fillId="0" borderId="9" xfId="1" applyFont="1" applyFill="1" applyBorder="1" applyAlignment="1" applyProtection="1">
      <alignment horizontal="center"/>
      <protection locked="0"/>
    </xf>
    <xf numFmtId="0" fontId="0" fillId="0" borderId="59" xfId="0" applyFont="1" applyFill="1" applyBorder="1" applyAlignment="1">
      <alignment horizontal="center" vertical="center" wrapText="1"/>
    </xf>
    <xf numFmtId="0" fontId="0" fillId="0" borderId="31" xfId="0" applyFont="1" applyFill="1" applyBorder="1" applyAlignment="1">
      <alignment horizontal="center" vertical="center" wrapText="1"/>
    </xf>
    <xf numFmtId="166" fontId="0" fillId="0" borderId="59" xfId="0" applyNumberFormat="1" applyFont="1" applyFill="1" applyBorder="1" applyAlignment="1">
      <alignment horizontal="center" vertical="center" wrapText="1"/>
    </xf>
    <xf numFmtId="166" fontId="0" fillId="0" borderId="31" xfId="0" applyNumberFormat="1" applyFont="1" applyFill="1" applyBorder="1" applyAlignment="1">
      <alignment horizontal="center" vertical="center" wrapText="1"/>
    </xf>
    <xf numFmtId="166" fontId="0" fillId="0" borderId="33" xfId="0" applyNumberFormat="1" applyFont="1" applyFill="1" applyBorder="1" applyAlignment="1">
      <alignment horizontal="center" vertical="center" wrapText="1"/>
    </xf>
    <xf numFmtId="0" fontId="0" fillId="16" borderId="59" xfId="0" applyFont="1" applyFill="1" applyBorder="1" applyAlignment="1">
      <alignment horizontal="center" vertical="center" wrapText="1"/>
    </xf>
    <xf numFmtId="0" fontId="0" fillId="16" borderId="31" xfId="0" applyFont="1" applyFill="1" applyBorder="1" applyAlignment="1">
      <alignment horizontal="center" vertical="center" wrapText="1"/>
    </xf>
    <xf numFmtId="0" fontId="0" fillId="0" borderId="10" xfId="0" applyFont="1" applyFill="1" applyBorder="1" applyProtection="1">
      <protection locked="0"/>
    </xf>
    <xf numFmtId="0" fontId="6" fillId="0" borderId="11" xfId="1" applyFont="1" applyFill="1" applyBorder="1" applyAlignment="1" applyProtection="1">
      <alignment horizontal="center"/>
      <protection locked="0"/>
    </xf>
    <xf numFmtId="0" fontId="0" fillId="0" borderId="11" xfId="0" applyFont="1" applyFill="1" applyBorder="1" applyProtection="1">
      <protection locked="0"/>
    </xf>
    <xf numFmtId="2" fontId="0" fillId="0" borderId="12" xfId="0" applyNumberFormat="1" applyFont="1" applyFill="1" applyBorder="1" applyProtection="1">
      <protection locked="0"/>
    </xf>
    <xf numFmtId="1" fontId="0" fillId="0" borderId="10" xfId="0" applyNumberFormat="1" applyFont="1" applyFill="1" applyBorder="1" applyProtection="1">
      <protection locked="0"/>
    </xf>
    <xf numFmtId="2" fontId="0" fillId="0" borderId="11" xfId="0" applyNumberFormat="1" applyFont="1" applyFill="1" applyBorder="1" applyProtection="1">
      <protection locked="0"/>
    </xf>
    <xf numFmtId="2" fontId="0" fillId="16" borderId="10" xfId="0" applyNumberFormat="1" applyFont="1" applyFill="1" applyBorder="1" applyProtection="1">
      <protection locked="0"/>
    </xf>
    <xf numFmtId="2" fontId="0" fillId="16" borderId="12" xfId="0" applyNumberFormat="1" applyFont="1" applyFill="1" applyBorder="1" applyProtection="1">
      <protection locked="0"/>
    </xf>
    <xf numFmtId="2" fontId="0" fillId="16" borderId="5" xfId="0" applyNumberFormat="1" applyFont="1" applyFill="1" applyBorder="1" applyProtection="1">
      <protection locked="0"/>
    </xf>
    <xf numFmtId="2" fontId="0" fillId="16" borderId="6" xfId="0" applyNumberFormat="1" applyFont="1" applyFill="1" applyBorder="1" applyProtection="1">
      <protection locked="0"/>
    </xf>
    <xf numFmtId="0" fontId="0" fillId="0" borderId="9" xfId="0" applyFont="1" applyFill="1" applyBorder="1" applyProtection="1">
      <protection locked="0"/>
    </xf>
    <xf numFmtId="166" fontId="0" fillId="0" borderId="7" xfId="0" applyNumberFormat="1" applyFont="1" applyFill="1" applyBorder="1" applyProtection="1">
      <protection locked="0"/>
    </xf>
    <xf numFmtId="166" fontId="0" fillId="0" borderId="9" xfId="0" applyNumberFormat="1" applyFont="1" applyFill="1" applyBorder="1" applyProtection="1">
      <protection locked="0"/>
    </xf>
    <xf numFmtId="166" fontId="0" fillId="0" borderId="8" xfId="0" applyNumberFormat="1" applyFont="1" applyFill="1" applyBorder="1" applyProtection="1">
      <protection locked="0"/>
    </xf>
    <xf numFmtId="2" fontId="0" fillId="16" borderId="7" xfId="0" applyNumberFormat="1" applyFont="1" applyFill="1" applyBorder="1" applyProtection="1">
      <protection locked="0"/>
    </xf>
    <xf numFmtId="2" fontId="0" fillId="16" borderId="8" xfId="0" applyNumberFormat="1" applyFont="1" applyFill="1" applyBorder="1" applyProtection="1">
      <protection locked="0"/>
    </xf>
    <xf numFmtId="166" fontId="0" fillId="0" borderId="68" xfId="0" applyNumberFormat="1" applyFont="1" applyFill="1" applyBorder="1" applyAlignment="1">
      <alignment horizontal="center" vertical="center" wrapText="1"/>
    </xf>
    <xf numFmtId="2" fontId="0" fillId="0" borderId="35" xfId="0" applyNumberFormat="1" applyFont="1" applyFill="1" applyBorder="1" applyProtection="1">
      <protection locked="0"/>
    </xf>
    <xf numFmtId="2" fontId="0" fillId="0" borderId="74" xfId="0" applyNumberFormat="1" applyFont="1" applyFill="1" applyBorder="1" applyProtection="1">
      <protection locked="0"/>
    </xf>
    <xf numFmtId="2" fontId="0" fillId="0" borderId="29" xfId="0" applyNumberFormat="1" applyFont="1" applyFill="1" applyBorder="1" applyProtection="1">
      <protection locked="0"/>
    </xf>
    <xf numFmtId="2" fontId="0" fillId="16" borderId="61" xfId="0" applyNumberFormat="1" applyFont="1" applyFill="1" applyBorder="1" applyProtection="1">
      <protection locked="0"/>
    </xf>
    <xf numFmtId="2" fontId="0" fillId="0" borderId="3" xfId="0" applyNumberFormat="1" applyFont="1" applyFill="1" applyBorder="1" applyProtection="1">
      <protection locked="0"/>
    </xf>
    <xf numFmtId="2" fontId="0" fillId="0" borderId="30" xfId="0" applyNumberFormat="1" applyFont="1" applyFill="1" applyBorder="1" applyProtection="1">
      <protection locked="0"/>
    </xf>
    <xf numFmtId="2" fontId="0" fillId="0" borderId="37" xfId="0" applyNumberFormat="1" applyFont="1" applyFill="1" applyBorder="1" applyProtection="1">
      <protection locked="0"/>
    </xf>
    <xf numFmtId="2" fontId="0" fillId="16" borderId="14" xfId="0" applyNumberFormat="1" applyFont="1" applyFill="1" applyBorder="1" applyProtection="1">
      <protection locked="0"/>
    </xf>
    <xf numFmtId="165" fontId="0" fillId="0" borderId="6" xfId="0" applyNumberFormat="1" applyFont="1" applyFill="1" applyBorder="1" applyProtection="1">
      <protection locked="0"/>
    </xf>
    <xf numFmtId="166" fontId="0" fillId="0" borderId="3" xfId="0" applyNumberFormat="1" applyFont="1" applyFill="1" applyBorder="1" applyProtection="1">
      <protection locked="0"/>
    </xf>
    <xf numFmtId="165" fontId="0" fillId="0" borderId="2" xfId="0" applyNumberFormat="1" applyFont="1" applyFill="1" applyBorder="1" applyProtection="1">
      <protection locked="0"/>
    </xf>
    <xf numFmtId="166" fontId="0" fillId="0" borderId="2" xfId="0" applyNumberFormat="1" applyFont="1" applyFill="1" applyBorder="1" applyProtection="1">
      <protection locked="0"/>
    </xf>
    <xf numFmtId="166" fontId="0" fillId="0" borderId="36" xfId="0" applyNumberFormat="1" applyFont="1" applyFill="1" applyBorder="1" applyProtection="1">
      <protection locked="0"/>
    </xf>
    <xf numFmtId="166" fontId="0" fillId="0" borderId="15" xfId="0" applyNumberFormat="1" applyFont="1" applyFill="1" applyBorder="1" applyProtection="1">
      <protection locked="0"/>
    </xf>
    <xf numFmtId="2" fontId="0" fillId="16" borderId="18" xfId="0" applyNumberFormat="1" applyFont="1" applyFill="1" applyBorder="1" applyProtection="1">
      <protection locked="0"/>
    </xf>
    <xf numFmtId="2" fontId="0" fillId="16" borderId="1" xfId="0" applyNumberFormat="1" applyFont="1" applyFill="1" applyBorder="1" applyProtection="1">
      <protection locked="0"/>
    </xf>
    <xf numFmtId="2" fontId="0" fillId="16" borderId="9" xfId="0" applyNumberFormat="1" applyFont="1" applyFill="1" applyBorder="1" applyProtection="1">
      <protection locked="0"/>
    </xf>
    <xf numFmtId="1" fontId="0" fillId="0" borderId="3" xfId="0" applyNumberFormat="1" applyFont="1" applyFill="1" applyBorder="1" applyProtection="1">
      <protection locked="0"/>
    </xf>
    <xf numFmtId="165" fontId="0" fillId="0" borderId="37" xfId="0" applyNumberFormat="1" applyFont="1" applyFill="1" applyBorder="1" applyProtection="1">
      <protection locked="0"/>
    </xf>
    <xf numFmtId="166" fontId="0" fillId="0" borderId="37" xfId="0" applyNumberFormat="1" applyFont="1" applyFill="1" applyBorder="1" applyProtection="1">
      <protection locked="0"/>
    </xf>
    <xf numFmtId="166" fontId="0" fillId="0" borderId="73" xfId="0" applyNumberFormat="1" applyFont="1" applyFill="1" applyBorder="1" applyProtection="1">
      <protection locked="0"/>
    </xf>
    <xf numFmtId="0" fontId="9" fillId="14" borderId="23" xfId="0" applyFont="1" applyFill="1" applyBorder="1" applyAlignment="1">
      <alignment vertical="center"/>
    </xf>
    <xf numFmtId="0" fontId="9" fillId="14" borderId="24" xfId="0" applyFont="1" applyFill="1" applyBorder="1" applyAlignment="1">
      <alignment vertical="center"/>
    </xf>
    <xf numFmtId="0" fontId="9" fillId="14" borderId="25" xfId="0" applyFont="1" applyFill="1" applyBorder="1" applyAlignment="1">
      <alignment vertical="center"/>
    </xf>
    <xf numFmtId="0" fontId="38" fillId="24" borderId="21" xfId="0" applyFont="1" applyFill="1" applyBorder="1" applyAlignment="1">
      <alignment vertical="center"/>
    </xf>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2" fillId="0" borderId="0" xfId="11"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16" fillId="0" borderId="5" xfId="0" applyFont="1" applyBorder="1" applyAlignment="1">
      <alignment horizontal="center" vertical="center"/>
    </xf>
    <xf numFmtId="0" fontId="29" fillId="20" borderId="24" xfId="0" applyFont="1" applyFill="1" applyBorder="1" applyAlignment="1">
      <alignment vertical="top" wrapText="1"/>
    </xf>
    <xf numFmtId="0" fontId="45" fillId="9" borderId="20" xfId="0" applyFont="1" applyFill="1" applyBorder="1" applyAlignment="1">
      <alignment horizontal="center" vertical="center"/>
    </xf>
    <xf numFmtId="0" fontId="45" fillId="9" borderId="21" xfId="0" applyFont="1" applyFill="1" applyBorder="1" applyAlignment="1">
      <alignment horizontal="center" vertical="center"/>
    </xf>
    <xf numFmtId="0" fontId="45" fillId="9" borderId="22" xfId="0" applyFont="1" applyFill="1" applyBorder="1" applyAlignment="1">
      <alignment horizontal="center" vertical="center"/>
    </xf>
    <xf numFmtId="0" fontId="45" fillId="9" borderId="43" xfId="0" applyFont="1" applyFill="1" applyBorder="1" applyAlignment="1">
      <alignment horizontal="center" vertical="center"/>
    </xf>
    <xf numFmtId="0" fontId="45" fillId="9" borderId="44" xfId="0" applyFont="1" applyFill="1" applyBorder="1" applyAlignment="1">
      <alignment horizontal="center" vertical="center"/>
    </xf>
    <xf numFmtId="0" fontId="45" fillId="9" borderId="45" xfId="0" applyFont="1" applyFill="1" applyBorder="1" applyAlignment="1">
      <alignment horizontal="center" vertical="center"/>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4" xfId="0" applyFont="1" applyBorder="1" applyAlignment="1">
      <alignment horizontal="center" vertical="center" wrapText="1"/>
    </xf>
    <xf numFmtId="0" fontId="16" fillId="0" borderId="38" xfId="0" applyFont="1" applyBorder="1" applyAlignment="1">
      <alignment horizontal="center" vertical="center" wrapText="1"/>
    </xf>
    <xf numFmtId="0" fontId="9" fillId="18" borderId="17" xfId="0" applyFont="1" applyFill="1" applyBorder="1" applyAlignment="1">
      <alignment horizontal="center"/>
    </xf>
    <xf numFmtId="0" fontId="9" fillId="18" borderId="35" xfId="0" applyFont="1" applyFill="1" applyBorder="1" applyAlignment="1">
      <alignment horizontal="center"/>
    </xf>
    <xf numFmtId="0" fontId="27" fillId="18" borderId="13" xfId="0" applyFont="1" applyFill="1" applyBorder="1" applyAlignment="1">
      <alignment horizontal="center" vertical="top" wrapText="1"/>
    </xf>
    <xf numFmtId="0" fontId="27" fillId="18" borderId="29" xfId="0" applyFont="1" applyFill="1" applyBorder="1" applyAlignment="1">
      <alignment horizontal="center" vertical="top" wrapText="1"/>
    </xf>
    <xf numFmtId="0" fontId="27" fillId="18" borderId="35" xfId="0" applyFont="1" applyFill="1" applyBorder="1" applyAlignment="1">
      <alignment horizontal="center" vertical="top" wrapText="1"/>
    </xf>
    <xf numFmtId="0" fontId="27" fillId="18" borderId="74" xfId="0" applyFont="1" applyFill="1" applyBorder="1" applyAlignment="1">
      <alignment horizontal="center" vertical="top" wrapText="1"/>
    </xf>
    <xf numFmtId="0" fontId="29" fillId="15" borderId="20" xfId="0" applyFont="1" applyFill="1" applyBorder="1" applyAlignment="1">
      <alignment horizontal="left" vertical="top" wrapText="1"/>
    </xf>
    <xf numFmtId="0" fontId="29" fillId="15" borderId="21" xfId="0" applyFont="1" applyFill="1" applyBorder="1" applyAlignment="1">
      <alignment horizontal="left" vertical="top" wrapText="1"/>
    </xf>
    <xf numFmtId="0" fontId="29" fillId="15" borderId="22" xfId="0" applyFont="1" applyFill="1" applyBorder="1" applyAlignment="1">
      <alignment horizontal="left" vertical="top" wrapText="1"/>
    </xf>
    <xf numFmtId="0" fontId="29" fillId="15" borderId="43" xfId="0" applyFont="1" applyFill="1" applyBorder="1" applyAlignment="1">
      <alignment horizontal="left" vertical="top" wrapText="1"/>
    </xf>
    <xf numFmtId="0" fontId="29" fillId="15" borderId="44" xfId="0" applyFont="1" applyFill="1" applyBorder="1" applyAlignment="1">
      <alignment horizontal="left" vertical="top" wrapText="1"/>
    </xf>
    <xf numFmtId="0" fontId="29" fillId="15" borderId="45" xfId="0" applyFont="1" applyFill="1" applyBorder="1" applyAlignment="1">
      <alignment horizontal="left" vertical="top" wrapText="1"/>
    </xf>
    <xf numFmtId="0" fontId="29" fillId="15" borderId="41"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42" xfId="0" applyFont="1" applyFill="1" applyBorder="1" applyAlignment="1">
      <alignment horizontal="left" vertical="top" wrapText="1"/>
    </xf>
    <xf numFmtId="0" fontId="18" fillId="0" borderId="53" xfId="0" applyFont="1" applyBorder="1" applyAlignment="1">
      <alignment horizontal="center" vertical="center" textRotation="90"/>
    </xf>
    <xf numFmtId="0" fontId="18" fillId="0" borderId="50" xfId="0" applyFont="1" applyBorder="1" applyAlignment="1">
      <alignment horizontal="center" vertical="center" textRotation="90"/>
    </xf>
    <xf numFmtId="0" fontId="18" fillId="0" borderId="54" xfId="0" applyFont="1" applyBorder="1" applyAlignment="1">
      <alignment horizontal="center" vertical="center" textRotation="90"/>
    </xf>
    <xf numFmtId="0" fontId="9" fillId="0" borderId="65"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47" xfId="0" applyFont="1" applyBorder="1" applyAlignment="1">
      <alignment horizontal="center" vertical="center" wrapText="1"/>
    </xf>
    <xf numFmtId="0" fontId="34" fillId="14" borderId="62" xfId="15" applyFont="1" applyFill="1" applyBorder="1" applyAlignment="1">
      <alignment horizontal="center" vertical="center" wrapText="1"/>
    </xf>
    <xf numFmtId="0" fontId="34" fillId="14" borderId="63" xfId="15" applyFont="1" applyFill="1" applyBorder="1" applyAlignment="1">
      <alignment horizontal="center" vertical="center" wrapText="1"/>
    </xf>
    <xf numFmtId="0" fontId="34" fillId="14" borderId="32" xfId="15" applyFont="1" applyFill="1" applyBorder="1" applyAlignment="1">
      <alignment horizontal="center" vertical="center" wrapText="1"/>
    </xf>
    <xf numFmtId="0" fontId="34" fillId="0" borderId="63" xfId="0" applyFont="1" applyBorder="1" applyAlignment="1">
      <alignment horizontal="center" vertical="center" wrapText="1"/>
    </xf>
    <xf numFmtId="0" fontId="34" fillId="0" borderId="32" xfId="0" applyFont="1" applyBorder="1" applyAlignment="1">
      <alignment horizontal="center" vertical="center" wrapText="1"/>
    </xf>
    <xf numFmtId="0" fontId="34" fillId="8" borderId="31" xfId="15" applyFont="1" applyFill="1" applyBorder="1" applyAlignment="1">
      <alignment horizontal="center" vertical="center" wrapText="1"/>
    </xf>
    <xf numFmtId="0" fontId="34" fillId="8" borderId="63" xfId="15" applyFont="1" applyFill="1" applyBorder="1" applyAlignment="1">
      <alignment horizontal="center" vertical="center" wrapText="1"/>
    </xf>
    <xf numFmtId="0" fontId="17" fillId="19" borderId="33" xfId="15" applyFont="1" applyFill="1" applyBorder="1" applyAlignment="1">
      <alignment horizontal="center" vertical="center" wrapText="1"/>
    </xf>
    <xf numFmtId="0" fontId="17" fillId="19" borderId="64" xfId="15" applyFont="1" applyFill="1" applyBorder="1" applyAlignment="1">
      <alignment horizontal="center" vertical="center" wrapText="1"/>
    </xf>
    <xf numFmtId="0" fontId="17" fillId="19" borderId="47" xfId="15" applyFont="1" applyFill="1" applyBorder="1" applyAlignment="1">
      <alignment horizontal="center" vertical="center" wrapTex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left" vertical="top"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vertical="top" wrapText="1"/>
    </xf>
    <xf numFmtId="0" fontId="42" fillId="24" borderId="33" xfId="15" applyFont="1" applyFill="1" applyBorder="1" applyAlignment="1">
      <alignment horizontal="center" vertical="center" wrapText="1"/>
    </xf>
    <xf numFmtId="0" fontId="42" fillId="24" borderId="64" xfId="15" applyFont="1" applyFill="1" applyBorder="1" applyAlignment="1">
      <alignment horizontal="center" vertical="center" wrapText="1"/>
    </xf>
    <xf numFmtId="0" fontId="42" fillId="24" borderId="67" xfId="15" applyFont="1" applyFill="1" applyBorder="1" applyAlignment="1">
      <alignment horizontal="center" vertical="center" wrapText="1"/>
    </xf>
    <xf numFmtId="0" fontId="9" fillId="11" borderId="11" xfId="0" applyFont="1" applyFill="1" applyBorder="1" applyAlignment="1">
      <alignment horizontal="left" vertical="center" wrapText="1"/>
    </xf>
    <xf numFmtId="0" fontId="9" fillId="11" borderId="12" xfId="0" applyFont="1" applyFill="1" applyBorder="1" applyAlignment="1">
      <alignment horizontal="left" vertical="center"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34" xfId="0" applyFont="1" applyBorder="1" applyAlignment="1">
      <alignment horizontal="center" vertical="center"/>
    </xf>
    <xf numFmtId="0" fontId="16" fillId="0" borderId="31" xfId="0" applyFont="1" applyBorder="1" applyAlignment="1">
      <alignment horizontal="center" vertical="center"/>
    </xf>
    <xf numFmtId="0" fontId="16" fillId="0" borderId="63" xfId="0" applyFont="1" applyBorder="1" applyAlignment="1">
      <alignment horizontal="center" vertical="center"/>
    </xf>
    <xf numFmtId="0" fontId="16" fillId="0" borderId="32" xfId="0" applyFont="1" applyBorder="1" applyAlignment="1">
      <alignment horizontal="center" vertical="center"/>
    </xf>
    <xf numFmtId="0" fontId="16" fillId="0" borderId="68" xfId="0" applyFont="1" applyBorder="1" applyAlignment="1">
      <alignment horizontal="left" vertical="top" wrapText="1"/>
    </xf>
    <xf numFmtId="0" fontId="16" fillId="0" borderId="69" xfId="0" applyFont="1" applyBorder="1" applyAlignment="1">
      <alignment horizontal="left" vertical="top" wrapText="1"/>
    </xf>
    <xf numFmtId="0" fontId="16" fillId="0" borderId="70" xfId="0" applyFont="1" applyBorder="1" applyAlignment="1">
      <alignment horizontal="left" vertical="top" wrapText="1"/>
    </xf>
    <xf numFmtId="0" fontId="16" fillId="0" borderId="42" xfId="0" applyFont="1" applyBorder="1" applyAlignment="1">
      <alignment horizontal="left" vertical="top" wrapText="1"/>
    </xf>
    <xf numFmtId="0" fontId="16" fillId="0" borderId="58" xfId="0" applyFont="1" applyBorder="1" applyAlignment="1">
      <alignment horizontal="left" vertical="top" wrapText="1"/>
    </xf>
    <xf numFmtId="0" fontId="16" fillId="0" borderId="71" xfId="0" applyFont="1" applyBorder="1" applyAlignment="1">
      <alignment horizontal="left" vertical="top" wrapText="1"/>
    </xf>
    <xf numFmtId="0" fontId="34" fillId="3" borderId="31" xfId="15" applyFont="1" applyFill="1" applyBorder="1" applyAlignment="1">
      <alignment horizontal="center" vertical="center" wrapText="1"/>
    </xf>
    <xf numFmtId="0" fontId="34" fillId="3" borderId="63" xfId="15" applyFont="1" applyFill="1" applyBorder="1" applyAlignment="1">
      <alignment horizontal="center" vertical="center" wrapText="1"/>
    </xf>
    <xf numFmtId="0" fontId="34" fillId="3" borderId="32" xfId="15" applyFont="1" applyFill="1" applyBorder="1" applyAlignment="1">
      <alignment horizontal="center" vertical="center" wrapText="1"/>
    </xf>
    <xf numFmtId="0" fontId="9" fillId="0" borderId="55" xfId="0" applyFont="1" applyBorder="1" applyAlignment="1">
      <alignment horizontal="center" vertical="center" wrapText="1"/>
    </xf>
    <xf numFmtId="0" fontId="18" fillId="0" borderId="65" xfId="0" applyFont="1" applyBorder="1" applyAlignment="1">
      <alignment horizontal="center" vertical="center" textRotation="90"/>
    </xf>
    <xf numFmtId="0" fontId="18" fillId="0" borderId="55" xfId="0" applyFont="1" applyBorder="1" applyAlignment="1">
      <alignment horizontal="center" vertical="center" textRotation="90"/>
    </xf>
    <xf numFmtId="0" fontId="16" fillId="0" borderId="31"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79" xfId="0" applyFont="1" applyBorder="1" applyAlignment="1">
      <alignment horizontal="center" vertical="center" wrapText="1"/>
    </xf>
    <xf numFmtId="0" fontId="27" fillId="15" borderId="20" xfId="0" applyFont="1" applyFill="1" applyBorder="1" applyAlignment="1">
      <alignment horizontal="left" vertical="top" wrapText="1"/>
    </xf>
    <xf numFmtId="0" fontId="27" fillId="15" borderId="21" xfId="0" applyFont="1" applyFill="1" applyBorder="1" applyAlignment="1">
      <alignment horizontal="left" vertical="top" wrapText="1"/>
    </xf>
    <xf numFmtId="0" fontId="27" fillId="15" borderId="22" xfId="0" applyFont="1" applyFill="1" applyBorder="1" applyAlignment="1">
      <alignment horizontal="left" vertical="top" wrapText="1"/>
    </xf>
    <xf numFmtId="0" fontId="27" fillId="15" borderId="41" xfId="0" applyFont="1" applyFill="1" applyBorder="1" applyAlignment="1">
      <alignment horizontal="left" vertical="top" wrapText="1"/>
    </xf>
    <xf numFmtId="0" fontId="27" fillId="15" borderId="0" xfId="0" applyFont="1" applyFill="1" applyBorder="1" applyAlignment="1">
      <alignment horizontal="left" vertical="top" wrapText="1"/>
    </xf>
    <xf numFmtId="0" fontId="27" fillId="15" borderId="42" xfId="0" applyFont="1" applyFill="1" applyBorder="1" applyAlignment="1">
      <alignment horizontal="left" vertical="top" wrapText="1"/>
    </xf>
    <xf numFmtId="0" fontId="27" fillId="15" borderId="43" xfId="0" applyFont="1" applyFill="1" applyBorder="1" applyAlignment="1">
      <alignment horizontal="left" vertical="top" wrapText="1"/>
    </xf>
    <xf numFmtId="0" fontId="27" fillId="15" borderId="44" xfId="0" applyFont="1" applyFill="1" applyBorder="1" applyAlignment="1">
      <alignment horizontal="left" vertical="top" wrapText="1"/>
    </xf>
    <xf numFmtId="0" fontId="27" fillId="15" borderId="45"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30" xfId="0" applyFont="1" applyBorder="1" applyAlignment="1">
      <alignment horizontal="left" vertical="top" wrapText="1"/>
    </xf>
    <xf numFmtId="0" fontId="16" fillId="0" borderId="7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34" fillId="0" borderId="68" xfId="0" applyFont="1" applyFill="1" applyBorder="1" applyAlignment="1">
      <alignment horizontal="center" vertical="center" wrapText="1"/>
    </xf>
    <xf numFmtId="0" fontId="34" fillId="0" borderId="75"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4" fillId="0" borderId="77"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34" fillId="3" borderId="20" xfId="0" applyFont="1" applyFill="1" applyBorder="1" applyAlignment="1">
      <alignment horizontal="left" vertical="top" wrapText="1"/>
    </xf>
    <xf numFmtId="0" fontId="34" fillId="3" borderId="21" xfId="0" applyFont="1" applyFill="1" applyBorder="1" applyAlignment="1">
      <alignment horizontal="left" vertical="top" wrapText="1"/>
    </xf>
    <xf numFmtId="0" fontId="34" fillId="3" borderId="22" xfId="0" applyFont="1" applyFill="1" applyBorder="1" applyAlignment="1">
      <alignment horizontal="left" vertical="top" wrapText="1"/>
    </xf>
    <xf numFmtId="0" fontId="34" fillId="3" borderId="41" xfId="0" applyFont="1" applyFill="1" applyBorder="1" applyAlignment="1">
      <alignment horizontal="left" vertical="top" wrapText="1"/>
    </xf>
    <xf numFmtId="0" fontId="34" fillId="3" borderId="0" xfId="0" applyFont="1" applyFill="1" applyBorder="1" applyAlignment="1">
      <alignment horizontal="left" vertical="top" wrapText="1"/>
    </xf>
    <xf numFmtId="0" fontId="34" fillId="3" borderId="42" xfId="0" applyFont="1" applyFill="1" applyBorder="1" applyAlignment="1">
      <alignment horizontal="left" vertical="top" wrapText="1"/>
    </xf>
    <xf numFmtId="0" fontId="34" fillId="3" borderId="43" xfId="0" applyFont="1" applyFill="1" applyBorder="1" applyAlignment="1">
      <alignment horizontal="left" vertical="top" wrapText="1"/>
    </xf>
    <xf numFmtId="0" fontId="34" fillId="3" borderId="44" xfId="0" applyFont="1" applyFill="1" applyBorder="1" applyAlignment="1">
      <alignment horizontal="left" vertical="top" wrapText="1"/>
    </xf>
    <xf numFmtId="0" fontId="34" fillId="3" borderId="45" xfId="0" applyFont="1" applyFill="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41" xfId="0" applyFont="1" applyBorder="1" applyAlignment="1">
      <alignment horizontal="left" vertical="top" wrapText="1"/>
    </xf>
    <xf numFmtId="0" fontId="16" fillId="0" borderId="0" xfId="0" applyFont="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34" fillId="25" borderId="20" xfId="0" applyFont="1" applyFill="1" applyBorder="1" applyAlignment="1">
      <alignment horizontal="left" vertical="top" wrapText="1"/>
    </xf>
    <xf numFmtId="0" fontId="34" fillId="25" borderId="21" xfId="0" applyFont="1" applyFill="1" applyBorder="1" applyAlignment="1">
      <alignment horizontal="left" vertical="top" wrapText="1"/>
    </xf>
    <xf numFmtId="0" fontId="34" fillId="25" borderId="22" xfId="0" applyFont="1" applyFill="1" applyBorder="1" applyAlignment="1">
      <alignment horizontal="left" vertical="top" wrapText="1"/>
    </xf>
    <xf numFmtId="0" fontId="34" fillId="25" borderId="41" xfId="0" applyFont="1" applyFill="1" applyBorder="1" applyAlignment="1">
      <alignment horizontal="left" vertical="top" wrapText="1"/>
    </xf>
    <xf numFmtId="0" fontId="34" fillId="25" borderId="0" xfId="0" applyFont="1" applyFill="1" applyBorder="1" applyAlignment="1">
      <alignment horizontal="left" vertical="top" wrapText="1"/>
    </xf>
    <xf numFmtId="0" fontId="34" fillId="25" borderId="42" xfId="0" applyFont="1" applyFill="1" applyBorder="1" applyAlignment="1">
      <alignment horizontal="left" vertical="top" wrapText="1"/>
    </xf>
    <xf numFmtId="0" fontId="34" fillId="25" borderId="43" xfId="0" applyFont="1" applyFill="1" applyBorder="1" applyAlignment="1">
      <alignment horizontal="left" vertical="top" wrapText="1"/>
    </xf>
    <xf numFmtId="0" fontId="34" fillId="25" borderId="44" xfId="0" applyFont="1" applyFill="1" applyBorder="1" applyAlignment="1">
      <alignment horizontal="left" vertical="top" wrapText="1"/>
    </xf>
    <xf numFmtId="0" fontId="34" fillId="25" borderId="45" xfId="0" applyFont="1" applyFill="1" applyBorder="1" applyAlignment="1">
      <alignment horizontal="left" vertical="top"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166" fontId="11" fillId="3" borderId="10" xfId="0" applyNumberFormat="1" applyFont="1" applyFill="1" applyBorder="1" applyAlignment="1">
      <alignment horizontal="center" vertical="center"/>
    </xf>
    <xf numFmtId="166" fontId="11" fillId="3" borderId="11" xfId="0" applyNumberFormat="1" applyFont="1" applyFill="1" applyBorder="1" applyAlignment="1">
      <alignment horizontal="center" vertical="center"/>
    </xf>
    <xf numFmtId="166" fontId="11" fillId="3" borderId="12" xfId="0" applyNumberFormat="1" applyFont="1" applyFill="1" applyBorder="1" applyAlignment="1">
      <alignment horizontal="center" vertical="center"/>
    </xf>
    <xf numFmtId="166" fontId="13" fillId="6" borderId="10" xfId="0" applyNumberFormat="1" applyFont="1" applyFill="1" applyBorder="1" applyAlignment="1">
      <alignment horizontal="center" vertical="center"/>
    </xf>
    <xf numFmtId="166" fontId="13" fillId="6" borderId="11" xfId="0" applyNumberFormat="1" applyFont="1" applyFill="1" applyBorder="1" applyAlignment="1">
      <alignment horizontal="center" vertical="center"/>
    </xf>
    <xf numFmtId="166" fontId="13" fillId="6" borderId="12" xfId="0" applyNumberFormat="1" applyFont="1" applyFill="1" applyBorder="1" applyAlignment="1">
      <alignment horizontal="center" vertical="center"/>
    </xf>
    <xf numFmtId="166" fontId="13" fillId="7" borderId="10" xfId="0" applyNumberFormat="1" applyFont="1" applyFill="1" applyBorder="1" applyAlignment="1">
      <alignment horizontal="center" vertical="center"/>
    </xf>
    <xf numFmtId="166" fontId="13" fillId="7" borderId="11" xfId="0" applyNumberFormat="1" applyFont="1" applyFill="1" applyBorder="1" applyAlignment="1">
      <alignment horizontal="center" vertical="center"/>
    </xf>
    <xf numFmtId="166" fontId="13" fillId="7" borderId="12" xfId="0" applyNumberFormat="1" applyFont="1" applyFill="1" applyBorder="1" applyAlignment="1">
      <alignment horizontal="center" vertical="center"/>
    </xf>
    <xf numFmtId="0" fontId="11" fillId="9" borderId="35"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12"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9" xfId="0" applyFont="1" applyFill="1" applyBorder="1" applyAlignment="1">
      <alignment horizontal="center" vertical="center"/>
    </xf>
    <xf numFmtId="166" fontId="11" fillId="3" borderId="20" xfId="0" applyNumberFormat="1" applyFont="1" applyFill="1" applyBorder="1" applyAlignment="1">
      <alignment horizontal="center" vertical="center"/>
    </xf>
    <xf numFmtId="166" fontId="11" fillId="3" borderId="21" xfId="0" applyNumberFormat="1" applyFont="1" applyFill="1" applyBorder="1" applyAlignment="1">
      <alignment horizontal="center" vertical="center"/>
    </xf>
    <xf numFmtId="166" fontId="13" fillId="7" borderId="35" xfId="0" applyNumberFormat="1" applyFont="1" applyFill="1" applyBorder="1" applyAlignment="1">
      <alignment horizontal="center" vertical="center"/>
    </xf>
    <xf numFmtId="0" fontId="13" fillId="8" borderId="23"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6" fillId="0" borderId="41" xfId="0" applyFont="1" applyBorder="1" applyAlignment="1">
      <alignment horizontal="left" vertical="center" wrapText="1"/>
    </xf>
    <xf numFmtId="0" fontId="16" fillId="0" borderId="0" xfId="0" applyFont="1" applyBorder="1" applyAlignment="1">
      <alignment horizontal="left" vertical="center" wrapTex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9" fillId="14" borderId="23" xfId="0" applyFont="1" applyFill="1" applyBorder="1" applyAlignment="1">
      <alignment horizontal="center" vertical="center"/>
    </xf>
    <xf numFmtId="0" fontId="9" fillId="14" borderId="24" xfId="0" applyFont="1" applyFill="1" applyBorder="1" applyAlignment="1">
      <alignment horizontal="center" vertical="center"/>
    </xf>
    <xf numFmtId="0" fontId="22" fillId="11" borderId="23" xfId="11" applyFont="1" applyFill="1" applyBorder="1" applyAlignment="1">
      <alignment horizontal="center" vertical="center"/>
    </xf>
    <xf numFmtId="0" fontId="22" fillId="11" borderId="24" xfId="11" applyFont="1" applyFill="1" applyBorder="1" applyAlignment="1">
      <alignment horizontal="center" vertical="center"/>
    </xf>
    <xf numFmtId="0" fontId="22" fillId="11" borderId="25" xfId="11" applyFont="1" applyFill="1" applyBorder="1" applyAlignment="1">
      <alignment horizontal="center" vertical="center"/>
    </xf>
    <xf numFmtId="0" fontId="12" fillId="0" borderId="17" xfId="0" applyFont="1" applyBorder="1" applyAlignment="1">
      <alignment horizontal="center" vertical="center"/>
    </xf>
    <xf numFmtId="0" fontId="12" fillId="0" borderId="29" xfId="0" applyFont="1" applyBorder="1" applyAlignment="1">
      <alignment horizontal="center" vertical="center"/>
    </xf>
    <xf numFmtId="0" fontId="9" fillId="14" borderId="16" xfId="0" applyFont="1" applyFill="1" applyBorder="1" applyAlignment="1">
      <alignment horizontal="center" vertical="center"/>
    </xf>
    <xf numFmtId="0" fontId="9" fillId="14" borderId="37" xfId="0" applyFont="1" applyFill="1" applyBorder="1" applyAlignment="1">
      <alignment horizontal="center" vertical="center"/>
    </xf>
    <xf numFmtId="0" fontId="22" fillId="11" borderId="19" xfId="11" applyFont="1" applyFill="1" applyBorder="1" applyAlignment="1">
      <alignment horizontal="center" vertical="center" wrapText="1"/>
    </xf>
    <xf numFmtId="0" fontId="22" fillId="11" borderId="73" xfId="11" applyFont="1" applyFill="1" applyBorder="1" applyAlignment="1">
      <alignment horizontal="center" vertical="center" wrapText="1"/>
    </xf>
    <xf numFmtId="0" fontId="9" fillId="14" borderId="25"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32" xfId="0" applyFont="1" applyBorder="1" applyAlignment="1">
      <alignment horizontal="left" vertical="center" wrapText="1"/>
    </xf>
    <xf numFmtId="0" fontId="16" fillId="0" borderId="58" xfId="0" applyFont="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15" xfId="0" applyFont="1" applyBorder="1" applyAlignment="1">
      <alignment horizontal="left" vertical="center" wrapText="1"/>
    </xf>
    <xf numFmtId="0" fontId="12" fillId="0" borderId="46" xfId="0" applyFont="1" applyBorder="1" applyAlignment="1">
      <alignment horizontal="center" vertical="center"/>
    </xf>
    <xf numFmtId="0" fontId="12" fillId="0" borderId="72" xfId="0" applyFont="1" applyBorder="1" applyAlignment="1">
      <alignment horizontal="center" vertical="center"/>
    </xf>
    <xf numFmtId="0" fontId="12" fillId="0" borderId="71" xfId="0" applyFont="1" applyBorder="1" applyAlignment="1">
      <alignment horizontal="center" vertical="center"/>
    </xf>
    <xf numFmtId="0" fontId="9" fillId="14" borderId="30" xfId="0" applyFont="1" applyFill="1" applyBorder="1" applyAlignment="1">
      <alignment horizontal="center" vertical="center"/>
    </xf>
    <xf numFmtId="0" fontId="22" fillId="11" borderId="19" xfId="11" applyFont="1" applyFill="1" applyBorder="1" applyAlignment="1">
      <alignment horizontal="center" vertical="center"/>
    </xf>
    <xf numFmtId="0" fontId="22" fillId="11" borderId="73" xfId="11" applyFont="1" applyFill="1" applyBorder="1" applyAlignment="1">
      <alignment horizontal="center" vertical="center"/>
    </xf>
    <xf numFmtId="0" fontId="22" fillId="11" borderId="66" xfId="11" applyFont="1" applyFill="1" applyBorder="1" applyAlignment="1">
      <alignment horizontal="center" vertical="center"/>
    </xf>
    <xf numFmtId="0" fontId="11" fillId="13" borderId="12" xfId="0" applyFont="1" applyFill="1" applyBorder="1" applyAlignment="1">
      <alignment horizontal="center" vertical="center"/>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166" fontId="11" fillId="3" borderId="23" xfId="0" applyNumberFormat="1" applyFont="1" applyFill="1" applyBorder="1" applyAlignment="1">
      <alignment horizontal="center" vertical="center"/>
    </xf>
    <xf numFmtId="166" fontId="11" fillId="3" borderId="24" xfId="0" applyNumberFormat="1" applyFont="1" applyFill="1" applyBorder="1" applyAlignment="1">
      <alignment horizontal="center" vertical="center"/>
    </xf>
    <xf numFmtId="0" fontId="9" fillId="14" borderId="21" xfId="0" applyFont="1" applyFill="1" applyBorder="1" applyAlignment="1">
      <alignment horizontal="center" vertical="center"/>
    </xf>
    <xf numFmtId="166" fontId="13" fillId="6" borderId="35" xfId="0" applyNumberFormat="1" applyFont="1" applyFill="1" applyBorder="1" applyAlignment="1">
      <alignment horizontal="center" vertical="center"/>
    </xf>
    <xf numFmtId="166" fontId="13" fillId="7" borderId="13" xfId="0" applyNumberFormat="1" applyFont="1" applyFill="1" applyBorder="1" applyAlignment="1">
      <alignment horizontal="center" vertical="center"/>
    </xf>
    <xf numFmtId="166" fontId="13" fillId="6" borderId="13" xfId="0" applyNumberFormat="1" applyFont="1" applyFill="1" applyBorder="1" applyAlignment="1">
      <alignment horizontal="center" vertical="center"/>
    </xf>
    <xf numFmtId="166" fontId="13" fillId="7" borderId="17" xfId="0" applyNumberFormat="1" applyFont="1" applyFill="1" applyBorder="1" applyAlignment="1">
      <alignment horizontal="center" vertical="center"/>
    </xf>
    <xf numFmtId="166" fontId="13" fillId="7" borderId="29" xfId="0" applyNumberFormat="1" applyFont="1" applyFill="1" applyBorder="1" applyAlignment="1">
      <alignment horizontal="center" vertical="center"/>
    </xf>
    <xf numFmtId="166" fontId="13" fillId="7" borderId="74" xfId="0" applyNumberFormat="1" applyFont="1" applyFill="1" applyBorder="1" applyAlignment="1">
      <alignment horizontal="center" vertical="center"/>
    </xf>
    <xf numFmtId="0" fontId="16" fillId="0" borderId="4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9" fillId="14" borderId="17" xfId="0" applyFont="1" applyFill="1" applyBorder="1" applyAlignment="1">
      <alignment horizontal="center" vertical="center"/>
    </xf>
    <xf numFmtId="0" fontId="9" fillId="14" borderId="29" xfId="0" applyFont="1" applyFill="1" applyBorder="1" applyAlignment="1">
      <alignment horizontal="center" vertical="center"/>
    </xf>
    <xf numFmtId="0" fontId="9" fillId="14" borderId="74" xfId="0" applyFont="1" applyFill="1" applyBorder="1" applyAlignment="1">
      <alignment horizontal="center" vertical="center"/>
    </xf>
    <xf numFmtId="0" fontId="13" fillId="10" borderId="23"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3" fillId="10" borderId="25" xfId="0" applyFont="1" applyFill="1" applyBorder="1" applyAlignment="1">
      <alignment horizontal="center" vertical="center" wrapText="1"/>
    </xf>
    <xf numFmtId="166" fontId="13" fillId="6" borderId="20" xfId="0" applyNumberFormat="1" applyFont="1" applyFill="1" applyBorder="1" applyAlignment="1">
      <alignment horizontal="center" vertical="center" wrapText="1"/>
    </xf>
    <xf numFmtId="166" fontId="13" fillId="6" borderId="21" xfId="0" applyNumberFormat="1" applyFont="1" applyFill="1" applyBorder="1" applyAlignment="1">
      <alignment horizontal="center" vertical="center" wrapText="1"/>
    </xf>
    <xf numFmtId="166" fontId="13" fillId="6" borderId="22" xfId="0" applyNumberFormat="1" applyFont="1" applyFill="1" applyBorder="1" applyAlignment="1">
      <alignment horizontal="center" vertical="center" wrapText="1"/>
    </xf>
    <xf numFmtId="166" fontId="13" fillId="7" borderId="17" xfId="0" applyNumberFormat="1" applyFont="1" applyFill="1" applyBorder="1" applyAlignment="1">
      <alignment horizontal="center" vertical="center" wrapText="1"/>
    </xf>
    <xf numFmtId="166" fontId="13" fillId="7" borderId="29" xfId="0" applyNumberFormat="1" applyFont="1" applyFill="1" applyBorder="1" applyAlignment="1">
      <alignment horizontal="center" vertical="center" wrapText="1"/>
    </xf>
    <xf numFmtId="166" fontId="13" fillId="7" borderId="74" xfId="0" applyNumberFormat="1" applyFont="1" applyFill="1" applyBorder="1" applyAlignment="1">
      <alignment horizontal="center"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9" fillId="14" borderId="5" xfId="0" applyFont="1" applyFill="1" applyBorder="1" applyAlignment="1">
      <alignment horizontal="center" vertical="center"/>
    </xf>
    <xf numFmtId="0" fontId="9" fillId="14" borderId="1" xfId="0" applyFont="1" applyFill="1" applyBorder="1" applyAlignment="1">
      <alignment horizontal="center" vertical="center"/>
    </xf>
    <xf numFmtId="0" fontId="9" fillId="14" borderId="6" xfId="0" applyFont="1" applyFill="1" applyBorder="1" applyAlignment="1">
      <alignment horizontal="center" vertical="center"/>
    </xf>
    <xf numFmtId="0" fontId="22" fillId="11" borderId="7" xfId="11" applyFont="1" applyFill="1" applyBorder="1" applyAlignment="1">
      <alignment horizontal="center" vertical="center"/>
    </xf>
    <xf numFmtId="0" fontId="22" fillId="11" borderId="9" xfId="11" applyFont="1" applyFill="1" applyBorder="1" applyAlignment="1">
      <alignment horizontal="center" vertical="center"/>
    </xf>
    <xf numFmtId="0" fontId="22" fillId="11" borderId="8" xfId="11"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166" fontId="11" fillId="3" borderId="17" xfId="0" applyNumberFormat="1" applyFont="1" applyFill="1" applyBorder="1" applyAlignment="1">
      <alignment horizontal="center" vertical="center" wrapText="1"/>
    </xf>
    <xf numFmtId="166" fontId="11" fillId="3" borderId="29" xfId="0" applyNumberFormat="1" applyFont="1" applyFill="1" applyBorder="1" applyAlignment="1">
      <alignment horizontal="center" vertical="center" wrapText="1"/>
    </xf>
    <xf numFmtId="166" fontId="11" fillId="3" borderId="74" xfId="0" applyNumberFormat="1" applyFont="1" applyFill="1" applyBorder="1" applyAlignment="1">
      <alignment horizontal="center" vertical="center" wrapText="1"/>
    </xf>
    <xf numFmtId="166" fontId="13" fillId="5" borderId="35" xfId="0" applyNumberFormat="1" applyFont="1" applyFill="1" applyBorder="1" applyAlignment="1">
      <alignment horizontal="center" vertical="center"/>
    </xf>
    <xf numFmtId="166" fontId="13" fillId="5" borderId="11" xfId="0" applyNumberFormat="1" applyFont="1" applyFill="1" applyBorder="1" applyAlignment="1">
      <alignment horizontal="center" vertical="center"/>
    </xf>
    <xf numFmtId="166" fontId="13" fillId="5" borderId="13" xfId="0" applyNumberFormat="1" applyFont="1" applyFill="1" applyBorder="1" applyAlignment="1">
      <alignment horizontal="center" vertical="center"/>
    </xf>
    <xf numFmtId="166" fontId="13" fillId="5" borderId="10" xfId="0" applyNumberFormat="1" applyFont="1" applyFill="1" applyBorder="1" applyAlignment="1">
      <alignment horizontal="center" vertical="center" wrapText="1"/>
    </xf>
    <xf numFmtId="166" fontId="13" fillId="5" borderId="11" xfId="0" applyNumberFormat="1" applyFont="1" applyFill="1" applyBorder="1" applyAlignment="1">
      <alignment horizontal="center" vertical="center" wrapText="1"/>
    </xf>
    <xf numFmtId="166" fontId="13" fillId="5" borderId="13" xfId="0" applyNumberFormat="1" applyFont="1" applyFill="1" applyBorder="1" applyAlignment="1">
      <alignment horizontal="center" vertical="center" wrapText="1"/>
    </xf>
    <xf numFmtId="166" fontId="13" fillId="13" borderId="17" xfId="0" applyNumberFormat="1" applyFont="1" applyFill="1" applyBorder="1" applyAlignment="1">
      <alignment horizontal="center" vertical="center"/>
    </xf>
    <xf numFmtId="166" fontId="13" fillId="13" borderId="29" xfId="0" applyNumberFormat="1" applyFont="1" applyFill="1" applyBorder="1" applyAlignment="1">
      <alignment horizontal="center" vertical="center"/>
    </xf>
    <xf numFmtId="166" fontId="13" fillId="13" borderId="74" xfId="0" applyNumberFormat="1" applyFont="1" applyFill="1" applyBorder="1" applyAlignment="1">
      <alignment horizontal="center" vertical="center"/>
    </xf>
    <xf numFmtId="166" fontId="13" fillId="6" borderId="17" xfId="0" applyNumberFormat="1" applyFont="1" applyFill="1" applyBorder="1" applyAlignment="1">
      <alignment horizontal="center" vertical="center"/>
    </xf>
    <xf numFmtId="166" fontId="13" fillId="6" borderId="29" xfId="0" applyNumberFormat="1" applyFont="1" applyFill="1" applyBorder="1" applyAlignment="1">
      <alignment horizontal="center" vertical="center"/>
    </xf>
    <xf numFmtId="166" fontId="13" fillId="6" borderId="74" xfId="0" applyNumberFormat="1" applyFont="1" applyFill="1" applyBorder="1" applyAlignment="1">
      <alignment horizontal="center" vertical="center"/>
    </xf>
    <xf numFmtId="166" fontId="13" fillId="13" borderId="10" xfId="0" applyNumberFormat="1" applyFont="1" applyFill="1" applyBorder="1" applyAlignment="1">
      <alignment horizontal="center" vertical="center" wrapText="1"/>
    </xf>
    <xf numFmtId="166" fontId="13" fillId="13" borderId="11" xfId="0" applyNumberFormat="1" applyFont="1" applyFill="1" applyBorder="1" applyAlignment="1">
      <alignment horizontal="center" vertical="center" wrapText="1"/>
    </xf>
    <xf numFmtId="166" fontId="13" fillId="13" borderId="13" xfId="0" applyNumberFormat="1" applyFont="1" applyFill="1" applyBorder="1" applyAlignment="1">
      <alignment horizontal="center" vertical="center" wrapText="1"/>
    </xf>
    <xf numFmtId="166" fontId="11" fillId="3" borderId="13" xfId="0" applyNumberFormat="1" applyFont="1" applyFill="1" applyBorder="1" applyAlignment="1">
      <alignment horizontal="center" vertical="center"/>
    </xf>
    <xf numFmtId="166" fontId="13" fillId="6" borderId="17" xfId="0" applyNumberFormat="1" applyFont="1" applyFill="1" applyBorder="1" applyAlignment="1">
      <alignment horizontal="center" vertical="center" wrapText="1"/>
    </xf>
    <xf numFmtId="166" fontId="13" fillId="6" borderId="29" xfId="0" applyNumberFormat="1" applyFont="1" applyFill="1" applyBorder="1" applyAlignment="1">
      <alignment horizontal="center" vertical="center" wrapText="1"/>
    </xf>
    <xf numFmtId="166" fontId="13" fillId="6" borderId="74" xfId="0" applyNumberFormat="1" applyFont="1" applyFill="1" applyBorder="1" applyAlignment="1">
      <alignment horizontal="center" vertical="center" wrapText="1"/>
    </xf>
    <xf numFmtId="0" fontId="21" fillId="20" borderId="42" xfId="0" applyFont="1" applyFill="1" applyBorder="1" applyAlignment="1">
      <alignment horizontal="center" vertical="center" wrapText="1"/>
    </xf>
    <xf numFmtId="0" fontId="21" fillId="20" borderId="45" xfId="0" applyFont="1" applyFill="1" applyBorder="1" applyAlignment="1">
      <alignment horizontal="center" vertical="center" wrapText="1"/>
    </xf>
    <xf numFmtId="0" fontId="11" fillId="20" borderId="10" xfId="0" applyFont="1" applyFill="1" applyBorder="1" applyAlignment="1">
      <alignment horizontal="center" vertical="center" wrapText="1"/>
    </xf>
    <xf numFmtId="0" fontId="11" fillId="20" borderId="11" xfId="0" applyFont="1" applyFill="1" applyBorder="1" applyAlignment="1">
      <alignment horizontal="center" vertical="center" wrapText="1"/>
    </xf>
    <xf numFmtId="0" fontId="11" fillId="20" borderId="12" xfId="0" applyFont="1" applyFill="1" applyBorder="1" applyAlignment="1">
      <alignment horizontal="center" vertical="center" wrapText="1"/>
    </xf>
    <xf numFmtId="0" fontId="11" fillId="20" borderId="49" xfId="0" applyFont="1" applyFill="1" applyBorder="1" applyAlignment="1">
      <alignment horizontal="center" vertical="center"/>
    </xf>
    <xf numFmtId="0" fontId="11" fillId="20" borderId="33" xfId="0" applyFont="1" applyFill="1" applyBorder="1" applyAlignment="1">
      <alignment horizontal="center" vertical="center"/>
    </xf>
    <xf numFmtId="0" fontId="21" fillId="20" borderId="10" xfId="0" applyFont="1" applyFill="1" applyBorder="1" applyAlignment="1">
      <alignment horizontal="center" vertical="center" wrapText="1"/>
    </xf>
    <xf numFmtId="0" fontId="21" fillId="20" borderId="11" xfId="0" applyFont="1" applyFill="1" applyBorder="1" applyAlignment="1">
      <alignment horizontal="center" vertical="center" wrapText="1"/>
    </xf>
    <xf numFmtId="0" fontId="21" fillId="20" borderId="12" xfId="0" applyFont="1" applyFill="1" applyBorder="1" applyAlignment="1">
      <alignment horizontal="center" vertical="center" wrapText="1"/>
    </xf>
    <xf numFmtId="0" fontId="11" fillId="20" borderId="38" xfId="0" applyFont="1" applyFill="1" applyBorder="1" applyAlignment="1">
      <alignment horizontal="center" vertical="center"/>
    </xf>
    <xf numFmtId="0" fontId="11" fillId="20" borderId="39" xfId="0" applyFont="1" applyFill="1" applyBorder="1" applyAlignment="1">
      <alignment horizontal="center" vertical="center"/>
    </xf>
    <xf numFmtId="0" fontId="21" fillId="20" borderId="20" xfId="0" applyFont="1" applyFill="1" applyBorder="1" applyAlignment="1">
      <alignment horizontal="center" vertical="center" wrapText="1"/>
    </xf>
    <xf numFmtId="0" fontId="21" fillId="20" borderId="21" xfId="0" applyFont="1" applyFill="1" applyBorder="1" applyAlignment="1">
      <alignment horizontal="center" vertical="center" wrapText="1"/>
    </xf>
    <xf numFmtId="0" fontId="21" fillId="20" borderId="22" xfId="0" applyFont="1" applyFill="1" applyBorder="1" applyAlignment="1">
      <alignment horizontal="center" vertical="center" wrapText="1"/>
    </xf>
    <xf numFmtId="0" fontId="21" fillId="20" borderId="41" xfId="0" applyFont="1" applyFill="1" applyBorder="1" applyAlignment="1">
      <alignment horizontal="center" vertical="center" wrapText="1"/>
    </xf>
    <xf numFmtId="0" fontId="21" fillId="20" borderId="0" xfId="0" applyFont="1" applyFill="1" applyBorder="1" applyAlignment="1">
      <alignment horizontal="center" vertical="center" wrapText="1"/>
    </xf>
    <xf numFmtId="0" fontId="21" fillId="20" borderId="53" xfId="0" applyFont="1" applyFill="1" applyBorder="1" applyAlignment="1">
      <alignment horizontal="center" vertical="center" wrapText="1"/>
    </xf>
    <xf numFmtId="0" fontId="21" fillId="20" borderId="55" xfId="0" applyFont="1" applyFill="1" applyBorder="1" applyAlignment="1">
      <alignment horizontal="center" vertical="center" wrapText="1"/>
    </xf>
    <xf numFmtId="0" fontId="11" fillId="20" borderId="7" xfId="0" applyFont="1" applyFill="1" applyBorder="1" applyAlignment="1">
      <alignment horizontal="center" vertical="center"/>
    </xf>
    <xf numFmtId="0" fontId="11" fillId="20" borderId="8" xfId="0" applyFont="1" applyFill="1" applyBorder="1" applyAlignment="1">
      <alignment horizontal="center" vertical="center"/>
    </xf>
    <xf numFmtId="0" fontId="21" fillId="20" borderId="1" xfId="0" applyFont="1" applyFill="1" applyBorder="1" applyAlignment="1">
      <alignment horizontal="center" vertical="center" wrapText="1"/>
    </xf>
    <xf numFmtId="0" fontId="21" fillId="20" borderId="6" xfId="0" applyFont="1" applyFill="1" applyBorder="1" applyAlignment="1">
      <alignment horizontal="center" vertical="center" wrapText="1"/>
    </xf>
    <xf numFmtId="0" fontId="21" fillId="20" borderId="3" xfId="0" applyFont="1" applyFill="1" applyBorder="1" applyAlignment="1">
      <alignment horizontal="center" vertical="center" wrapText="1"/>
    </xf>
    <xf numFmtId="0" fontId="11" fillId="20" borderId="31" xfId="0" applyFont="1" applyFill="1" applyBorder="1" applyAlignment="1">
      <alignment horizontal="center" vertical="center"/>
    </xf>
    <xf numFmtId="0" fontId="32" fillId="20" borderId="0" xfId="0" applyFont="1" applyFill="1" applyBorder="1" applyAlignment="1">
      <alignment horizontal="center" vertical="center" wrapText="1"/>
    </xf>
    <xf numFmtId="0" fontId="11" fillId="20" borderId="0" xfId="0" applyFont="1" applyFill="1" applyAlignment="1">
      <alignment horizontal="center" vertical="center" wrapText="1"/>
    </xf>
    <xf numFmtId="0" fontId="18" fillId="4" borderId="2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1" fillId="20" borderId="20" xfId="0" applyFont="1" applyFill="1" applyBorder="1" applyAlignment="1">
      <alignment horizontal="center" vertical="center" wrapText="1"/>
    </xf>
    <xf numFmtId="0" fontId="11" fillId="20" borderId="22" xfId="0" applyFont="1" applyFill="1" applyBorder="1" applyAlignment="1">
      <alignment horizontal="center" vertical="center" wrapText="1"/>
    </xf>
    <xf numFmtId="0" fontId="1" fillId="20" borderId="11" xfId="0" applyFont="1" applyFill="1" applyBorder="1" applyAlignment="1">
      <alignment horizontal="center" vertical="center" wrapText="1"/>
    </xf>
    <xf numFmtId="0" fontId="1" fillId="20" borderId="12" xfId="0" applyFont="1" applyFill="1" applyBorder="1" applyAlignment="1">
      <alignment horizontal="center" vertical="center" wrapText="1"/>
    </xf>
    <xf numFmtId="0" fontId="17" fillId="21" borderId="23" xfId="0" applyFont="1" applyFill="1" applyBorder="1" applyAlignment="1">
      <alignment horizontal="center" vertical="center"/>
    </xf>
    <xf numFmtId="0" fontId="17" fillId="21" borderId="24" xfId="0" applyFont="1" applyFill="1" applyBorder="1" applyAlignment="1">
      <alignment horizontal="center" vertical="center"/>
    </xf>
    <xf numFmtId="0" fontId="17" fillId="21" borderId="25" xfId="0" applyFont="1" applyFill="1" applyBorder="1" applyAlignment="1">
      <alignment horizontal="center" vertical="center"/>
    </xf>
    <xf numFmtId="0" fontId="1" fillId="20" borderId="23" xfId="0" applyFont="1" applyFill="1" applyBorder="1" applyAlignment="1">
      <alignment horizontal="center" vertical="center"/>
    </xf>
    <xf numFmtId="0" fontId="1" fillId="20" borderId="24" xfId="0" applyFont="1" applyFill="1" applyBorder="1" applyAlignment="1">
      <alignment horizontal="center" vertical="center"/>
    </xf>
    <xf numFmtId="0" fontId="1" fillId="20" borderId="25" xfId="0" applyFont="1" applyFill="1" applyBorder="1" applyAlignment="1">
      <alignment horizontal="center" vertical="center"/>
    </xf>
    <xf numFmtId="0" fontId="17" fillId="20" borderId="0" xfId="0" applyFont="1" applyFill="1" applyBorder="1" applyAlignment="1">
      <alignment horizontal="center" vertical="center"/>
    </xf>
    <xf numFmtId="0" fontId="17" fillId="23" borderId="23" xfId="0" applyFont="1" applyFill="1" applyBorder="1" applyAlignment="1">
      <alignment horizontal="center" vertical="center"/>
    </xf>
    <xf numFmtId="0" fontId="17" fillId="23" borderId="25" xfId="0" applyFont="1" applyFill="1" applyBorder="1" applyAlignment="1">
      <alignment horizontal="center" vertical="center"/>
    </xf>
    <xf numFmtId="0" fontId="9" fillId="9" borderId="23" xfId="0" applyFont="1" applyFill="1" applyBorder="1" applyAlignment="1">
      <alignment horizontal="center" vertical="center"/>
    </xf>
    <xf numFmtId="0" fontId="9" fillId="9" borderId="24" xfId="0" applyFont="1" applyFill="1" applyBorder="1" applyAlignment="1">
      <alignment horizontal="center" vertical="center"/>
    </xf>
    <xf numFmtId="0" fontId="9" fillId="9" borderId="25"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24" xfId="0" applyFont="1" applyFill="1" applyBorder="1" applyAlignment="1">
      <alignment horizontal="center" vertical="center"/>
    </xf>
    <xf numFmtId="0" fontId="17" fillId="8" borderId="25" xfId="0" applyFont="1" applyFill="1" applyBorder="1" applyAlignment="1">
      <alignment horizontal="center" vertical="center"/>
    </xf>
    <xf numFmtId="0" fontId="11" fillId="20" borderId="0" xfId="0" applyFont="1" applyFill="1" applyAlignment="1">
      <alignment horizontal="center" vertical="center"/>
    </xf>
  </cellXfs>
  <cellStyles count="16">
    <cellStyle name="Calculation" xfId="11" builtinId="22"/>
    <cellStyle name="Calculation 2" xfId="14"/>
    <cellStyle name="Comma0" xfId="3"/>
    <cellStyle name="Currency0" xfId="4"/>
    <cellStyle name="Date" xfId="5"/>
    <cellStyle name="Fixed" xfId="6"/>
    <cellStyle name="Heading 1 2" xfId="7"/>
    <cellStyle name="Heading 2 2" xfId="8"/>
    <cellStyle name="Hyperlink" xfId="15" builtinId="8"/>
    <cellStyle name="Normal" xfId="0" builtinId="0"/>
    <cellStyle name="Normal 2" xfId="1"/>
    <cellStyle name="Normal 2 2" xfId="9"/>
    <cellStyle name="Normal 2 3" xfId="2"/>
    <cellStyle name="Normal 3" xfId="12"/>
    <cellStyle name="Percent" xfId="13" builtinId="5"/>
    <cellStyle name="Total 2" xfId="10"/>
  </cellStyles>
  <dxfs count="10">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s>
  <tableStyles count="0" defaultTableStyle="TableStyleMedium2" defaultPivotStyle="PivotStyleLight16"/>
  <colors>
    <mruColors>
      <color rgb="FF007E39"/>
      <color rgb="FFE0FFC1"/>
      <color rgb="FFFFFFCC"/>
      <color rgb="FFFFCC66"/>
      <color rgb="FFEEFFDD"/>
      <color rgb="FFCCFF99"/>
      <color rgb="FF99FF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439738</xdr:colOff>
      <xdr:row>14</xdr:row>
      <xdr:rowOff>52113</xdr:rowOff>
    </xdr:from>
    <xdr:ext cx="3738032" cy="271998"/>
    <mc:AlternateContent xmlns:mc="http://schemas.openxmlformats.org/markup-compatibility/2006" xmlns:a14="http://schemas.microsoft.com/office/drawing/2010/main">
      <mc:Choice Requires="a14">
        <xdr:sp macro="" textlink="">
          <xdr:nvSpPr>
            <xdr:cNvPr id="4" name="TextBox 3"/>
            <xdr:cNvSpPr txBox="1"/>
          </xdr:nvSpPr>
          <xdr:spPr>
            <a:xfrm>
              <a:off x="11714957" y="4100238"/>
              <a:ext cx="3738032" cy="271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𝑃𝑎𝑟𝑡</m:t>
                    </m:r>
                    <m:r>
                      <a:rPr lang="en-US" sz="1100" b="0" i="1">
                        <a:latin typeface="Cambria Math"/>
                      </a:rPr>
                      <m:t> </m:t>
                    </m:r>
                    <m:r>
                      <a:rPr lang="en-US" sz="1100" b="0" i="1">
                        <a:latin typeface="Cambria Math"/>
                      </a:rPr>
                      <m:t>𝑙𝑜𝑎𝑑</m:t>
                    </m:r>
                    <m:r>
                      <a:rPr lang="en-US" sz="1100" b="0" i="1">
                        <a:latin typeface="Cambria Math"/>
                      </a:rPr>
                      <m:t> </m:t>
                    </m:r>
                    <m:r>
                      <a:rPr lang="en-US" sz="1100" b="0" i="1">
                        <a:latin typeface="Cambria Math"/>
                      </a:rPr>
                      <m:t>𝑙𝑜𝑠𝑠</m:t>
                    </m:r>
                    <m:r>
                      <a:rPr lang="en-US" sz="1100" b="0" i="1">
                        <a:latin typeface="Cambria Math"/>
                      </a:rPr>
                      <m:t> </m:t>
                    </m:r>
                    <m:r>
                      <a:rPr lang="en-US" sz="1100" b="0" i="1">
                        <a:latin typeface="Cambria Math"/>
                      </a:rPr>
                      <m:t>𝑓𝑎𝑐𝑡𝑜𝑟</m:t>
                    </m:r>
                    <m:r>
                      <a:rPr lang="en-US" sz="1100" b="0" i="1">
                        <a:latin typeface="Cambria Math"/>
                      </a:rPr>
                      <m:t> </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a:rPr>
                              <m:t>𝑦</m:t>
                            </m:r>
                          </m:e>
                          <m:sub>
                            <m:r>
                              <a:rPr lang="en-US" sz="1100" b="0" i="1">
                                <a:latin typeface="Cambria Math"/>
                              </a:rPr>
                              <m:t>𝑖</m:t>
                            </m:r>
                          </m:sub>
                        </m:sSub>
                      </m:e>
                    </m:d>
                    <m:r>
                      <a:rPr lang="en-US" sz="1100" b="0" i="1">
                        <a:latin typeface="Cambria Math"/>
                      </a:rPr>
                      <m:t>=</m:t>
                    </m:r>
                    <m:r>
                      <a:rPr lang="en-US" sz="1100" b="0" i="1">
                        <a:latin typeface="Cambria Math"/>
                      </a:rPr>
                      <m:t>𝑎</m:t>
                    </m:r>
                    <m:r>
                      <a:rPr lang="en-US" sz="1100" b="0" i="1">
                        <a:latin typeface="Cambria Math"/>
                      </a:rPr>
                      <m:t>∗</m:t>
                    </m:r>
                    <m:sSup>
                      <m:sSupPr>
                        <m:ctrlPr>
                          <a:rPr lang="en-US" sz="1100" i="1">
                            <a:solidFill>
                              <a:schemeClr val="tx1"/>
                            </a:solidFill>
                            <a:effectLst/>
                            <a:latin typeface="Cambria Math" panose="02040503050406030204" pitchFamily="18" charset="0"/>
                            <a:ea typeface="+mn-ea"/>
                            <a:cs typeface="+mn-cs"/>
                          </a:rPr>
                        </m:ctrlPr>
                      </m:sSup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𝑥</m:t>
                            </m:r>
                          </m:e>
                          <m:sub>
                            <m:r>
                              <a:rPr lang="en-US" sz="1100" i="1">
                                <a:solidFill>
                                  <a:schemeClr val="tx1"/>
                                </a:solidFill>
                                <a:effectLst/>
                                <a:latin typeface="Cambria Math"/>
                                <a:ea typeface="+mn-ea"/>
                                <a:cs typeface="+mn-cs"/>
                              </a:rPr>
                              <m:t>𝑖</m:t>
                            </m:r>
                          </m:sub>
                        </m:sSub>
                      </m:e>
                      <m:sup>
                        <m:r>
                          <a:rPr lang="en-US" sz="1100" i="1">
                            <a:solidFill>
                              <a:schemeClr val="tx1"/>
                            </a:solidFill>
                            <a:effectLst/>
                            <a:latin typeface="Cambria Math"/>
                            <a:ea typeface="+mn-ea"/>
                            <a:cs typeface="+mn-cs"/>
                          </a:rPr>
                          <m:t>3</m:t>
                        </m:r>
                      </m:sup>
                    </m:sSup>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sSup>
                      <m:sSupPr>
                        <m:ctrlPr>
                          <a:rPr lang="en-US" sz="1100" i="1">
                            <a:solidFill>
                              <a:schemeClr val="tx1"/>
                            </a:solidFill>
                            <a:effectLst/>
                            <a:latin typeface="Cambria Math" panose="02040503050406030204" pitchFamily="18" charset="0"/>
                            <a:ea typeface="+mn-ea"/>
                            <a:cs typeface="+mn-cs"/>
                          </a:rPr>
                        </m:ctrlPr>
                      </m:sSup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𝑥</m:t>
                            </m:r>
                          </m:e>
                          <m:sub>
                            <m:r>
                              <a:rPr lang="en-US" sz="1100" i="1">
                                <a:solidFill>
                                  <a:schemeClr val="tx1"/>
                                </a:solidFill>
                                <a:effectLst/>
                                <a:latin typeface="Cambria Math"/>
                                <a:ea typeface="+mn-ea"/>
                                <a:cs typeface="+mn-cs"/>
                              </a:rPr>
                              <m:t>𝑖</m:t>
                            </m:r>
                          </m:sub>
                        </m:sSub>
                      </m:e>
                      <m:sup>
                        <m:r>
                          <a:rPr lang="en-US" sz="1100" i="1">
                            <a:solidFill>
                              <a:schemeClr val="tx1"/>
                            </a:solidFill>
                            <a:effectLst/>
                            <a:latin typeface="Cambria Math"/>
                            <a:ea typeface="+mn-ea"/>
                            <a:cs typeface="+mn-cs"/>
                          </a:rPr>
                          <m:t>2</m:t>
                        </m:r>
                      </m:sup>
                    </m:sSup>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𝑥</m:t>
                        </m:r>
                      </m:e>
                      <m:sub>
                        <m:r>
                          <a:rPr lang="en-US" sz="1100" i="1">
                            <a:solidFill>
                              <a:schemeClr val="tx1"/>
                            </a:solidFill>
                            <a:effectLst/>
                            <a:latin typeface="Cambria Math"/>
                            <a:ea typeface="+mn-ea"/>
                            <a:cs typeface="+mn-cs"/>
                          </a:rPr>
                          <m:t>𝑖</m:t>
                        </m:r>
                      </m:sub>
                    </m:sSub>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𝑑</m:t>
                    </m:r>
                  </m:oMath>
                </m:oMathPara>
              </a14:m>
              <a:endParaRPr lang="en-US" sz="1100"/>
            </a:p>
          </xdr:txBody>
        </xdr:sp>
      </mc:Choice>
      <mc:Fallback xmlns="">
        <xdr:sp macro="" textlink="">
          <xdr:nvSpPr>
            <xdr:cNvPr id="4" name="TextBox 3"/>
            <xdr:cNvSpPr txBox="1"/>
          </xdr:nvSpPr>
          <xdr:spPr>
            <a:xfrm>
              <a:off x="11714957" y="4100238"/>
              <a:ext cx="3738032" cy="271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𝑃𝑎𝑟𝑡 𝑙𝑜𝑎𝑑 𝑙𝑜𝑠𝑠 𝑓𝑎𝑐𝑡𝑜𝑟 (𝑦_𝑖 )=𝑎∗</a:t>
              </a:r>
              <a:r>
                <a:rPr lang="en-US" sz="1100" i="0">
                  <a:solidFill>
                    <a:schemeClr val="tx1"/>
                  </a:solidFill>
                  <a:effectLst/>
                  <a:latin typeface="Cambria Math"/>
                  <a:ea typeface="+mn-ea"/>
                  <a:cs typeface="+mn-cs"/>
                </a:rPr>
                <a:t>〖𝑥_𝑖〗^3+</a:t>
              </a:r>
              <a:r>
                <a:rPr lang="en-US" sz="1100" b="0" i="0">
                  <a:solidFill>
                    <a:schemeClr val="tx1"/>
                  </a:solidFill>
                  <a:effectLst/>
                  <a:latin typeface="Cambria Math"/>
                  <a:ea typeface="+mn-ea"/>
                  <a:cs typeface="+mn-cs"/>
                </a:rPr>
                <a:t>𝑏∗</a:t>
              </a:r>
              <a:r>
                <a:rPr lang="en-US" sz="1100" i="0">
                  <a:solidFill>
                    <a:schemeClr val="tx1"/>
                  </a:solidFill>
                  <a:effectLst/>
                  <a:latin typeface="Cambria Math"/>
                  <a:ea typeface="+mn-ea"/>
                  <a:cs typeface="+mn-cs"/>
                </a:rPr>
                <a:t>〖𝑥_𝑖〗^2+</a:t>
              </a:r>
              <a:r>
                <a:rPr lang="en-US" sz="1100" b="0" i="0">
                  <a:solidFill>
                    <a:schemeClr val="tx1"/>
                  </a:solidFill>
                  <a:effectLst/>
                  <a:latin typeface="Cambria Math"/>
                  <a:ea typeface="+mn-ea"/>
                  <a:cs typeface="+mn-cs"/>
                </a:rPr>
                <a:t>𝑐∗</a:t>
              </a:r>
              <a:r>
                <a:rPr lang="en-US" sz="1100" i="0">
                  <a:solidFill>
                    <a:schemeClr val="tx1"/>
                  </a:solidFill>
                  <a:effectLst/>
                  <a:latin typeface="Cambria Math"/>
                  <a:ea typeface="+mn-ea"/>
                  <a:cs typeface="+mn-cs"/>
                </a:rPr>
                <a:t>𝑥_𝑖+</a:t>
              </a:r>
              <a:r>
                <a:rPr lang="en-US" sz="1100" b="0" i="0">
                  <a:solidFill>
                    <a:schemeClr val="tx1"/>
                  </a:solidFill>
                  <a:effectLst/>
                  <a:latin typeface="Cambria Math"/>
                  <a:ea typeface="+mn-ea"/>
                  <a:cs typeface="+mn-cs"/>
                </a:rPr>
                <a:t>𝑑</a:t>
              </a:r>
              <a:endParaRPr lang="en-US" sz="1100"/>
            </a:p>
          </xdr:txBody>
        </xdr:sp>
      </mc:Fallback>
    </mc:AlternateContent>
    <xdr:clientData/>
  </xdr:oneCellAnchor>
  <xdr:oneCellAnchor>
    <xdr:from>
      <xdr:col>16</xdr:col>
      <xdr:colOff>242621</xdr:colOff>
      <xdr:row>11</xdr:row>
      <xdr:rowOff>390781</xdr:rowOff>
    </xdr:from>
    <xdr:ext cx="2849034" cy="409343"/>
    <mc:AlternateContent xmlns:mc="http://schemas.openxmlformats.org/markup-compatibility/2006" xmlns:a14="http://schemas.microsoft.com/office/drawing/2010/main">
      <mc:Choice Requires="a14">
        <xdr:sp macro="" textlink="">
          <xdr:nvSpPr>
            <xdr:cNvPr id="6" name="TextBox 5"/>
            <xdr:cNvSpPr txBox="1"/>
          </xdr:nvSpPr>
          <xdr:spPr>
            <a:xfrm>
              <a:off x="14196746" y="3629281"/>
              <a:ext cx="2849034" cy="40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𝑚𝑜𝑡𝑜𝑟</m:t>
                    </m:r>
                    <m:r>
                      <a:rPr lang="en-US" sz="1100" b="0" i="1">
                        <a:latin typeface="Cambria Math"/>
                      </a:rPr>
                      <m:t> </m:t>
                    </m:r>
                    <m:r>
                      <a:rPr lang="en-US" sz="1100" b="0" i="1">
                        <a:latin typeface="Cambria Math"/>
                      </a:rPr>
                      <m:t>𝑙𝑜𝑎𝑑</m:t>
                    </m:r>
                    <m:r>
                      <a:rPr lang="en-US" sz="1100" b="0" i="1">
                        <a:latin typeface="Cambria Math"/>
                      </a:rPr>
                      <m:t> </m:t>
                    </m:r>
                    <m:r>
                      <a:rPr lang="en-US" sz="1100" b="0" i="1">
                        <a:latin typeface="Cambria Math"/>
                      </a:rPr>
                      <m:t>𝑓𝑎𝑐𝑡𝑖𝑜𝑛</m:t>
                    </m:r>
                    <m:r>
                      <a:rPr lang="en-US" sz="1100" b="0" i="1">
                        <a:latin typeface="Cambria Math"/>
                      </a:rPr>
                      <m:t> </m:t>
                    </m:r>
                    <m:d>
                      <m:dPr>
                        <m:ctrlPr>
                          <a:rPr lang="en-US" sz="1100" b="0" i="1">
                            <a:latin typeface="Cambria Math" panose="02040503050406030204" pitchFamily="18" charset="0"/>
                          </a:rPr>
                        </m:ctrlPr>
                      </m:dPr>
                      <m:e>
                        <m:r>
                          <a:rPr lang="en-US" sz="1100" b="0" i="1">
                            <a:latin typeface="Cambria Math"/>
                          </a:rPr>
                          <m:t>𝑥𝑖</m:t>
                        </m:r>
                      </m:e>
                    </m:d>
                    <m:r>
                      <a:rPr lang="en-US" sz="1100" b="0" i="1">
                        <a:latin typeface="Cambria Math"/>
                      </a:rPr>
                      <m:t>= </m:t>
                    </m:r>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𝑃</m:t>
                            </m:r>
                          </m:e>
                          <m:sub>
                            <m:r>
                              <a:rPr lang="en-US" sz="1100" i="1">
                                <a:solidFill>
                                  <a:schemeClr val="tx1"/>
                                </a:solidFill>
                                <a:effectLst/>
                                <a:latin typeface="Cambria Math"/>
                                <a:ea typeface="+mn-ea"/>
                                <a:cs typeface="+mn-cs"/>
                              </a:rPr>
                              <m:t>𝑖</m:t>
                            </m:r>
                          </m:sub>
                        </m:sSub>
                      </m:num>
                      <m:den>
                        <m:r>
                          <a:rPr lang="en-US" sz="1100" i="1">
                            <a:solidFill>
                              <a:schemeClr val="tx1"/>
                            </a:solidFill>
                            <a:effectLst/>
                            <a:latin typeface="Cambria Math"/>
                            <a:ea typeface="+mn-ea"/>
                            <a:cs typeface="+mn-cs"/>
                          </a:rPr>
                          <m:t>𝑀𝑜𝑡𝑜𝑟</m:t>
                        </m:r>
                        <m:r>
                          <a:rPr lang="en-US" sz="1100" b="0" i="1">
                            <a:solidFill>
                              <a:schemeClr val="tx1"/>
                            </a:solidFill>
                            <a:effectLst/>
                            <a:latin typeface="Cambria Math"/>
                            <a:ea typeface="+mn-ea"/>
                            <a:cs typeface="+mn-cs"/>
                          </a:rPr>
                          <m:t>𝐻𝑃</m:t>
                        </m:r>
                      </m:den>
                    </m:f>
                  </m:oMath>
                </m:oMathPara>
              </a14:m>
              <a:endParaRPr lang="en-US" sz="1100"/>
            </a:p>
          </xdr:txBody>
        </xdr:sp>
      </mc:Choice>
      <mc:Fallback xmlns="">
        <xdr:sp macro="" textlink="">
          <xdr:nvSpPr>
            <xdr:cNvPr id="6" name="TextBox 5"/>
            <xdr:cNvSpPr txBox="1"/>
          </xdr:nvSpPr>
          <xdr:spPr>
            <a:xfrm>
              <a:off x="14196746" y="3629281"/>
              <a:ext cx="2849034" cy="40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𝑚𝑜𝑡𝑜𝑟 𝑙𝑜𝑎𝑑 𝑓𝑎𝑐𝑡𝑖𝑜𝑛 (𝑥𝑖)= </a:t>
              </a:r>
              <a:r>
                <a:rPr lang="en-US" sz="1100" i="0">
                  <a:solidFill>
                    <a:schemeClr val="tx1"/>
                  </a:solidFill>
                  <a:effectLst/>
                  <a:latin typeface="Cambria Math"/>
                  <a:ea typeface="+mn-ea"/>
                  <a:cs typeface="+mn-cs"/>
                </a:rPr>
                <a:t> 𝑃_𝑖/𝑀𝑜𝑡𝑜𝑟</a:t>
              </a:r>
              <a:r>
                <a:rPr lang="en-US" sz="1100" b="0" i="0">
                  <a:solidFill>
                    <a:schemeClr val="tx1"/>
                  </a:solidFill>
                  <a:effectLst/>
                  <a:latin typeface="Cambria Math"/>
                  <a:ea typeface="+mn-ea"/>
                  <a:cs typeface="+mn-cs"/>
                </a:rPr>
                <a:t>𝐻𝑃</a:t>
              </a:r>
              <a:endParaRPr lang="en-US" sz="1100"/>
            </a:p>
          </xdr:txBody>
        </xdr:sp>
      </mc:Fallback>
    </mc:AlternateContent>
    <xdr:clientData/>
  </xdr:oneCellAnchor>
  <xdr:oneCellAnchor>
    <xdr:from>
      <xdr:col>15</xdr:col>
      <xdr:colOff>886882</xdr:colOff>
      <xdr:row>16</xdr:row>
      <xdr:rowOff>23011</xdr:rowOff>
    </xdr:from>
    <xdr:ext cx="3251200" cy="275460"/>
    <mc:AlternateContent xmlns:mc="http://schemas.openxmlformats.org/markup-compatibility/2006" xmlns:a14="http://schemas.microsoft.com/office/drawing/2010/main">
      <mc:Choice Requires="a14">
        <xdr:sp macro="" textlink="">
          <xdr:nvSpPr>
            <xdr:cNvPr id="7" name="TextBox 6"/>
            <xdr:cNvSpPr txBox="1"/>
          </xdr:nvSpPr>
          <xdr:spPr>
            <a:xfrm>
              <a:off x="12162101" y="4333074"/>
              <a:ext cx="3251200" cy="275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𝑃𝑎𝑟𝑡</m:t>
                    </m:r>
                    <m:r>
                      <a:rPr lang="en-US" sz="1100" b="0" i="1">
                        <a:latin typeface="Cambria Math"/>
                      </a:rPr>
                      <m:t> </m:t>
                    </m:r>
                    <m:r>
                      <a:rPr lang="en-US" sz="1100" b="0" i="1">
                        <a:latin typeface="Cambria Math"/>
                      </a:rPr>
                      <m:t>𝑙𝑜𝑎𝑑</m:t>
                    </m:r>
                    <m:r>
                      <a:rPr lang="en-US" sz="1100" b="0" i="1">
                        <a:latin typeface="Cambria Math"/>
                      </a:rPr>
                      <m:t> </m:t>
                    </m:r>
                    <m:r>
                      <a:rPr lang="en-US" sz="1100" b="0" i="1">
                        <a:latin typeface="Cambria Math"/>
                      </a:rPr>
                      <m:t>𝑙𝑜𝑠𝑠</m:t>
                    </m:r>
                    <m:r>
                      <a:rPr lang="en-US" sz="1100" b="0" i="1">
                        <a:latin typeface="Cambria Math"/>
                      </a:rPr>
                      <m:t> (</m:t>
                    </m:r>
                    <m:sSub>
                      <m:sSubPr>
                        <m:ctrlPr>
                          <a:rPr lang="en-US" sz="1100" i="1">
                            <a:solidFill>
                              <a:schemeClr val="tx1"/>
                            </a:solidFill>
                            <a:effectLst/>
                            <a:latin typeface="Cambria Math" panose="02040503050406030204" pitchFamily="18" charset="0"/>
                            <a:ea typeface="+mn-ea"/>
                            <a:cs typeface="+mn-cs"/>
                          </a:rPr>
                        </m:ctrlPr>
                      </m:sSubPr>
                      <m:e>
                        <m:r>
                          <a:rPr lang="el-GR" sz="1100" i="1">
                            <a:solidFill>
                              <a:schemeClr val="tx1"/>
                            </a:solidFill>
                            <a:effectLst/>
                            <a:latin typeface="Cambria Math"/>
                            <a:ea typeface="+mn-ea"/>
                            <a:cs typeface="+mn-cs"/>
                          </a:rPr>
                          <m:t>𝐿</m:t>
                        </m:r>
                      </m:e>
                      <m:sub>
                        <m:r>
                          <a:rPr lang="en-US" sz="1100" i="1">
                            <a:solidFill>
                              <a:schemeClr val="tx1"/>
                            </a:solidFill>
                            <a:effectLst/>
                            <a:latin typeface="Cambria Math"/>
                            <a:ea typeface="+mn-ea"/>
                            <a:cs typeface="+mn-cs"/>
                          </a:rPr>
                          <m:t>𝑖</m:t>
                        </m:r>
                      </m:sub>
                    </m:sSub>
                    <m:r>
                      <a:rPr lang="en-US" sz="1100" b="0" i="1">
                        <a:solidFill>
                          <a:schemeClr val="tx1"/>
                        </a:solidFill>
                        <a:effectLst/>
                        <a:latin typeface="Cambria Math"/>
                        <a:ea typeface="+mn-ea"/>
                        <a:cs typeface="+mn-cs"/>
                      </a:rPr>
                      <m:t>)</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𝑓𝑢𝑙𝑙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𝑑𝑒𝑓𝑎𝑢𝑙𝑡</m:t>
                        </m:r>
                      </m:sub>
                    </m:sSub>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𝑦𝑖</m:t>
                    </m:r>
                  </m:oMath>
                </m:oMathPara>
              </a14:m>
              <a:endParaRPr lang="en-US" sz="1100" baseline="-25000"/>
            </a:p>
          </xdr:txBody>
        </xdr:sp>
      </mc:Choice>
      <mc:Fallback xmlns="">
        <xdr:sp macro="" textlink="">
          <xdr:nvSpPr>
            <xdr:cNvPr id="7" name="TextBox 6"/>
            <xdr:cNvSpPr txBox="1"/>
          </xdr:nvSpPr>
          <xdr:spPr>
            <a:xfrm>
              <a:off x="12162101" y="4333074"/>
              <a:ext cx="3251200" cy="275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𝑃𝑎𝑟𝑡 𝑙𝑜𝑎𝑑 𝑙𝑜𝑠𝑠 (</a:t>
              </a:r>
              <a:r>
                <a:rPr lang="el-GR" sz="1100" i="0">
                  <a:solidFill>
                    <a:schemeClr val="tx1"/>
                  </a:solidFill>
                  <a:effectLst/>
                  <a:latin typeface="Cambria Math"/>
                  <a:ea typeface="+mn-ea"/>
                  <a:cs typeface="+mn-cs"/>
                </a:rPr>
                <a:t>𝐿</a:t>
              </a:r>
              <a:r>
                <a:rPr lang="en-US" sz="1100" i="0">
                  <a:solidFill>
                    <a:schemeClr val="tx1"/>
                  </a:solidFill>
                  <a:effectLst/>
                  <a:latin typeface="Cambria Math"/>
                  <a:ea typeface="+mn-ea"/>
                  <a:cs typeface="+mn-cs"/>
                </a:rPr>
                <a:t>_𝑖</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=𝐿_(</a:t>
              </a:r>
              <a:r>
                <a:rPr lang="en-US" sz="1100" b="0" i="0">
                  <a:solidFill>
                    <a:schemeClr val="tx1"/>
                  </a:solidFill>
                  <a:effectLst/>
                  <a:latin typeface="Cambria Math"/>
                  <a:ea typeface="+mn-ea"/>
                  <a:cs typeface="+mn-cs"/>
                </a:rPr>
                <a:t>𝑓𝑢𝑙𝑙, 𝑑𝑒𝑓𝑎𝑢𝑙𝑡)</a:t>
              </a:r>
              <a:r>
                <a:rPr lang="en-US" sz="1100" i="0">
                  <a:solidFill>
                    <a:schemeClr val="tx1"/>
                  </a:solidFill>
                  <a:effectLst/>
                  <a:latin typeface="Cambria Math"/>
                  <a:ea typeface="+mn-ea"/>
                  <a:cs typeface="+mn-cs"/>
                </a:rPr>
                <a:t>∗𝑦</a:t>
              </a:r>
              <a:r>
                <a:rPr lang="en-US" sz="1100" i="0" baseline="-25000">
                  <a:solidFill>
                    <a:schemeClr val="tx1"/>
                  </a:solidFill>
                  <a:effectLst/>
                  <a:latin typeface="Cambria Math"/>
                  <a:ea typeface="+mn-ea"/>
                  <a:cs typeface="+mn-cs"/>
                </a:rPr>
                <a:t>𝑖</a:t>
              </a:r>
              <a:endParaRPr lang="en-US" sz="1100" baseline="-25000"/>
            </a:p>
          </xdr:txBody>
        </xdr:sp>
      </mc:Fallback>
    </mc:AlternateContent>
    <xdr:clientData/>
  </xdr:oneCellAnchor>
  <xdr:twoCellAnchor>
    <xdr:from>
      <xdr:col>29</xdr:col>
      <xdr:colOff>390525</xdr:colOff>
      <xdr:row>13</xdr:row>
      <xdr:rowOff>26193</xdr:rowOff>
    </xdr:from>
    <xdr:to>
      <xdr:col>36</xdr:col>
      <xdr:colOff>80962</xdr:colOff>
      <xdr:row>22</xdr:row>
      <xdr:rowOff>66675</xdr:rowOff>
    </xdr:to>
    <xdr:sp macro="" textlink="">
      <xdr:nvSpPr>
        <xdr:cNvPr id="2" name="TextBox 1"/>
        <xdr:cNvSpPr txBox="1"/>
      </xdr:nvSpPr>
      <xdr:spPr>
        <a:xfrm>
          <a:off x="21952744" y="3871912"/>
          <a:ext cx="4107656" cy="1874044"/>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a:t>Note,</a:t>
          </a:r>
          <a:r>
            <a:rPr lang="en-US" sz="1100" b="0"/>
            <a:t> these C-values are based on preliminary</a:t>
          </a:r>
          <a:r>
            <a:rPr lang="en-US" sz="1100" b="0" baseline="0"/>
            <a:t> data that DOE had available at the time of the calculator construction.  These numbers can be manually updated and changed to evaluate pass/fail rates with different C-values and associated standard levels.  </a:t>
          </a:r>
        </a:p>
        <a:p>
          <a:endParaRPr lang="en-US" sz="1100" b="0" baseline="0"/>
        </a:p>
        <a:p>
          <a:r>
            <a:rPr lang="en-US" sz="1100" b="1" baseline="0"/>
            <a:t>To change the C-values</a:t>
          </a:r>
          <a:r>
            <a:rPr lang="en-US" sz="1100" b="0" baseline="0"/>
            <a:t> just enter a new value in the tan-shaded cells and all the equipment type-specific sheets will update the minimally compliant pump and associated pass fail rates for the new C-values. </a:t>
          </a:r>
          <a:endParaRPr lang="en-US" sz="1100" b="1"/>
        </a:p>
      </xdr:txBody>
    </xdr:sp>
    <xdr:clientData/>
  </xdr:twoCellAnchor>
  <xdr:oneCellAnchor>
    <xdr:from>
      <xdr:col>29</xdr:col>
      <xdr:colOff>233362</xdr:colOff>
      <xdr:row>9</xdr:row>
      <xdr:rowOff>13097</xdr:rowOff>
    </xdr:from>
    <xdr:ext cx="4731543" cy="549831"/>
    <mc:AlternateContent xmlns:mc="http://schemas.openxmlformats.org/markup-compatibility/2006" xmlns:a14="http://schemas.microsoft.com/office/drawing/2010/main">
      <mc:Choice Requires="a14">
        <xdr:sp macro="" textlink="">
          <xdr:nvSpPr>
            <xdr:cNvPr id="3" name="TextBox 2"/>
            <xdr:cNvSpPr txBox="1"/>
          </xdr:nvSpPr>
          <xdr:spPr>
            <a:xfrm>
              <a:off x="23617237" y="2822972"/>
              <a:ext cx="4731543" cy="549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l-GR" sz="1100" i="1">
                            <a:solidFill>
                              <a:schemeClr val="tx1"/>
                            </a:solidFill>
                            <a:effectLst/>
                            <a:latin typeface="Cambria Math"/>
                            <a:ea typeface="+mn-ea"/>
                            <a:cs typeface="+mn-cs"/>
                          </a:rPr>
                          <m:t>𝜂</m:t>
                        </m:r>
                      </m:e>
                      <m:sub>
                        <m:r>
                          <a:rPr lang="en-US" sz="1100" i="1">
                            <a:solidFill>
                              <a:schemeClr val="tx1"/>
                            </a:solidFill>
                            <a:effectLst/>
                            <a:latin typeface="Cambria Math"/>
                            <a:ea typeface="+mn-ea"/>
                            <a:cs typeface="+mn-cs"/>
                          </a:rPr>
                          <m:t>𝑝𝑢𝑚𝑝</m:t>
                        </m:r>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𝑆𝑇𝐷</m:t>
                        </m:r>
                      </m:sub>
                    </m:sSub>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𝑎</m:t>
                    </m:r>
                    <m:r>
                      <a:rPr lang="en-US" sz="1100" i="1">
                        <a:solidFill>
                          <a:schemeClr val="tx1"/>
                        </a:solidFill>
                        <a:effectLst/>
                        <a:latin typeface="Cambria Math"/>
                        <a:ea typeface="+mn-ea"/>
                        <a:cs typeface="+mn-cs"/>
                      </a:rPr>
                      <m:t>∗</m:t>
                    </m:r>
                    <m:sSup>
                      <m:sSupPr>
                        <m:ctrlPr>
                          <a:rPr lang="en-US" sz="1100" i="1">
                            <a:solidFill>
                              <a:schemeClr val="tx1"/>
                            </a:solidFill>
                            <a:effectLst/>
                            <a:latin typeface="Cambria Math" panose="02040503050406030204" pitchFamily="18" charset="0"/>
                            <a:ea typeface="+mn-ea"/>
                            <a:cs typeface="+mn-cs"/>
                          </a:rPr>
                        </m:ctrlPr>
                      </m:sSupPr>
                      <m:e>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𝑄</m:t>
                                    </m:r>
                                  </m:e>
                                  <m:sub>
                                    <m:r>
                                      <a:rPr lang="en-US" sz="1100" i="1">
                                        <a:solidFill>
                                          <a:schemeClr val="tx1"/>
                                        </a:solidFill>
                                        <a:effectLst/>
                                        <a:latin typeface="Cambria Math"/>
                                        <a:ea typeface="+mn-ea"/>
                                        <a:cs typeface="+mn-cs"/>
                                      </a:rPr>
                                      <m:t>100%</m:t>
                                    </m:r>
                                  </m:sub>
                                </m:sSub>
                              </m:e>
                            </m:d>
                          </m:e>
                        </m:func>
                      </m:e>
                      <m:sup>
                        <m:r>
                          <a:rPr lang="en-US" sz="1100" i="1">
                            <a:solidFill>
                              <a:schemeClr val="tx1"/>
                            </a:solidFill>
                            <a:effectLst/>
                            <a:latin typeface="Cambria Math"/>
                            <a:ea typeface="+mn-ea"/>
                            <a:cs typeface="+mn-cs"/>
                          </a:rPr>
                          <m:t>2</m:t>
                        </m:r>
                      </m:sup>
                    </m:sSup>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𝑏</m:t>
                    </m:r>
                    <m:r>
                      <a:rPr lang="en-US" sz="1100" i="1">
                        <a:solidFill>
                          <a:schemeClr val="tx1"/>
                        </a:solidFill>
                        <a:effectLst/>
                        <a:latin typeface="Cambria Math"/>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a:ea typeface="+mn-ea"/>
                                <a:cs typeface="+mn-cs"/>
                              </a:rPr>
                              <m:t>𝑁𝑠</m:t>
                            </m:r>
                          </m:e>
                        </m:d>
                      </m:e>
                    </m:func>
                    <m:r>
                      <a:rPr lang="en-US" sz="1100" i="1">
                        <a:solidFill>
                          <a:schemeClr val="tx1"/>
                        </a:solidFill>
                        <a:effectLst/>
                        <a:latin typeface="Cambria Math"/>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𝑄</m:t>
                                </m:r>
                              </m:e>
                              <m:sub>
                                <m:r>
                                  <a:rPr lang="en-US" sz="1100" i="1">
                                    <a:solidFill>
                                      <a:schemeClr val="tx1"/>
                                    </a:solidFill>
                                    <a:effectLst/>
                                    <a:latin typeface="Cambria Math"/>
                                    <a:ea typeface="+mn-ea"/>
                                    <a:cs typeface="+mn-cs"/>
                                  </a:rPr>
                                  <m:t>100%</m:t>
                                </m:r>
                              </m:sub>
                            </m:sSub>
                          </m:e>
                        </m:d>
                      </m:e>
                    </m:func>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𝑐</m:t>
                    </m:r>
                    <m:r>
                      <a:rPr lang="en-US" sz="1100" i="1">
                        <a:solidFill>
                          <a:schemeClr val="tx1"/>
                        </a:solidFill>
                        <a:effectLst/>
                        <a:latin typeface="Cambria Math"/>
                        <a:ea typeface="+mn-ea"/>
                        <a:cs typeface="+mn-cs"/>
                      </a:rPr>
                      <m:t>∗</m:t>
                    </m:r>
                    <m:sSup>
                      <m:sSupPr>
                        <m:ctrlPr>
                          <a:rPr lang="en-US" sz="1100" i="1">
                            <a:solidFill>
                              <a:schemeClr val="tx1"/>
                            </a:solidFill>
                            <a:effectLst/>
                            <a:latin typeface="Cambria Math" panose="02040503050406030204" pitchFamily="18" charset="0"/>
                            <a:ea typeface="+mn-ea"/>
                            <a:cs typeface="+mn-cs"/>
                          </a:rPr>
                        </m:ctrlPr>
                      </m:sSupPr>
                      <m:e>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a:ea typeface="+mn-ea"/>
                                    <a:cs typeface="+mn-cs"/>
                                  </a:rPr>
                                  <m:t>𝑁𝑠</m:t>
                                </m:r>
                              </m:e>
                            </m:d>
                          </m:e>
                        </m:func>
                      </m:e>
                      <m:sup>
                        <m:r>
                          <a:rPr lang="en-US" sz="1100" i="1">
                            <a:solidFill>
                              <a:schemeClr val="tx1"/>
                            </a:solidFill>
                            <a:effectLst/>
                            <a:latin typeface="Cambria Math"/>
                            <a:ea typeface="+mn-ea"/>
                            <a:cs typeface="+mn-cs"/>
                          </a:rPr>
                          <m:t>2</m:t>
                        </m:r>
                      </m:sup>
                    </m:sSup>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𝑑</m:t>
                    </m:r>
                    <m:r>
                      <a:rPr lang="en-US" sz="1100" i="1">
                        <a:solidFill>
                          <a:schemeClr val="tx1"/>
                        </a:solidFill>
                        <a:effectLst/>
                        <a:latin typeface="Cambria Math"/>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a:ea typeface="+mn-ea"/>
                                    <a:cs typeface="+mn-cs"/>
                                  </a:rPr>
                                  <m:t>𝑄</m:t>
                                </m:r>
                              </m:e>
                              <m:sub>
                                <m:r>
                                  <a:rPr lang="en-US" sz="1100" i="1">
                                    <a:solidFill>
                                      <a:schemeClr val="tx1"/>
                                    </a:solidFill>
                                    <a:effectLst/>
                                    <a:latin typeface="Cambria Math"/>
                                    <a:ea typeface="+mn-ea"/>
                                    <a:cs typeface="+mn-cs"/>
                                  </a:rPr>
                                  <m:t>100%</m:t>
                                </m:r>
                              </m:sub>
                            </m:sSub>
                          </m:e>
                        </m:d>
                      </m:e>
                    </m:func>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𝑒</m:t>
                    </m:r>
                    <m:r>
                      <a:rPr lang="en-US" sz="1100" i="1">
                        <a:solidFill>
                          <a:schemeClr val="tx1"/>
                        </a:solidFill>
                        <a:effectLst/>
                        <a:latin typeface="Cambria Math"/>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a:ea typeface="+mn-ea"/>
                            <a:cs typeface="+mn-cs"/>
                          </a:rPr>
                          <m:t>ln</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a:ea typeface="+mn-ea"/>
                                <a:cs typeface="+mn-cs"/>
                              </a:rPr>
                              <m:t>𝑁𝑠</m:t>
                            </m:r>
                          </m:e>
                        </m:d>
                      </m:e>
                    </m:func>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𝐶</m:t>
                    </m:r>
                    <m:r>
                      <a:rPr lang="en-US" sz="1100" i="1">
                        <a:solidFill>
                          <a:schemeClr val="tx1"/>
                        </a:solidFill>
                        <a:effectLst/>
                        <a:latin typeface="Cambria Math"/>
                        <a:ea typeface="+mn-ea"/>
                        <a:cs typeface="+mn-cs"/>
                      </a:rPr>
                      <m:t>+</m:t>
                    </m:r>
                    <m:r>
                      <a:rPr lang="en-US" sz="1100" i="1">
                        <a:solidFill>
                          <a:schemeClr val="tx1"/>
                        </a:solidFill>
                        <a:effectLst/>
                        <a:latin typeface="Cambria Math"/>
                        <a:ea typeface="+mn-ea"/>
                        <a:cs typeface="+mn-cs"/>
                      </a:rPr>
                      <m:t>𝑓</m:t>
                    </m:r>
                    <m:r>
                      <a:rPr lang="en-US" sz="1100" i="1">
                        <a:solidFill>
                          <a:schemeClr val="tx1"/>
                        </a:solidFill>
                        <a:effectLst/>
                        <a:latin typeface="Cambria Math"/>
                        <a:ea typeface="+mn-ea"/>
                        <a:cs typeface="+mn-cs"/>
                      </a:rPr>
                      <m:t>)</m:t>
                    </m:r>
                  </m:oMath>
                </m:oMathPara>
              </a14:m>
              <a:endParaRPr lang="en-US" sz="1100"/>
            </a:p>
          </xdr:txBody>
        </xdr:sp>
      </mc:Choice>
      <mc:Fallback xmlns="">
        <xdr:sp macro="" textlink="">
          <xdr:nvSpPr>
            <xdr:cNvPr id="3" name="TextBox 2"/>
            <xdr:cNvSpPr txBox="1"/>
          </xdr:nvSpPr>
          <xdr:spPr>
            <a:xfrm>
              <a:off x="23617237" y="2822972"/>
              <a:ext cx="4731543" cy="549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l-GR" sz="1100" i="0">
                  <a:solidFill>
                    <a:schemeClr val="tx1"/>
                  </a:solidFill>
                  <a:effectLst/>
                  <a:latin typeface="+mn-lt"/>
                  <a:ea typeface="+mn-ea"/>
                  <a:cs typeface="+mn-cs"/>
                </a:rPr>
                <a:t>𝜂</a:t>
              </a:r>
              <a:r>
                <a:rPr lang="en-US" sz="1100" i="0">
                  <a:solidFill>
                    <a:schemeClr val="tx1"/>
                  </a:solidFill>
                  <a:effectLst/>
                  <a:latin typeface="+mn-lt"/>
                  <a:ea typeface="+mn-ea"/>
                  <a:cs typeface="+mn-cs"/>
                </a:rPr>
                <a:t>_(𝑝𝑢𝑚𝑝,𝑆𝑇𝐷)=𝑎∗〖ln⁡(𝑄_(100%) )〗^2+𝑏∗ln⁡(𝑁𝑠)∗ln⁡(𝑄_(100%) )+𝑐∗〖ln⁡(𝑁𝑠)〗^2+𝑑∗ln⁡(𝑄_(100%) )+𝑒∗ln⁡(𝑁𝑠)−(𝐶+𝑓)</a:t>
              </a:r>
              <a:endParaRPr lang="en-US" sz="1100"/>
            </a:p>
          </xdr:txBody>
        </xdr:sp>
      </mc:Fallback>
    </mc:AlternateContent>
    <xdr:clientData/>
  </xdr:oneCellAnchor>
  <xdr:oneCellAnchor>
    <xdr:from>
      <xdr:col>20</xdr:col>
      <xdr:colOff>292892</xdr:colOff>
      <xdr:row>19</xdr:row>
      <xdr:rowOff>120253</xdr:rowOff>
    </xdr:from>
    <xdr:ext cx="3243263" cy="530786"/>
    <mc:AlternateContent xmlns:mc="http://schemas.openxmlformats.org/markup-compatibility/2006" xmlns:a14="http://schemas.microsoft.com/office/drawing/2010/main">
      <mc:Choice Requires="a14">
        <xdr:sp macro="" textlink="">
          <xdr:nvSpPr>
            <xdr:cNvPr id="5" name="TextBox 4"/>
            <xdr:cNvSpPr txBox="1"/>
          </xdr:nvSpPr>
          <xdr:spPr>
            <a:xfrm>
              <a:off x="15270955" y="5013722"/>
              <a:ext cx="3243263"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𝑃</m:t>
                        </m:r>
                      </m:e>
                      <m:sub>
                        <m:r>
                          <a:rPr lang="en-US" sz="1100" b="0" i="1">
                            <a:latin typeface="Cambria Math"/>
                          </a:rPr>
                          <m:t>𝑖</m:t>
                        </m:r>
                      </m:sub>
                    </m:sSub>
                    <m:r>
                      <a:rPr lang="en-US" sz="1100" b="0" i="1">
                        <a:latin typeface="Cambria Math"/>
                      </a:rPr>
                      <m:t>=</m:t>
                    </m:r>
                    <m:d>
                      <m:dPr>
                        <m:ctrlPr>
                          <a:rPr lang="en-US" sz="1100" b="0" i="1">
                            <a:latin typeface="Cambria Math" panose="02040503050406030204" pitchFamily="18" charset="0"/>
                          </a:rPr>
                        </m:ctrlPr>
                      </m:dPr>
                      <m:e>
                        <m:r>
                          <a:rPr lang="en-US" sz="1100" b="0" i="1">
                            <a:latin typeface="Cambria Math"/>
                          </a:rPr>
                          <m:t>0.8∗</m:t>
                        </m:r>
                        <m:f>
                          <m:fPr>
                            <m:ctrlPr>
                              <a:rPr lang="en-US" sz="1100" b="0" i="1">
                                <a:latin typeface="Cambria Math" panose="02040503050406030204" pitchFamily="18" charset="0"/>
                              </a:rPr>
                            </m:ctrlPr>
                          </m:fPr>
                          <m:num>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a:rPr>
                                      <m:t>𝑄</m:t>
                                    </m:r>
                                  </m:e>
                                  <m:sub>
                                    <m:r>
                                      <a:rPr lang="en-US" sz="1100" b="0" i="1">
                                        <a:latin typeface="Cambria Math"/>
                                      </a:rPr>
                                      <m:t>𝑖</m:t>
                                    </m:r>
                                  </m:sub>
                                </m:sSub>
                              </m:e>
                              <m:sup>
                                <m:r>
                                  <a:rPr lang="en-US" sz="1100" b="0" i="1">
                                    <a:latin typeface="Cambria Math"/>
                                  </a:rPr>
                                  <m:t>3</m:t>
                                </m:r>
                              </m:sup>
                            </m:sSup>
                          </m:num>
                          <m:den>
                            <m:sSup>
                              <m:sSupPr>
                                <m:ctrlPr>
                                  <a:rPr lang="en-US" sz="1100" b="0" i="1">
                                    <a:solidFill>
                                      <a:schemeClr val="tx1"/>
                                    </a:solidFill>
                                    <a:effectLst/>
                                    <a:latin typeface="Cambria Math" panose="02040503050406030204" pitchFamily="18" charset="0"/>
                                    <a:ea typeface="+mn-ea"/>
                                    <a:cs typeface="+mn-cs"/>
                                  </a:rPr>
                                </m:ctrlPr>
                              </m:sSup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𝑄</m:t>
                                    </m:r>
                                  </m:e>
                                  <m:sub>
                                    <m:r>
                                      <a:rPr lang="en-US" sz="1100" b="0" i="1">
                                        <a:solidFill>
                                          <a:schemeClr val="tx1"/>
                                        </a:solidFill>
                                        <a:effectLst/>
                                        <a:latin typeface="Cambria Math"/>
                                        <a:ea typeface="+mn-ea"/>
                                        <a:cs typeface="+mn-cs"/>
                                      </a:rPr>
                                      <m:t>100%</m:t>
                                    </m:r>
                                  </m:sub>
                                </m:sSub>
                              </m:e>
                              <m:sup>
                                <m:r>
                                  <a:rPr lang="en-US" sz="1100" b="0" i="1">
                                    <a:solidFill>
                                      <a:schemeClr val="tx1"/>
                                    </a:solidFill>
                                    <a:effectLst/>
                                    <a:latin typeface="Cambria Math"/>
                                    <a:ea typeface="+mn-ea"/>
                                    <a:cs typeface="+mn-cs"/>
                                  </a:rPr>
                                  <m:t>3</m:t>
                                </m:r>
                              </m:sup>
                            </m:sSup>
                          </m:den>
                        </m:f>
                        <m:r>
                          <a:rPr lang="en-US" sz="1100" b="0" i="1">
                            <a:latin typeface="Cambria Math"/>
                          </a:rPr>
                          <m:t>+0.2∗</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𝑄</m:t>
                                </m:r>
                              </m:e>
                              <m:sub>
                                <m:r>
                                  <a:rPr lang="en-US" sz="1100" b="0" i="1">
                                    <a:latin typeface="Cambria Math"/>
                                  </a:rPr>
                                  <m:t>𝑖</m:t>
                                </m:r>
                              </m:sub>
                            </m:sSub>
                          </m:num>
                          <m:den>
                            <m:sSub>
                              <m:sSubPr>
                                <m:ctrlPr>
                                  <a:rPr lang="en-US" sz="1100" b="0" i="1">
                                    <a:latin typeface="Cambria Math" panose="02040503050406030204" pitchFamily="18" charset="0"/>
                                  </a:rPr>
                                </m:ctrlPr>
                              </m:sSubPr>
                              <m:e>
                                <m:r>
                                  <a:rPr lang="en-US" sz="1100" b="0" i="1">
                                    <a:latin typeface="Cambria Math"/>
                                  </a:rPr>
                                  <m:t>𝑄</m:t>
                                </m:r>
                              </m:e>
                              <m:sub>
                                <m:r>
                                  <a:rPr lang="en-US" sz="1100" b="0" i="1">
                                    <a:latin typeface="Cambria Math"/>
                                  </a:rPr>
                                  <m:t>100%</m:t>
                                </m:r>
                              </m:sub>
                            </m:sSub>
                          </m:den>
                        </m:f>
                      </m:e>
                    </m:d>
                    <m:r>
                      <a:rPr lang="en-US" sz="1100" b="0" i="1">
                        <a:latin typeface="Cambria Math"/>
                      </a:rPr>
                      <m:t> ∗</m:t>
                    </m:r>
                    <m:sSub>
                      <m:sSubPr>
                        <m:ctrlPr>
                          <a:rPr lang="en-US" sz="1100" b="0" i="1">
                            <a:latin typeface="Cambria Math" panose="02040503050406030204" pitchFamily="18" charset="0"/>
                            <a:ea typeface="Cambria Math"/>
                          </a:rPr>
                        </m:ctrlPr>
                      </m:sSubPr>
                      <m:e>
                        <m:r>
                          <a:rPr lang="en-US" sz="1100" b="0" i="1">
                            <a:latin typeface="Cambria Math"/>
                            <a:ea typeface="Cambria Math"/>
                          </a:rPr>
                          <m:t>𝑃</m:t>
                        </m:r>
                      </m:e>
                      <m:sub>
                        <m:r>
                          <a:rPr lang="en-US" sz="1100" b="0" i="1">
                            <a:latin typeface="Cambria Math"/>
                            <a:ea typeface="Cambria Math"/>
                          </a:rPr>
                          <m:t>100%</m:t>
                        </m:r>
                      </m:sub>
                    </m:sSub>
                  </m:oMath>
                </m:oMathPara>
              </a14:m>
              <a:endParaRPr lang="en-US" sz="1100"/>
            </a:p>
          </xdr:txBody>
        </xdr:sp>
      </mc:Choice>
      <mc:Fallback xmlns="">
        <xdr:sp macro="" textlink="">
          <xdr:nvSpPr>
            <xdr:cNvPr id="5" name="TextBox 4"/>
            <xdr:cNvSpPr txBox="1"/>
          </xdr:nvSpPr>
          <xdr:spPr>
            <a:xfrm>
              <a:off x="15270955" y="5013722"/>
              <a:ext cx="3243263"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𝑃_𝑖=(0.8∗〖𝑄_𝑖〗^3/</a:t>
              </a:r>
              <a:r>
                <a:rPr lang="en-US" sz="1100" b="0" i="0">
                  <a:solidFill>
                    <a:schemeClr val="tx1"/>
                  </a:solidFill>
                  <a:effectLst/>
                  <a:latin typeface="+mn-lt"/>
                  <a:ea typeface="+mn-ea"/>
                  <a:cs typeface="+mn-cs"/>
                </a:rPr>
                <a:t>〖𝑄_(</a:t>
              </a:r>
              <a:r>
                <a:rPr lang="en-US" sz="1100" b="0" i="0">
                  <a:solidFill>
                    <a:schemeClr val="tx1"/>
                  </a:solidFill>
                  <a:effectLst/>
                  <a:latin typeface="Cambria Math"/>
                  <a:ea typeface="+mn-ea"/>
                  <a:cs typeface="+mn-cs"/>
                </a:rPr>
                <a:t>100%</a:t>
              </a:r>
              <a:r>
                <a:rPr lang="en-US" sz="1100" b="0" i="0">
                  <a:solidFill>
                    <a:schemeClr val="tx1"/>
                  </a:solidFill>
                  <a:effectLst/>
                  <a:latin typeface="+mn-lt"/>
                  <a:ea typeface="+mn-ea"/>
                  <a:cs typeface="+mn-cs"/>
                </a:rPr>
                <a:t>)〗^3</a:t>
              </a:r>
              <a:r>
                <a:rPr lang="en-US" sz="1100" b="0" i="0">
                  <a:solidFill>
                    <a:schemeClr val="tx1"/>
                  </a:solidFill>
                  <a:effectLst/>
                  <a:latin typeface="Cambria Math"/>
                  <a:ea typeface="+mn-ea"/>
                  <a:cs typeface="+mn-cs"/>
                </a:rPr>
                <a:t> </a:t>
              </a:r>
              <a:r>
                <a:rPr lang="en-US" sz="1100" b="0" i="0">
                  <a:latin typeface="Cambria Math"/>
                </a:rPr>
                <a:t>+0.2∗𝑄_𝑖/𝑄_(100%) )  ∗</a:t>
              </a:r>
              <a:r>
                <a:rPr lang="en-US" sz="1100" b="0" i="0">
                  <a:latin typeface="Cambria Math"/>
                  <a:ea typeface="Cambria Math"/>
                </a:rPr>
                <a:t>𝑃_(100%)</a:t>
              </a:r>
              <a:endParaRPr lang="en-US" sz="1100"/>
            </a:p>
          </xdr:txBody>
        </xdr:sp>
      </mc:Fallback>
    </mc:AlternateContent>
    <xdr:clientData/>
  </xdr:oneCellAnchor>
  <xdr:oneCellAnchor>
    <xdr:from>
      <xdr:col>21</xdr:col>
      <xdr:colOff>111918</xdr:colOff>
      <xdr:row>13</xdr:row>
      <xdr:rowOff>105965</xdr:rowOff>
    </xdr:from>
    <xdr:ext cx="3243263" cy="659027"/>
    <mc:AlternateContent xmlns:mc="http://schemas.openxmlformats.org/markup-compatibility/2006" xmlns:a14="http://schemas.microsoft.com/office/drawing/2010/main">
      <mc:Choice Requires="a14">
        <xdr:sp macro="" textlink="">
          <xdr:nvSpPr>
            <xdr:cNvPr id="15" name="TextBox 14"/>
            <xdr:cNvSpPr txBox="1"/>
          </xdr:nvSpPr>
          <xdr:spPr>
            <a:xfrm>
              <a:off x="15697199" y="3761184"/>
              <a:ext cx="3243263" cy="659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𝑧</m:t>
                        </m:r>
                      </m:e>
                      <m:sub>
                        <m:r>
                          <a:rPr lang="en-US" sz="1100" b="0" i="1">
                            <a:latin typeface="Cambria Math"/>
                          </a:rPr>
                          <m:t>𝑖</m:t>
                        </m:r>
                      </m:sub>
                    </m:sSub>
                    <m:r>
                      <a:rPr lang="en-US" sz="1100" b="0" i="1">
                        <a:latin typeface="Cambria Math"/>
                      </a:rPr>
                      <m:t>=</m:t>
                    </m:r>
                    <m:d>
                      <m:dPr>
                        <m:ctrlPr>
                          <a:rPr lang="en-US" sz="1100" b="0" i="1">
                            <a:latin typeface="Cambria Math" panose="02040503050406030204" pitchFamily="18" charset="0"/>
                          </a:rPr>
                        </m:ctrlPr>
                      </m:dPr>
                      <m:e>
                        <m:r>
                          <a:rPr lang="en-US" sz="1100" b="0" i="1">
                            <a:latin typeface="Cambria Math"/>
                          </a:rPr>
                          <m:t>𝑎</m:t>
                        </m:r>
                        <m:r>
                          <a:rPr lang="en-US" sz="1100" b="0" i="1">
                            <a:latin typeface="Cambria Math"/>
                          </a:rPr>
                          <m:t>∗</m:t>
                        </m:r>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𝑖</m:t>
                                        </m:r>
                                      </m:sub>
                                    </m:sSub>
                                  </m:num>
                                  <m:den>
                                    <m:r>
                                      <a:rPr lang="en-US" sz="1100" b="0" i="1">
                                        <a:solidFill>
                                          <a:schemeClr val="tx1"/>
                                        </a:solidFill>
                                        <a:effectLst/>
                                        <a:latin typeface="Cambria Math"/>
                                        <a:ea typeface="+mn-ea"/>
                                        <a:cs typeface="+mn-cs"/>
                                      </a:rPr>
                                      <m:t>𝑀𝑜𝑡𝑜𝑟𝐻𝑃</m:t>
                                    </m:r>
                                  </m:den>
                                </m:f>
                              </m:e>
                            </m:d>
                          </m:e>
                          <m:sup>
                            <m:r>
                              <a:rPr lang="en-US" sz="1100" b="0" i="1">
                                <a:latin typeface="Cambria Math"/>
                              </a:rPr>
                              <m:t>2</m:t>
                            </m:r>
                          </m:sup>
                        </m:sSup>
                        <m:r>
                          <a:rPr lang="en-US" sz="1100" b="0" i="1">
                            <a:latin typeface="Cambria Math"/>
                          </a:rPr>
                          <m:t>+</m:t>
                        </m:r>
                        <m:r>
                          <a:rPr lang="en-US" sz="1100" b="0" i="1">
                            <a:latin typeface="Cambria Math"/>
                          </a:rPr>
                          <m:t>𝑏</m:t>
                        </m:r>
                        <m:r>
                          <a:rPr lang="en-US" sz="1100" b="0" i="1">
                            <a:latin typeface="Cambria Math"/>
                          </a:rPr>
                          <m:t>∗</m:t>
                        </m:r>
                        <m:d>
                          <m:dPr>
                            <m:ctrlPr>
                              <a:rPr lang="en-US" sz="1100" b="0" i="1">
                                <a:latin typeface="Cambria Math" panose="02040503050406030204" pitchFamily="18" charset="0"/>
                              </a:rPr>
                            </m:ctrlPr>
                          </m:dPr>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𝑖</m:t>
                                    </m:r>
                                  </m:sub>
                                </m:sSub>
                              </m:num>
                              <m:den>
                                <m:r>
                                  <a:rPr lang="en-US" sz="1100" b="0" i="1">
                                    <a:solidFill>
                                      <a:schemeClr val="tx1"/>
                                    </a:solidFill>
                                    <a:effectLst/>
                                    <a:latin typeface="Cambria Math"/>
                                    <a:ea typeface="+mn-ea"/>
                                    <a:cs typeface="+mn-cs"/>
                                  </a:rPr>
                                  <m:t>𝑀𝑜𝑡𝑜𝑟𝐻𝑃</m:t>
                                </m:r>
                              </m:den>
                            </m:f>
                          </m:e>
                        </m:d>
                        <m:r>
                          <a:rPr lang="en-US" sz="1100" b="0" i="1">
                            <a:latin typeface="Cambria Math"/>
                          </a:rPr>
                          <m:t>+</m:t>
                        </m:r>
                        <m:r>
                          <a:rPr lang="en-US" sz="1100" b="0" i="1">
                            <a:latin typeface="Cambria Math"/>
                          </a:rPr>
                          <m:t>𝑐</m:t>
                        </m:r>
                      </m:e>
                    </m:d>
                    <m:r>
                      <a:rPr lang="en-US" sz="1100" b="0" i="1">
                        <a:latin typeface="Cambria Math"/>
                      </a:rPr>
                      <m:t> ∗</m:t>
                    </m:r>
                    <m:sSub>
                      <m:sSubPr>
                        <m:ctrlPr>
                          <a:rPr lang="en-US" sz="1100" b="0" i="1">
                            <a:latin typeface="Cambria Math" panose="02040503050406030204" pitchFamily="18" charset="0"/>
                            <a:ea typeface="Cambria Math"/>
                          </a:rPr>
                        </m:ctrlPr>
                      </m:sSubPr>
                      <m:e>
                        <m:r>
                          <a:rPr lang="en-US" sz="1100" b="0" i="1">
                            <a:latin typeface="Cambria Math"/>
                            <a:ea typeface="Cambria Math"/>
                          </a:rPr>
                          <m:t>𝑃</m:t>
                        </m:r>
                      </m:e>
                      <m:sub>
                        <m:r>
                          <a:rPr lang="en-US" sz="1100" b="0" i="1">
                            <a:latin typeface="Cambria Math"/>
                            <a:ea typeface="Cambria Math"/>
                          </a:rPr>
                          <m:t>100%</m:t>
                        </m:r>
                      </m:sub>
                    </m:sSub>
                  </m:oMath>
                </m:oMathPara>
              </a14:m>
              <a:endParaRPr lang="en-US" sz="1100"/>
            </a:p>
          </xdr:txBody>
        </xdr:sp>
      </mc:Choice>
      <mc:Fallback xmlns="">
        <xdr:sp macro="" textlink="">
          <xdr:nvSpPr>
            <xdr:cNvPr id="15" name="TextBox 14"/>
            <xdr:cNvSpPr txBox="1"/>
          </xdr:nvSpPr>
          <xdr:spPr>
            <a:xfrm>
              <a:off x="15697199" y="3761184"/>
              <a:ext cx="3243263" cy="659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𝑧_𝑖=(𝑎∗</a:t>
              </a:r>
              <a:r>
                <a:rPr lang="en-US" sz="1100" b="0" i="0">
                  <a:solidFill>
                    <a:schemeClr val="tx1"/>
                  </a:solidFill>
                  <a:effectLst/>
                  <a:latin typeface="+mn-lt"/>
                  <a:ea typeface="+mn-ea"/>
                  <a:cs typeface="+mn-cs"/>
                </a:rPr>
                <a:t>(</a:t>
              </a:r>
              <a:r>
                <a:rPr lang="en-US" sz="1100" b="0" i="0">
                  <a:solidFill>
                    <a:schemeClr val="tx1"/>
                  </a:solidFill>
                  <a:effectLst/>
                  <a:latin typeface="Cambria Math"/>
                  <a:ea typeface="+mn-ea"/>
                  <a:cs typeface="+mn-cs"/>
                </a:rPr>
                <a:t>𝑃_𝑖</a:t>
              </a:r>
              <a:r>
                <a:rPr lang="en-US" sz="1100" b="0" i="0">
                  <a:solidFill>
                    <a:schemeClr val="tx1"/>
                  </a:solidFill>
                  <a:effectLst/>
                  <a:latin typeface="+mn-lt"/>
                  <a:ea typeface="+mn-ea"/>
                  <a:cs typeface="+mn-cs"/>
                </a:rPr>
                <a:t>/</a:t>
              </a:r>
              <a:r>
                <a:rPr lang="en-US" sz="1100" b="0" i="0">
                  <a:solidFill>
                    <a:schemeClr val="tx1"/>
                  </a:solidFill>
                  <a:effectLst/>
                  <a:latin typeface="Cambria Math"/>
                  <a:ea typeface="+mn-ea"/>
                  <a:cs typeface="+mn-cs"/>
                </a:rPr>
                <a:t>𝑀𝑜𝑡𝑜𝑟𝐻𝑃</a:t>
              </a:r>
              <a:r>
                <a:rPr lang="en-US" sz="1100" b="0" i="0">
                  <a:solidFill>
                    <a:schemeClr val="tx1"/>
                  </a:solidFill>
                  <a:effectLst/>
                  <a:latin typeface="+mn-lt"/>
                  <a:ea typeface="+mn-ea"/>
                  <a:cs typeface="+mn-cs"/>
                </a:rPr>
                <a:t>)</a:t>
              </a:r>
              <a:r>
                <a:rPr lang="en-US" sz="1100" b="0" i="0">
                  <a:solidFill>
                    <a:schemeClr val="tx1"/>
                  </a:solidFill>
                  <a:effectLst/>
                  <a:latin typeface="Cambria Math"/>
                  <a:ea typeface="+mn-ea"/>
                  <a:cs typeface="+mn-cs"/>
                </a:rPr>
                <a:t>^</a:t>
              </a:r>
              <a:r>
                <a:rPr lang="en-US" sz="1100" b="0" i="0">
                  <a:latin typeface="Cambria Math"/>
                </a:rPr>
                <a:t>2+𝑏∗(</a:t>
              </a:r>
              <a:r>
                <a:rPr lang="en-US" sz="1100" b="0" i="0">
                  <a:solidFill>
                    <a:schemeClr val="tx1"/>
                  </a:solidFill>
                  <a:effectLst/>
                  <a:latin typeface="+mn-lt"/>
                  <a:ea typeface="+mn-ea"/>
                  <a:cs typeface="+mn-cs"/>
                </a:rPr>
                <a:t>𝑃_𝑖/𝑀𝑜𝑡𝑜𝑟𝐻𝑃</a:t>
              </a:r>
              <a:r>
                <a:rPr lang="en-US" sz="1100" b="0" i="0">
                  <a:solidFill>
                    <a:schemeClr val="tx1"/>
                  </a:solidFill>
                  <a:effectLst/>
                  <a:latin typeface="Cambria Math"/>
                  <a:ea typeface="+mn-ea"/>
                  <a:cs typeface="+mn-cs"/>
                </a:rPr>
                <a:t>)</a:t>
              </a:r>
              <a:r>
                <a:rPr lang="en-US" sz="1100" b="0" i="0">
                  <a:latin typeface="Cambria Math"/>
                </a:rPr>
                <a:t>+𝑐)  ∗</a:t>
              </a:r>
              <a:r>
                <a:rPr lang="en-US" sz="1100" b="0" i="0">
                  <a:latin typeface="Cambria Math"/>
                  <a:ea typeface="Cambria Math"/>
                </a:rPr>
                <a:t>𝑃_(100%)</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U57"/>
  <sheetViews>
    <sheetView showGridLines="0" tabSelected="1" zoomScale="70" zoomScaleNormal="70" workbookViewId="0">
      <selection activeCell="B5" sqref="B5:O12"/>
    </sheetView>
  </sheetViews>
  <sheetFormatPr defaultRowHeight="15" x14ac:dyDescent="0.25"/>
  <cols>
    <col min="1" max="1" width="3.7109375" customWidth="1"/>
    <col min="11" max="11" width="13.5703125" customWidth="1"/>
    <col min="12" max="12" width="20.28515625" customWidth="1"/>
    <col min="16" max="16" width="4.42578125" customWidth="1"/>
    <col min="17" max="17" width="9.42578125" customWidth="1"/>
    <col min="18" max="18" width="19.7109375" customWidth="1"/>
    <col min="19" max="19" width="42.140625" customWidth="1"/>
    <col min="20" max="20" width="47.140625" customWidth="1"/>
    <col min="21" max="21" width="45.140625" customWidth="1"/>
    <col min="22" max="23" width="30.5703125" customWidth="1"/>
    <col min="24" max="24" width="35.85546875" bestFit="1" customWidth="1"/>
  </cols>
  <sheetData>
    <row r="2" spans="2:21" ht="15.75" thickBot="1" x14ac:dyDescent="0.3"/>
    <row r="3" spans="2:21" ht="21.75" customHeight="1" x14ac:dyDescent="0.35">
      <c r="B3" s="331" t="s">
        <v>204</v>
      </c>
      <c r="C3" s="332"/>
      <c r="D3" s="332"/>
      <c r="E3" s="332"/>
      <c r="F3" s="332"/>
      <c r="G3" s="332"/>
      <c r="H3" s="332"/>
      <c r="I3" s="332"/>
      <c r="J3" s="332"/>
      <c r="K3" s="332"/>
      <c r="L3" s="332"/>
      <c r="M3" s="332"/>
      <c r="N3" s="332"/>
      <c r="O3" s="333"/>
      <c r="Q3" s="91" t="s">
        <v>115</v>
      </c>
    </row>
    <row r="4" spans="2:21" ht="15.75" customHeight="1" thickBot="1" x14ac:dyDescent="0.3">
      <c r="B4" s="334"/>
      <c r="C4" s="335"/>
      <c r="D4" s="335"/>
      <c r="E4" s="335"/>
      <c r="F4" s="335"/>
      <c r="G4" s="335"/>
      <c r="H4" s="335"/>
      <c r="I4" s="335"/>
      <c r="J4" s="335"/>
      <c r="K4" s="335"/>
      <c r="L4" s="335"/>
      <c r="M4" s="335"/>
      <c r="N4" s="335"/>
      <c r="O4" s="336"/>
    </row>
    <row r="5" spans="2:21" ht="37.5" customHeight="1" thickBot="1" x14ac:dyDescent="0.3">
      <c r="B5" s="350" t="s">
        <v>203</v>
      </c>
      <c r="C5" s="351"/>
      <c r="D5" s="351"/>
      <c r="E5" s="351"/>
      <c r="F5" s="351"/>
      <c r="G5" s="351"/>
      <c r="H5" s="351"/>
      <c r="I5" s="351"/>
      <c r="J5" s="351"/>
      <c r="K5" s="351"/>
      <c r="L5" s="351"/>
      <c r="M5" s="351"/>
      <c r="N5" s="351"/>
      <c r="O5" s="352"/>
      <c r="Q5" s="205" t="s">
        <v>133</v>
      </c>
      <c r="R5" s="87" t="s">
        <v>105</v>
      </c>
      <c r="S5" s="88" t="s">
        <v>106</v>
      </c>
      <c r="T5" s="89" t="s">
        <v>107</v>
      </c>
      <c r="U5" s="90" t="s">
        <v>108</v>
      </c>
    </row>
    <row r="6" spans="2:21" ht="15.75" customHeight="1" x14ac:dyDescent="0.25">
      <c r="B6" s="356"/>
      <c r="C6" s="357"/>
      <c r="D6" s="357"/>
      <c r="E6" s="357"/>
      <c r="F6" s="357"/>
      <c r="G6" s="357"/>
      <c r="H6" s="357"/>
      <c r="I6" s="357"/>
      <c r="J6" s="357"/>
      <c r="K6" s="357"/>
      <c r="L6" s="357"/>
      <c r="M6" s="357"/>
      <c r="N6" s="357"/>
      <c r="O6" s="358"/>
      <c r="Q6" s="359" t="s">
        <v>162</v>
      </c>
      <c r="R6" s="340" t="s">
        <v>109</v>
      </c>
      <c r="S6" s="343" t="s">
        <v>109</v>
      </c>
      <c r="T6" s="366" t="s">
        <v>188</v>
      </c>
      <c r="U6" s="363" t="s">
        <v>110</v>
      </c>
    </row>
    <row r="7" spans="2:21" ht="15" customHeight="1" x14ac:dyDescent="0.25">
      <c r="B7" s="356"/>
      <c r="C7" s="357"/>
      <c r="D7" s="357"/>
      <c r="E7" s="357"/>
      <c r="F7" s="357"/>
      <c r="G7" s="357"/>
      <c r="H7" s="357"/>
      <c r="I7" s="357"/>
      <c r="J7" s="357"/>
      <c r="K7" s="357"/>
      <c r="L7" s="357"/>
      <c r="M7" s="357"/>
      <c r="N7" s="357"/>
      <c r="O7" s="358"/>
      <c r="Q7" s="360"/>
      <c r="R7" s="341"/>
      <c r="S7" s="338"/>
      <c r="T7" s="367"/>
      <c r="U7" s="364"/>
    </row>
    <row r="8" spans="2:21" ht="34.5" customHeight="1" x14ac:dyDescent="0.25">
      <c r="B8" s="356"/>
      <c r="C8" s="357"/>
      <c r="D8" s="357"/>
      <c r="E8" s="357"/>
      <c r="F8" s="357"/>
      <c r="G8" s="357"/>
      <c r="H8" s="357"/>
      <c r="I8" s="357"/>
      <c r="J8" s="357"/>
      <c r="K8" s="357"/>
      <c r="L8" s="357"/>
      <c r="M8" s="357"/>
      <c r="N8" s="357"/>
      <c r="O8" s="358"/>
      <c r="Q8" s="360"/>
      <c r="R8" s="341"/>
      <c r="S8" s="338"/>
      <c r="T8" s="367"/>
      <c r="U8" s="364"/>
    </row>
    <row r="9" spans="2:21" ht="28.5" customHeight="1" x14ac:dyDescent="0.25">
      <c r="B9" s="356"/>
      <c r="C9" s="357"/>
      <c r="D9" s="357"/>
      <c r="E9" s="357"/>
      <c r="F9" s="357"/>
      <c r="G9" s="357"/>
      <c r="H9" s="357"/>
      <c r="I9" s="357"/>
      <c r="J9" s="357"/>
      <c r="K9" s="357"/>
      <c r="L9" s="357"/>
      <c r="M9" s="357"/>
      <c r="N9" s="357"/>
      <c r="O9" s="358"/>
      <c r="Q9" s="360"/>
      <c r="R9" s="342"/>
      <c r="S9" s="339"/>
      <c r="T9" s="368"/>
      <c r="U9" s="365"/>
    </row>
    <row r="10" spans="2:21" ht="26.25" customHeight="1" x14ac:dyDescent="0.25">
      <c r="B10" s="356"/>
      <c r="C10" s="357"/>
      <c r="D10" s="357"/>
      <c r="E10" s="357"/>
      <c r="F10" s="357"/>
      <c r="G10" s="357"/>
      <c r="H10" s="357"/>
      <c r="I10" s="357"/>
      <c r="J10" s="357"/>
      <c r="K10" s="357"/>
      <c r="L10" s="357"/>
      <c r="M10" s="357"/>
      <c r="N10" s="357"/>
      <c r="O10" s="358"/>
      <c r="Q10" s="360"/>
      <c r="R10" s="362" t="s">
        <v>111</v>
      </c>
      <c r="S10" s="337" t="s">
        <v>186</v>
      </c>
      <c r="T10" s="371" t="s">
        <v>191</v>
      </c>
      <c r="U10" s="373" t="s">
        <v>202</v>
      </c>
    </row>
    <row r="11" spans="2:21" ht="26.25" customHeight="1" x14ac:dyDescent="0.25">
      <c r="B11" s="356"/>
      <c r="C11" s="357"/>
      <c r="D11" s="357"/>
      <c r="E11" s="357"/>
      <c r="F11" s="357"/>
      <c r="G11" s="357"/>
      <c r="H11" s="357"/>
      <c r="I11" s="357"/>
      <c r="J11" s="357"/>
      <c r="K11" s="357"/>
      <c r="L11" s="357"/>
      <c r="M11" s="357"/>
      <c r="N11" s="357"/>
      <c r="O11" s="358"/>
      <c r="Q11" s="360"/>
      <c r="R11" s="341"/>
      <c r="S11" s="338"/>
      <c r="T11" s="372"/>
      <c r="U11" s="374"/>
    </row>
    <row r="12" spans="2:21" ht="48" customHeight="1" thickBot="1" x14ac:dyDescent="0.3">
      <c r="B12" s="353"/>
      <c r="C12" s="354"/>
      <c r="D12" s="354"/>
      <c r="E12" s="354"/>
      <c r="F12" s="354"/>
      <c r="G12" s="354"/>
      <c r="H12" s="354"/>
      <c r="I12" s="354"/>
      <c r="J12" s="354"/>
      <c r="K12" s="354"/>
      <c r="L12" s="354"/>
      <c r="M12" s="354"/>
      <c r="N12" s="354"/>
      <c r="O12" s="355"/>
      <c r="Q12" s="360"/>
      <c r="R12" s="341"/>
      <c r="S12" s="338"/>
      <c r="T12" s="372"/>
      <c r="U12" s="374"/>
    </row>
    <row r="13" spans="2:21" ht="24.75" customHeight="1" thickBot="1" x14ac:dyDescent="0.3">
      <c r="B13" s="330"/>
      <c r="C13" s="330"/>
      <c r="D13" s="330"/>
      <c r="E13" s="330"/>
      <c r="F13" s="330"/>
      <c r="G13" s="330"/>
      <c r="H13" s="330"/>
      <c r="I13" s="330"/>
      <c r="J13" s="330"/>
      <c r="K13" s="330"/>
      <c r="L13" s="330"/>
      <c r="M13" s="330"/>
      <c r="N13" s="330"/>
      <c r="O13" s="330"/>
      <c r="Q13" s="360"/>
      <c r="R13" s="341"/>
      <c r="S13" s="339"/>
      <c r="T13" s="372"/>
      <c r="U13" s="374"/>
    </row>
    <row r="14" spans="2:21" ht="48" customHeight="1" x14ac:dyDescent="0.25">
      <c r="B14" s="350" t="s">
        <v>200</v>
      </c>
      <c r="C14" s="351"/>
      <c r="D14" s="351"/>
      <c r="E14" s="351"/>
      <c r="F14" s="351"/>
      <c r="G14" s="351"/>
      <c r="H14" s="351"/>
      <c r="I14" s="351"/>
      <c r="J14" s="351"/>
      <c r="K14" s="351"/>
      <c r="L14" s="351"/>
      <c r="M14" s="351"/>
      <c r="N14" s="351"/>
      <c r="O14" s="352"/>
      <c r="Q14" s="360"/>
      <c r="R14" s="341"/>
      <c r="S14" s="337" t="s">
        <v>198</v>
      </c>
      <c r="T14" s="369" t="s">
        <v>112</v>
      </c>
      <c r="U14" s="374"/>
    </row>
    <row r="15" spans="2:21" ht="57" customHeight="1" thickBot="1" x14ac:dyDescent="0.3">
      <c r="B15" s="353"/>
      <c r="C15" s="354"/>
      <c r="D15" s="354"/>
      <c r="E15" s="354"/>
      <c r="F15" s="354"/>
      <c r="G15" s="354"/>
      <c r="H15" s="354"/>
      <c r="I15" s="354"/>
      <c r="J15" s="354"/>
      <c r="K15" s="354"/>
      <c r="L15" s="354"/>
      <c r="M15" s="354"/>
      <c r="N15" s="354"/>
      <c r="O15" s="355"/>
      <c r="Q15" s="360"/>
      <c r="R15" s="341"/>
      <c r="S15" s="338"/>
      <c r="T15" s="369"/>
      <c r="U15" s="374"/>
    </row>
    <row r="16" spans="2:21" ht="33" customHeight="1" thickBot="1" x14ac:dyDescent="0.3">
      <c r="N16" s="206"/>
      <c r="O16" s="206"/>
      <c r="Q16" s="361"/>
      <c r="R16" s="342"/>
      <c r="S16" s="339"/>
      <c r="T16" s="370"/>
      <c r="U16" s="375"/>
    </row>
    <row r="17" spans="2:21" ht="25.5" customHeight="1" x14ac:dyDescent="0.3">
      <c r="E17" s="344" t="s">
        <v>133</v>
      </c>
      <c r="F17" s="345"/>
      <c r="G17" s="346" t="s">
        <v>135</v>
      </c>
      <c r="H17" s="347"/>
      <c r="I17" s="347"/>
      <c r="J17" s="348"/>
      <c r="K17" s="346" t="s">
        <v>105</v>
      </c>
      <c r="L17" s="347"/>
      <c r="M17" s="349"/>
      <c r="N17" s="207"/>
      <c r="O17" s="207"/>
      <c r="Q17" s="405" t="s">
        <v>161</v>
      </c>
      <c r="R17" s="362" t="s">
        <v>113</v>
      </c>
      <c r="S17" s="337" t="s">
        <v>187</v>
      </c>
      <c r="T17" s="401" t="s">
        <v>189</v>
      </c>
      <c r="U17" s="384" t="s">
        <v>193</v>
      </c>
    </row>
    <row r="18" spans="2:21" ht="21" customHeight="1" x14ac:dyDescent="0.25">
      <c r="E18" s="423" t="s">
        <v>160</v>
      </c>
      <c r="F18" s="424"/>
      <c r="G18" s="427" t="s">
        <v>195</v>
      </c>
      <c r="H18" s="428"/>
      <c r="I18" s="428"/>
      <c r="J18" s="429"/>
      <c r="K18" s="433" t="s">
        <v>194</v>
      </c>
      <c r="L18" s="434"/>
      <c r="M18" s="435"/>
      <c r="N18" s="207"/>
      <c r="O18" s="207"/>
      <c r="Q18" s="360"/>
      <c r="R18" s="341"/>
      <c r="S18" s="338"/>
      <c r="T18" s="402"/>
      <c r="U18" s="385"/>
    </row>
    <row r="19" spans="2:21" ht="16.5" customHeight="1" thickBot="1" x14ac:dyDescent="0.3">
      <c r="E19" s="425"/>
      <c r="F19" s="426"/>
      <c r="G19" s="430"/>
      <c r="H19" s="431"/>
      <c r="I19" s="431"/>
      <c r="J19" s="432"/>
      <c r="K19" s="436"/>
      <c r="L19" s="437"/>
      <c r="M19" s="438"/>
      <c r="N19" s="207"/>
      <c r="O19" s="207"/>
      <c r="Q19" s="360"/>
      <c r="R19" s="341"/>
      <c r="S19" s="338"/>
      <c r="T19" s="402"/>
      <c r="U19" s="385"/>
    </row>
    <row r="20" spans="2:21" ht="41.25" customHeight="1" thickBot="1" x14ac:dyDescent="0.3">
      <c r="B20" s="207"/>
      <c r="C20" s="207"/>
      <c r="D20" s="207"/>
      <c r="E20" s="207"/>
      <c r="F20" s="207"/>
      <c r="G20" s="207"/>
      <c r="H20" s="207"/>
      <c r="I20" s="207"/>
      <c r="J20" s="207"/>
      <c r="K20" s="207"/>
      <c r="L20" s="207"/>
      <c r="M20" s="207"/>
      <c r="N20" s="207"/>
      <c r="O20" s="207"/>
      <c r="Q20" s="360"/>
      <c r="R20" s="341"/>
      <c r="S20" s="338"/>
      <c r="T20" s="402"/>
      <c r="U20" s="385"/>
    </row>
    <row r="21" spans="2:21" ht="21.75" customHeight="1" x14ac:dyDescent="0.25">
      <c r="B21" s="412" t="s">
        <v>190</v>
      </c>
      <c r="C21" s="413"/>
      <c r="D21" s="413"/>
      <c r="E21" s="413"/>
      <c r="F21" s="413"/>
      <c r="G21" s="413"/>
      <c r="H21" s="413"/>
      <c r="I21" s="413"/>
      <c r="J21" s="413"/>
      <c r="K21" s="413"/>
      <c r="L21" s="413"/>
      <c r="M21" s="413"/>
      <c r="N21" s="413"/>
      <c r="O21" s="414"/>
      <c r="Q21" s="360"/>
      <c r="R21" s="341"/>
      <c r="S21" s="338"/>
      <c r="T21" s="402"/>
      <c r="U21" s="385"/>
    </row>
    <row r="22" spans="2:21" ht="21.75" customHeight="1" x14ac:dyDescent="0.25">
      <c r="B22" s="415"/>
      <c r="C22" s="416"/>
      <c r="D22" s="416"/>
      <c r="E22" s="416"/>
      <c r="F22" s="416"/>
      <c r="G22" s="416"/>
      <c r="H22" s="416"/>
      <c r="I22" s="416"/>
      <c r="J22" s="416"/>
      <c r="K22" s="416"/>
      <c r="L22" s="416"/>
      <c r="M22" s="416"/>
      <c r="N22" s="416"/>
      <c r="O22" s="417"/>
      <c r="Q22" s="360"/>
      <c r="R22" s="341"/>
      <c r="S22" s="339"/>
      <c r="T22" s="403"/>
      <c r="U22" s="385"/>
    </row>
    <row r="23" spans="2:21" ht="22.5" customHeight="1" x14ac:dyDescent="0.25">
      <c r="B23" s="415"/>
      <c r="C23" s="416"/>
      <c r="D23" s="416"/>
      <c r="E23" s="416"/>
      <c r="F23" s="416"/>
      <c r="G23" s="416"/>
      <c r="H23" s="416"/>
      <c r="I23" s="416"/>
      <c r="J23" s="416"/>
      <c r="K23" s="416"/>
      <c r="L23" s="416"/>
      <c r="M23" s="416"/>
      <c r="N23" s="416"/>
      <c r="O23" s="417"/>
      <c r="Q23" s="360"/>
      <c r="R23" s="341"/>
      <c r="S23" s="337" t="s">
        <v>192</v>
      </c>
      <c r="T23" s="407" t="s">
        <v>112</v>
      </c>
      <c r="U23" s="385"/>
    </row>
    <row r="24" spans="2:21" ht="21.75" customHeight="1" x14ac:dyDescent="0.25">
      <c r="B24" s="415"/>
      <c r="C24" s="416"/>
      <c r="D24" s="416"/>
      <c r="E24" s="416"/>
      <c r="F24" s="416"/>
      <c r="G24" s="416"/>
      <c r="H24" s="416"/>
      <c r="I24" s="416"/>
      <c r="J24" s="416"/>
      <c r="K24" s="416"/>
      <c r="L24" s="416"/>
      <c r="M24" s="416"/>
      <c r="N24" s="416"/>
      <c r="O24" s="417"/>
      <c r="Q24" s="360"/>
      <c r="R24" s="341"/>
      <c r="S24" s="338"/>
      <c r="T24" s="408"/>
      <c r="U24" s="385"/>
    </row>
    <row r="25" spans="2:21" ht="30" customHeight="1" x14ac:dyDescent="0.25">
      <c r="B25" s="415"/>
      <c r="C25" s="416"/>
      <c r="D25" s="416"/>
      <c r="E25" s="416"/>
      <c r="F25" s="416"/>
      <c r="G25" s="416"/>
      <c r="H25" s="416"/>
      <c r="I25" s="416"/>
      <c r="J25" s="416"/>
      <c r="K25" s="416"/>
      <c r="L25" s="416"/>
      <c r="M25" s="416"/>
      <c r="N25" s="416"/>
      <c r="O25" s="417"/>
      <c r="Q25" s="360"/>
      <c r="R25" s="341"/>
      <c r="S25" s="338"/>
      <c r="T25" s="408"/>
      <c r="U25" s="385"/>
    </row>
    <row r="26" spans="2:21" ht="21.75" customHeight="1" thickBot="1" x14ac:dyDescent="0.3">
      <c r="B26" s="418"/>
      <c r="C26" s="419"/>
      <c r="D26" s="419"/>
      <c r="E26" s="419"/>
      <c r="F26" s="419"/>
      <c r="G26" s="419"/>
      <c r="H26" s="419"/>
      <c r="I26" s="419"/>
      <c r="J26" s="419"/>
      <c r="K26" s="419"/>
      <c r="L26" s="419"/>
      <c r="M26" s="419"/>
      <c r="N26" s="419"/>
      <c r="O26" s="420"/>
      <c r="Q26" s="360"/>
      <c r="R26" s="341"/>
      <c r="S26" s="339"/>
      <c r="T26" s="409"/>
      <c r="U26" s="385"/>
    </row>
    <row r="27" spans="2:21" ht="25.5" customHeight="1" x14ac:dyDescent="0.25">
      <c r="B27" s="456" t="s">
        <v>196</v>
      </c>
      <c r="C27" s="457"/>
      <c r="D27" s="457"/>
      <c r="E27" s="457"/>
      <c r="F27" s="457"/>
      <c r="G27" s="457"/>
      <c r="H27" s="457"/>
      <c r="I27" s="457"/>
      <c r="J27" s="457"/>
      <c r="K27" s="457"/>
      <c r="L27" s="457"/>
      <c r="M27" s="457"/>
      <c r="N27" s="457"/>
      <c r="O27" s="458"/>
      <c r="Q27" s="360"/>
      <c r="R27" s="341"/>
      <c r="S27" s="337" t="s">
        <v>114</v>
      </c>
      <c r="T27" s="407" t="s">
        <v>112</v>
      </c>
      <c r="U27" s="385"/>
    </row>
    <row r="28" spans="2:21" ht="23.25" customHeight="1" x14ac:dyDescent="0.25">
      <c r="B28" s="459"/>
      <c r="C28" s="460"/>
      <c r="D28" s="460"/>
      <c r="E28" s="460"/>
      <c r="F28" s="460"/>
      <c r="G28" s="460"/>
      <c r="H28" s="460"/>
      <c r="I28" s="460"/>
      <c r="J28" s="460"/>
      <c r="K28" s="460"/>
      <c r="L28" s="460"/>
      <c r="M28" s="460"/>
      <c r="N28" s="460"/>
      <c r="O28" s="461"/>
      <c r="Q28" s="360"/>
      <c r="R28" s="341"/>
      <c r="S28" s="338"/>
      <c r="T28" s="408"/>
      <c r="U28" s="385"/>
    </row>
    <row r="29" spans="2:21" ht="29.25" customHeight="1" x14ac:dyDescent="0.25">
      <c r="B29" s="459"/>
      <c r="C29" s="460"/>
      <c r="D29" s="460"/>
      <c r="E29" s="460"/>
      <c r="F29" s="460"/>
      <c r="G29" s="460"/>
      <c r="H29" s="460"/>
      <c r="I29" s="460"/>
      <c r="J29" s="460"/>
      <c r="K29" s="460"/>
      <c r="L29" s="460"/>
      <c r="M29" s="460"/>
      <c r="N29" s="460"/>
      <c r="O29" s="461"/>
      <c r="Q29" s="360"/>
      <c r="R29" s="341"/>
      <c r="S29" s="338"/>
      <c r="T29" s="408"/>
      <c r="U29" s="385"/>
    </row>
    <row r="30" spans="2:21" ht="26.25" customHeight="1" thickBot="1" x14ac:dyDescent="0.3">
      <c r="B30" s="459"/>
      <c r="C30" s="460"/>
      <c r="D30" s="460"/>
      <c r="E30" s="460"/>
      <c r="F30" s="460"/>
      <c r="G30" s="460"/>
      <c r="H30" s="460"/>
      <c r="I30" s="460"/>
      <c r="J30" s="460"/>
      <c r="K30" s="460"/>
      <c r="L30" s="460"/>
      <c r="M30" s="460"/>
      <c r="N30" s="460"/>
      <c r="O30" s="461"/>
      <c r="Q30" s="406"/>
      <c r="R30" s="404"/>
      <c r="S30" s="411"/>
      <c r="T30" s="410"/>
      <c r="U30" s="386"/>
    </row>
    <row r="31" spans="2:21" ht="27.75" customHeight="1" x14ac:dyDescent="0.25">
      <c r="B31" s="459"/>
      <c r="C31" s="460"/>
      <c r="D31" s="460"/>
      <c r="E31" s="460"/>
      <c r="F31" s="460"/>
      <c r="G31" s="460"/>
      <c r="H31" s="460"/>
      <c r="I31" s="460"/>
      <c r="J31" s="460"/>
      <c r="K31" s="460"/>
      <c r="L31" s="460"/>
      <c r="M31" s="460"/>
      <c r="N31" s="460"/>
      <c r="O31" s="461"/>
    </row>
    <row r="32" spans="2:21" ht="21.75" customHeight="1" x14ac:dyDescent="0.35">
      <c r="B32" s="459"/>
      <c r="C32" s="460"/>
      <c r="D32" s="460"/>
      <c r="E32" s="460"/>
      <c r="F32" s="460"/>
      <c r="G32" s="460"/>
      <c r="H32" s="460"/>
      <c r="I32" s="460"/>
      <c r="J32" s="460"/>
      <c r="K32" s="460"/>
      <c r="L32" s="460"/>
      <c r="M32" s="460"/>
      <c r="N32" s="460"/>
      <c r="O32" s="461"/>
      <c r="Q32" s="91" t="s">
        <v>116</v>
      </c>
    </row>
    <row r="33" spans="2:21" ht="24" customHeight="1" thickBot="1" x14ac:dyDescent="0.3">
      <c r="B33" s="459"/>
      <c r="C33" s="460"/>
      <c r="D33" s="460"/>
      <c r="E33" s="460"/>
      <c r="F33" s="460"/>
      <c r="G33" s="460"/>
      <c r="H33" s="460"/>
      <c r="I33" s="460"/>
      <c r="J33" s="460"/>
      <c r="K33" s="460"/>
      <c r="L33" s="460"/>
      <c r="M33" s="460"/>
      <c r="N33" s="460"/>
      <c r="O33" s="461"/>
    </row>
    <row r="34" spans="2:21" ht="22.5" customHeight="1" x14ac:dyDescent="0.25">
      <c r="B34" s="459"/>
      <c r="C34" s="460"/>
      <c r="D34" s="460"/>
      <c r="E34" s="460"/>
      <c r="F34" s="460"/>
      <c r="G34" s="460"/>
      <c r="H34" s="460"/>
      <c r="I34" s="460"/>
      <c r="J34" s="460"/>
      <c r="K34" s="460"/>
      <c r="L34" s="460"/>
      <c r="M34" s="460"/>
      <c r="N34" s="460"/>
      <c r="O34" s="461"/>
      <c r="Q34" s="327" t="s">
        <v>137</v>
      </c>
      <c r="R34" s="328" t="s">
        <v>138</v>
      </c>
      <c r="S34" s="328" t="s">
        <v>43</v>
      </c>
      <c r="T34" s="387" t="s">
        <v>139</v>
      </c>
      <c r="U34" s="388"/>
    </row>
    <row r="35" spans="2:21" ht="16.5" customHeight="1" x14ac:dyDescent="0.25">
      <c r="B35" s="459"/>
      <c r="C35" s="460"/>
      <c r="D35" s="460"/>
      <c r="E35" s="460"/>
      <c r="F35" s="460"/>
      <c r="G35" s="460"/>
      <c r="H35" s="460"/>
      <c r="I35" s="460"/>
      <c r="J35" s="460"/>
      <c r="K35" s="460"/>
      <c r="L35" s="460"/>
      <c r="M35" s="460"/>
      <c r="N35" s="460"/>
      <c r="O35" s="461"/>
      <c r="Q35" s="389" t="s">
        <v>38</v>
      </c>
      <c r="R35" s="392" t="s">
        <v>44</v>
      </c>
      <c r="S35" s="392" t="s">
        <v>140</v>
      </c>
      <c r="T35" s="395" t="s">
        <v>141</v>
      </c>
      <c r="U35" s="396"/>
    </row>
    <row r="36" spans="2:21" ht="21" customHeight="1" x14ac:dyDescent="0.25">
      <c r="B36" s="459"/>
      <c r="C36" s="460"/>
      <c r="D36" s="460"/>
      <c r="E36" s="460"/>
      <c r="F36" s="460"/>
      <c r="G36" s="460"/>
      <c r="H36" s="460"/>
      <c r="I36" s="460"/>
      <c r="J36" s="460"/>
      <c r="K36" s="460"/>
      <c r="L36" s="460"/>
      <c r="M36" s="460"/>
      <c r="N36" s="460"/>
      <c r="O36" s="461"/>
      <c r="Q36" s="390"/>
      <c r="R36" s="393"/>
      <c r="S36" s="393"/>
      <c r="T36" s="397"/>
      <c r="U36" s="398"/>
    </row>
    <row r="37" spans="2:21" ht="13.5" customHeight="1" x14ac:dyDescent="0.25">
      <c r="B37" s="459"/>
      <c r="C37" s="460"/>
      <c r="D37" s="460"/>
      <c r="E37" s="460"/>
      <c r="F37" s="460"/>
      <c r="G37" s="460"/>
      <c r="H37" s="460"/>
      <c r="I37" s="460"/>
      <c r="J37" s="460"/>
      <c r="K37" s="460"/>
      <c r="L37" s="460"/>
      <c r="M37" s="460"/>
      <c r="N37" s="460"/>
      <c r="O37" s="461"/>
      <c r="Q37" s="390"/>
      <c r="R37" s="393"/>
      <c r="S37" s="393"/>
      <c r="T37" s="397"/>
      <c r="U37" s="398"/>
    </row>
    <row r="38" spans="2:21" ht="47.25" customHeight="1" x14ac:dyDescent="0.25">
      <c r="B38" s="459"/>
      <c r="C38" s="460"/>
      <c r="D38" s="460"/>
      <c r="E38" s="460"/>
      <c r="F38" s="460"/>
      <c r="G38" s="460"/>
      <c r="H38" s="460"/>
      <c r="I38" s="460"/>
      <c r="J38" s="460"/>
      <c r="K38" s="460"/>
      <c r="L38" s="460"/>
      <c r="M38" s="460"/>
      <c r="N38" s="460"/>
      <c r="O38" s="461"/>
      <c r="Q38" s="390"/>
      <c r="R38" s="393"/>
      <c r="S38" s="393"/>
      <c r="T38" s="397"/>
      <c r="U38" s="398"/>
    </row>
    <row r="39" spans="2:21" ht="42.75" customHeight="1" x14ac:dyDescent="0.25">
      <c r="B39" s="459"/>
      <c r="C39" s="460"/>
      <c r="D39" s="460"/>
      <c r="E39" s="460"/>
      <c r="F39" s="460"/>
      <c r="G39" s="460"/>
      <c r="H39" s="460"/>
      <c r="I39" s="460"/>
      <c r="J39" s="460"/>
      <c r="K39" s="460"/>
      <c r="L39" s="460"/>
      <c r="M39" s="460"/>
      <c r="N39" s="460"/>
      <c r="O39" s="461"/>
      <c r="Q39" s="391"/>
      <c r="R39" s="394"/>
      <c r="S39" s="394"/>
      <c r="T39" s="399"/>
      <c r="U39" s="400"/>
    </row>
    <row r="40" spans="2:21" ht="32.25" customHeight="1" x14ac:dyDescent="0.25">
      <c r="B40" s="459"/>
      <c r="C40" s="460"/>
      <c r="D40" s="460"/>
      <c r="E40" s="460"/>
      <c r="F40" s="460"/>
      <c r="G40" s="460"/>
      <c r="H40" s="460"/>
      <c r="I40" s="460"/>
      <c r="J40" s="460"/>
      <c r="K40" s="460"/>
      <c r="L40" s="460"/>
      <c r="M40" s="460"/>
      <c r="N40" s="460"/>
      <c r="O40" s="461"/>
      <c r="Q40" s="389" t="s">
        <v>39</v>
      </c>
      <c r="R40" s="392" t="s">
        <v>45</v>
      </c>
      <c r="S40" s="392" t="s">
        <v>142</v>
      </c>
      <c r="T40" s="395" t="s">
        <v>201</v>
      </c>
      <c r="U40" s="396"/>
    </row>
    <row r="41" spans="2:21" ht="30" customHeight="1" thickBot="1" x14ac:dyDescent="0.3">
      <c r="B41" s="462"/>
      <c r="C41" s="463"/>
      <c r="D41" s="463"/>
      <c r="E41" s="463"/>
      <c r="F41" s="463"/>
      <c r="G41" s="463"/>
      <c r="H41" s="463"/>
      <c r="I41" s="463"/>
      <c r="J41" s="463"/>
      <c r="K41" s="463"/>
      <c r="L41" s="463"/>
      <c r="M41" s="463"/>
      <c r="N41" s="463"/>
      <c r="O41" s="464"/>
      <c r="Q41" s="390"/>
      <c r="R41" s="394"/>
      <c r="S41" s="393"/>
      <c r="T41" s="397"/>
      <c r="U41" s="398"/>
    </row>
    <row r="42" spans="2:21" ht="54" customHeight="1" x14ac:dyDescent="0.25">
      <c r="B42" s="439" t="s">
        <v>197</v>
      </c>
      <c r="C42" s="440"/>
      <c r="D42" s="440"/>
      <c r="E42" s="440"/>
      <c r="F42" s="440"/>
      <c r="G42" s="440"/>
      <c r="H42" s="440"/>
      <c r="I42" s="440"/>
      <c r="J42" s="440"/>
      <c r="K42" s="440"/>
      <c r="L42" s="440"/>
      <c r="M42" s="440"/>
      <c r="N42" s="440"/>
      <c r="O42" s="441"/>
      <c r="Q42" s="390"/>
      <c r="R42" s="392" t="s">
        <v>46</v>
      </c>
      <c r="S42" s="393"/>
      <c r="T42" s="397"/>
      <c r="U42" s="398"/>
    </row>
    <row r="43" spans="2:21" ht="24.75" customHeight="1" x14ac:dyDescent="0.25">
      <c r="B43" s="442"/>
      <c r="C43" s="443"/>
      <c r="D43" s="443"/>
      <c r="E43" s="443"/>
      <c r="F43" s="443"/>
      <c r="G43" s="443"/>
      <c r="H43" s="443"/>
      <c r="I43" s="443"/>
      <c r="J43" s="443"/>
      <c r="K43" s="443"/>
      <c r="L43" s="443"/>
      <c r="M43" s="443"/>
      <c r="N43" s="443"/>
      <c r="O43" s="444"/>
      <c r="Q43" s="391"/>
      <c r="R43" s="394"/>
      <c r="S43" s="394"/>
      <c r="T43" s="399"/>
      <c r="U43" s="400"/>
    </row>
    <row r="44" spans="2:21" ht="61.5" customHeight="1" x14ac:dyDescent="0.25">
      <c r="B44" s="442"/>
      <c r="C44" s="443"/>
      <c r="D44" s="443"/>
      <c r="E44" s="443"/>
      <c r="F44" s="443"/>
      <c r="G44" s="443"/>
      <c r="H44" s="443"/>
      <c r="I44" s="443"/>
      <c r="J44" s="443"/>
      <c r="K44" s="443"/>
      <c r="L44" s="443"/>
      <c r="M44" s="443"/>
      <c r="N44" s="443"/>
      <c r="O44" s="444"/>
      <c r="Q44" s="376" t="s">
        <v>40</v>
      </c>
      <c r="R44" s="208" t="s">
        <v>47</v>
      </c>
      <c r="S44" s="392" t="s">
        <v>143</v>
      </c>
      <c r="T44" s="395" t="s">
        <v>144</v>
      </c>
      <c r="U44" s="396"/>
    </row>
    <row r="45" spans="2:21" ht="42" customHeight="1" x14ac:dyDescent="0.25">
      <c r="B45" s="442"/>
      <c r="C45" s="443"/>
      <c r="D45" s="443"/>
      <c r="E45" s="443"/>
      <c r="F45" s="443"/>
      <c r="G45" s="443"/>
      <c r="H45" s="443"/>
      <c r="I45" s="443"/>
      <c r="J45" s="443"/>
      <c r="K45" s="443"/>
      <c r="L45" s="443"/>
      <c r="M45" s="443"/>
      <c r="N45" s="443"/>
      <c r="O45" s="444"/>
      <c r="Q45" s="376"/>
      <c r="R45" s="106" t="s">
        <v>145</v>
      </c>
      <c r="S45" s="393"/>
      <c r="T45" s="397"/>
      <c r="U45" s="398"/>
    </row>
    <row r="46" spans="2:21" ht="36.75" customHeight="1" x14ac:dyDescent="0.25">
      <c r="B46" s="442"/>
      <c r="C46" s="443"/>
      <c r="D46" s="443"/>
      <c r="E46" s="443"/>
      <c r="F46" s="443"/>
      <c r="G46" s="443"/>
      <c r="H46" s="443"/>
      <c r="I46" s="443"/>
      <c r="J46" s="443"/>
      <c r="K46" s="443"/>
      <c r="L46" s="443"/>
      <c r="M46" s="443"/>
      <c r="N46" s="443"/>
      <c r="O46" s="444"/>
      <c r="Q46" s="376"/>
      <c r="R46" s="208" t="s">
        <v>48</v>
      </c>
      <c r="S46" s="394"/>
      <c r="T46" s="399"/>
      <c r="U46" s="400"/>
    </row>
    <row r="47" spans="2:21" ht="122.25" customHeight="1" x14ac:dyDescent="0.25">
      <c r="B47" s="442"/>
      <c r="C47" s="443"/>
      <c r="D47" s="443"/>
      <c r="E47" s="443"/>
      <c r="F47" s="443"/>
      <c r="G47" s="443"/>
      <c r="H47" s="443"/>
      <c r="I47" s="443"/>
      <c r="J47" s="443"/>
      <c r="K47" s="443"/>
      <c r="L47" s="443"/>
      <c r="M47" s="443"/>
      <c r="N47" s="443"/>
      <c r="O47" s="444"/>
      <c r="Q47" s="329" t="s">
        <v>41</v>
      </c>
      <c r="R47" s="208" t="s">
        <v>49</v>
      </c>
      <c r="S47" s="106" t="s">
        <v>146</v>
      </c>
      <c r="T47" s="421" t="s">
        <v>147</v>
      </c>
      <c r="U47" s="422"/>
    </row>
    <row r="48" spans="2:21" ht="76.5" customHeight="1" thickBot="1" x14ac:dyDescent="0.3">
      <c r="B48" s="445"/>
      <c r="C48" s="446"/>
      <c r="D48" s="446"/>
      <c r="E48" s="446"/>
      <c r="F48" s="446"/>
      <c r="G48" s="446"/>
      <c r="H48" s="446"/>
      <c r="I48" s="446"/>
      <c r="J48" s="446"/>
      <c r="K48" s="446"/>
      <c r="L48" s="446"/>
      <c r="M48" s="446"/>
      <c r="N48" s="446"/>
      <c r="O48" s="447"/>
      <c r="Q48" s="376" t="s">
        <v>42</v>
      </c>
      <c r="R48" s="378" t="s">
        <v>50</v>
      </c>
      <c r="S48" s="378" t="s">
        <v>174</v>
      </c>
      <c r="T48" s="380" t="s">
        <v>148</v>
      </c>
      <c r="U48" s="381"/>
    </row>
    <row r="49" spans="2:21" ht="44.25" customHeight="1" thickBot="1" x14ac:dyDescent="0.3">
      <c r="B49" s="448" t="s">
        <v>199</v>
      </c>
      <c r="C49" s="449"/>
      <c r="D49" s="449"/>
      <c r="E49" s="449"/>
      <c r="F49" s="449"/>
      <c r="G49" s="449"/>
      <c r="H49" s="449"/>
      <c r="I49" s="449"/>
      <c r="J49" s="449"/>
      <c r="K49" s="449"/>
      <c r="L49" s="449"/>
      <c r="M49" s="449"/>
      <c r="N49" s="449"/>
      <c r="O49" s="450"/>
      <c r="Q49" s="377"/>
      <c r="R49" s="379"/>
      <c r="S49" s="379"/>
      <c r="T49" s="382"/>
      <c r="U49" s="383"/>
    </row>
    <row r="50" spans="2:21" ht="138" customHeight="1" x14ac:dyDescent="0.25">
      <c r="B50" s="451"/>
      <c r="C50" s="452"/>
      <c r="D50" s="452"/>
      <c r="E50" s="452"/>
      <c r="F50" s="452"/>
      <c r="G50" s="452"/>
      <c r="H50" s="452"/>
      <c r="I50" s="452"/>
      <c r="J50" s="452"/>
      <c r="K50" s="452"/>
      <c r="L50" s="452"/>
      <c r="M50" s="452"/>
      <c r="N50" s="452"/>
      <c r="O50" s="398"/>
    </row>
    <row r="51" spans="2:21" ht="152.25" customHeight="1" thickBot="1" x14ac:dyDescent="0.3">
      <c r="B51" s="453"/>
      <c r="C51" s="454"/>
      <c r="D51" s="454"/>
      <c r="E51" s="454"/>
      <c r="F51" s="454"/>
      <c r="G51" s="454"/>
      <c r="H51" s="454"/>
      <c r="I51" s="454"/>
      <c r="J51" s="454"/>
      <c r="K51" s="454"/>
      <c r="L51" s="454"/>
      <c r="M51" s="454"/>
      <c r="N51" s="454"/>
      <c r="O51" s="455"/>
    </row>
    <row r="52" spans="2:21" ht="57.75" customHeight="1" x14ac:dyDescent="0.25">
      <c r="B52" s="209"/>
      <c r="C52" s="209"/>
      <c r="D52" s="209"/>
      <c r="E52" s="209"/>
      <c r="F52" s="209"/>
      <c r="G52" s="209"/>
      <c r="H52" s="209"/>
      <c r="I52" s="209"/>
      <c r="J52" s="209"/>
      <c r="K52" s="209"/>
      <c r="L52" s="209"/>
      <c r="M52" s="209"/>
      <c r="N52" s="209"/>
      <c r="O52" s="209"/>
    </row>
    <row r="53" spans="2:21" ht="42.75" customHeight="1" x14ac:dyDescent="0.25">
      <c r="B53" s="209"/>
      <c r="C53" s="209"/>
      <c r="D53" s="209"/>
      <c r="E53" s="209"/>
      <c r="F53" s="209"/>
      <c r="G53" s="209"/>
      <c r="H53" s="209"/>
      <c r="I53" s="209"/>
      <c r="J53" s="209"/>
      <c r="K53" s="209"/>
      <c r="L53" s="209"/>
      <c r="M53" s="209"/>
      <c r="N53" s="209"/>
      <c r="O53" s="209"/>
    </row>
    <row r="54" spans="2:21" ht="57.75" customHeight="1" x14ac:dyDescent="0.25">
      <c r="B54" s="209"/>
      <c r="C54" s="209"/>
      <c r="D54" s="209"/>
      <c r="E54" s="209"/>
      <c r="F54" s="209"/>
      <c r="G54" s="209"/>
      <c r="H54" s="209"/>
      <c r="I54" s="209"/>
      <c r="J54" s="209"/>
      <c r="K54" s="209"/>
      <c r="L54" s="209"/>
      <c r="M54" s="209"/>
      <c r="N54" s="209"/>
      <c r="O54" s="209"/>
    </row>
    <row r="55" spans="2:21" ht="18.75" x14ac:dyDescent="0.25">
      <c r="B55" s="209"/>
      <c r="C55" s="209"/>
      <c r="D55" s="209"/>
      <c r="E55" s="209"/>
      <c r="F55" s="209"/>
      <c r="G55" s="209"/>
      <c r="H55" s="209"/>
      <c r="I55" s="209"/>
      <c r="J55" s="209"/>
      <c r="K55" s="209"/>
      <c r="L55" s="209"/>
      <c r="M55" s="209"/>
      <c r="N55" s="209"/>
      <c r="O55" s="209"/>
    </row>
    <row r="56" spans="2:21" ht="18.75" x14ac:dyDescent="0.25">
      <c r="B56" s="209"/>
      <c r="C56" s="209"/>
      <c r="D56" s="209"/>
      <c r="E56" s="209"/>
      <c r="F56" s="209"/>
      <c r="G56" s="209"/>
      <c r="H56" s="209"/>
      <c r="I56" s="209"/>
      <c r="J56" s="209"/>
      <c r="K56" s="209"/>
      <c r="L56" s="209"/>
      <c r="M56" s="209"/>
      <c r="N56" s="209"/>
      <c r="O56" s="209"/>
    </row>
    <row r="57" spans="2:21" ht="18.75" x14ac:dyDescent="0.25">
      <c r="B57" s="209"/>
      <c r="C57" s="209"/>
      <c r="D57" s="209"/>
      <c r="E57" s="209"/>
      <c r="F57" s="209"/>
      <c r="G57" s="209"/>
      <c r="H57" s="209"/>
      <c r="I57" s="209"/>
      <c r="J57" s="209"/>
      <c r="K57" s="209"/>
      <c r="L57" s="209"/>
      <c r="M57" s="209"/>
      <c r="N57" s="209"/>
      <c r="O57" s="209"/>
    </row>
  </sheetData>
  <sheetProtection password="8ABE" sheet="1" objects="1" scenarios="1"/>
  <mergeCells count="51">
    <mergeCell ref="E18:F19"/>
    <mergeCell ref="G18:J19"/>
    <mergeCell ref="K18:M19"/>
    <mergeCell ref="B42:O48"/>
    <mergeCell ref="B49:O51"/>
    <mergeCell ref="B27:O41"/>
    <mergeCell ref="T27:T30"/>
    <mergeCell ref="S27:S30"/>
    <mergeCell ref="B21:O26"/>
    <mergeCell ref="T47:U47"/>
    <mergeCell ref="R42:R43"/>
    <mergeCell ref="Q44:Q46"/>
    <mergeCell ref="S44:S46"/>
    <mergeCell ref="T44:U46"/>
    <mergeCell ref="Q40:Q43"/>
    <mergeCell ref="R40:R41"/>
    <mergeCell ref="S40:S43"/>
    <mergeCell ref="T40:U43"/>
    <mergeCell ref="Q48:Q49"/>
    <mergeCell ref="R48:R49"/>
    <mergeCell ref="S48:S49"/>
    <mergeCell ref="T48:U49"/>
    <mergeCell ref="U17:U30"/>
    <mergeCell ref="S23:S26"/>
    <mergeCell ref="T34:U34"/>
    <mergeCell ref="Q35:Q39"/>
    <mergeCell ref="R35:R39"/>
    <mergeCell ref="S35:S39"/>
    <mergeCell ref="T35:U39"/>
    <mergeCell ref="T17:T22"/>
    <mergeCell ref="S17:S22"/>
    <mergeCell ref="R17:R30"/>
    <mergeCell ref="Q17:Q30"/>
    <mergeCell ref="T23:T26"/>
    <mergeCell ref="U6:U9"/>
    <mergeCell ref="T6:T9"/>
    <mergeCell ref="T14:T16"/>
    <mergeCell ref="T10:T13"/>
    <mergeCell ref="U10:U16"/>
    <mergeCell ref="B3:O4"/>
    <mergeCell ref="S14:S16"/>
    <mergeCell ref="R6:R9"/>
    <mergeCell ref="S6:S9"/>
    <mergeCell ref="E17:F17"/>
    <mergeCell ref="G17:J17"/>
    <mergeCell ref="K17:M17"/>
    <mergeCell ref="B14:O15"/>
    <mergeCell ref="B5:O12"/>
    <mergeCell ref="Q6:Q16"/>
    <mergeCell ref="R10:R16"/>
    <mergeCell ref="S10:S13"/>
  </mergeCells>
  <hyperlinks>
    <hyperlink ref="T6:T9" location="PEICL_Calc_BarePump!A1" display="PEICL_Calc_BarePump: Tested Pump Efficiency of Bare Pump + Default Motor Efficiency + Default Motor Part Load Loss Curve"/>
    <hyperlink ref="T17:T22" location="'PEIVL_Calc_Pump+Motor+Control'!A1" display="'PEIVL_Calc_Pump+Motor+Control'!A1"/>
    <hyperlink ref="U17:U30" location="'PEIVL_Test_Pump+Motor+Control'!A1" display="'PEIVL_Test_Pump+Motor+Control'!A1"/>
    <hyperlink ref="T10:T13" location="'PEICL_Calc_Pump+Motor'!A1" display="'PEICL_Calc_Pump+Motor'!A1"/>
    <hyperlink ref="U10:U16" location="'PEICL_Test_Pump+Motor'!A1" display="'PEICL_Test_Pump+Motor'!A1"/>
  </hyperlink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T107"/>
  <sheetViews>
    <sheetView showGridLines="0" zoomScale="80" zoomScaleNormal="80" workbookViewId="0">
      <selection activeCell="B2" sqref="B2"/>
    </sheetView>
  </sheetViews>
  <sheetFormatPr defaultColWidth="8.85546875" defaultRowHeight="15" outlineLevelCol="1" x14ac:dyDescent="0.25"/>
  <cols>
    <col min="1" max="1" width="10.7109375" style="25" customWidth="1"/>
    <col min="2" max="2" width="14.5703125" style="25" customWidth="1"/>
    <col min="3" max="4" width="10.5703125" style="25" customWidth="1"/>
    <col min="5" max="5" width="8" style="25" customWidth="1"/>
    <col min="6" max="8" width="10.42578125" style="39" customWidth="1"/>
    <col min="9" max="9" width="10.28515625" style="39" customWidth="1"/>
    <col min="10" max="10" width="9.42578125" style="39" customWidth="1"/>
    <col min="11" max="11" width="11.28515625" style="39" customWidth="1"/>
    <col min="12" max="12" width="10.7109375" style="39" customWidth="1"/>
    <col min="13" max="15" width="11.7109375" style="39" customWidth="1"/>
    <col min="16" max="16" width="11.42578125" style="25" customWidth="1" outlineLevel="1"/>
    <col min="17" max="17" width="11.42578125" style="92" customWidth="1" outlineLevel="1"/>
    <col min="18" max="18" width="11.42578125" style="25" customWidth="1" outlineLevel="1"/>
    <col min="19" max="20" width="11.42578125" style="39" customWidth="1" outlineLevel="1"/>
    <col min="21" max="21" width="10.28515625" style="39" customWidth="1" outlineLevel="1"/>
    <col min="22" max="22" width="11" style="25" customWidth="1" outlineLevel="1"/>
    <col min="23" max="23" width="11.5703125" style="25" customWidth="1" outlineLevel="1"/>
    <col min="24" max="24" width="9.42578125" style="39" customWidth="1" outlineLevel="1"/>
    <col min="25" max="25" width="11.28515625" style="39" customWidth="1" outlineLevel="1"/>
    <col min="26" max="26" width="10.7109375" style="39" customWidth="1" outlineLevel="1"/>
    <col min="27" max="27" width="11" style="25" customWidth="1" outlineLevel="1"/>
    <col min="28" max="28" width="13.28515625" style="25" customWidth="1" outlineLevel="1"/>
    <col min="29" max="29" width="9.42578125" style="39" customWidth="1" outlineLevel="1"/>
    <col min="30" max="31" width="12" style="39" customWidth="1" outlineLevel="1"/>
    <col min="32" max="33" width="12" style="25" customWidth="1" outlineLevel="1"/>
    <col min="34" max="34" width="13.85546875" style="25" customWidth="1" outlineLevel="1"/>
    <col min="35" max="35" width="14" style="25" customWidth="1" outlineLevel="1"/>
    <col min="36" max="36" width="13.140625" style="25" customWidth="1" outlineLevel="1"/>
    <col min="37" max="37" width="12.85546875" style="25" customWidth="1" outlineLevel="1"/>
    <col min="38" max="40" width="13.140625" style="25" customWidth="1" outlineLevel="1"/>
    <col min="41" max="41" width="13.28515625" style="25" customWidth="1" outlineLevel="1"/>
    <col min="42" max="42" width="11.42578125" style="25" customWidth="1" outlineLevel="1"/>
    <col min="43" max="43" width="11" style="25" customWidth="1"/>
    <col min="44" max="44" width="11.7109375" style="25" customWidth="1"/>
    <col min="45" max="16384" width="8.85546875" style="25"/>
  </cols>
  <sheetData>
    <row r="1" spans="1:46" s="92" customFormat="1" ht="15.75" thickBot="1" x14ac:dyDescent="0.3">
      <c r="F1" s="39"/>
      <c r="G1" s="39"/>
      <c r="H1" s="39"/>
      <c r="I1" s="39"/>
      <c r="J1" s="39"/>
      <c r="K1" s="39"/>
      <c r="L1" s="39"/>
      <c r="M1" s="39"/>
      <c r="N1" s="39"/>
      <c r="O1" s="39"/>
      <c r="S1" s="39"/>
      <c r="T1" s="39"/>
      <c r="U1" s="39"/>
      <c r="X1" s="39"/>
      <c r="Y1" s="39"/>
      <c r="Z1" s="39"/>
      <c r="AC1" s="39"/>
      <c r="AD1" s="39"/>
      <c r="AE1" s="39"/>
    </row>
    <row r="2" spans="1:46" s="92" customFormat="1" ht="24" thickBot="1" x14ac:dyDescent="0.3">
      <c r="B2" s="227" t="s">
        <v>157</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9"/>
    </row>
    <row r="3" spans="1:46" s="92" customFormat="1" ht="19.5" customHeight="1" thickBot="1" x14ac:dyDescent="0.3">
      <c r="B3" s="487" t="s">
        <v>175</v>
      </c>
      <c r="C3" s="488"/>
      <c r="D3" s="488"/>
      <c r="E3" s="488"/>
      <c r="F3" s="488"/>
      <c r="G3" s="488"/>
      <c r="H3" s="488"/>
      <c r="I3" s="488"/>
      <c r="J3" s="488"/>
      <c r="K3" s="488"/>
      <c r="L3" s="488"/>
      <c r="M3" s="499" t="s">
        <v>7</v>
      </c>
      <c r="N3" s="500"/>
      <c r="O3" s="500"/>
      <c r="P3" s="258"/>
      <c r="Q3" s="256"/>
      <c r="S3" s="39"/>
      <c r="T3" s="39"/>
      <c r="U3" s="39"/>
      <c r="X3" s="39"/>
      <c r="Y3" s="39"/>
      <c r="Z3" s="39"/>
      <c r="AC3" s="39"/>
      <c r="AD3" s="39"/>
      <c r="AE3" s="39"/>
      <c r="AQ3" s="226"/>
      <c r="AR3" s="210"/>
      <c r="AS3" s="217"/>
    </row>
    <row r="4" spans="1:46" s="92" customFormat="1" ht="18.75" x14ac:dyDescent="0.25">
      <c r="B4" s="487"/>
      <c r="C4" s="488"/>
      <c r="D4" s="488"/>
      <c r="E4" s="488"/>
      <c r="F4" s="488"/>
      <c r="G4" s="488"/>
      <c r="H4" s="488"/>
      <c r="I4" s="488"/>
      <c r="J4" s="488"/>
      <c r="K4" s="488"/>
      <c r="L4" s="488"/>
      <c r="M4" s="501" t="s">
        <v>6</v>
      </c>
      <c r="N4" s="502"/>
      <c r="O4" s="502"/>
      <c r="P4" s="259"/>
      <c r="Q4" s="254"/>
      <c r="S4" s="39"/>
      <c r="T4" s="241"/>
      <c r="U4" s="39"/>
      <c r="X4" s="39"/>
      <c r="Y4" s="39"/>
      <c r="Z4" s="39"/>
      <c r="AC4" s="39"/>
      <c r="AD4" s="39"/>
      <c r="AE4" s="39"/>
      <c r="AQ4" s="81" t="s">
        <v>82</v>
      </c>
      <c r="AR4" s="79"/>
      <c r="AS4" s="74">
        <f>COUNTIF(AS10:AS1245,"FAIL")</f>
        <v>0</v>
      </c>
    </row>
    <row r="5" spans="1:46" s="92" customFormat="1" ht="37.5" customHeight="1" thickBot="1" x14ac:dyDescent="0.3">
      <c r="B5" s="489"/>
      <c r="C5" s="490"/>
      <c r="D5" s="490"/>
      <c r="E5" s="490"/>
      <c r="F5" s="490"/>
      <c r="G5" s="490"/>
      <c r="H5" s="490"/>
      <c r="I5" s="490"/>
      <c r="J5" s="490"/>
      <c r="K5" s="490"/>
      <c r="L5" s="490"/>
      <c r="M5" s="503" t="s">
        <v>8</v>
      </c>
      <c r="N5" s="504"/>
      <c r="O5" s="504"/>
      <c r="P5" s="260"/>
      <c r="Q5" s="257"/>
      <c r="S5" s="39"/>
      <c r="T5" s="39"/>
      <c r="U5" s="39"/>
      <c r="X5" s="39"/>
      <c r="Y5" s="39"/>
      <c r="Z5" s="39"/>
      <c r="AC5" s="39"/>
      <c r="AD5" s="39"/>
      <c r="AE5" s="39"/>
      <c r="AQ5" s="219" t="s">
        <v>83</v>
      </c>
      <c r="AR5" s="80"/>
      <c r="AS5" s="75">
        <f>AS4/COUNTA($A$10:$A$1245)</f>
        <v>0</v>
      </c>
    </row>
    <row r="6" spans="1:46" s="27" customFormat="1" ht="15.75" thickBot="1" x14ac:dyDescent="0.3">
      <c r="A6" s="28"/>
      <c r="B6" s="28"/>
      <c r="C6" s="28"/>
      <c r="D6" s="28"/>
      <c r="E6" s="29"/>
      <c r="F6" s="41"/>
      <c r="G6" s="41"/>
      <c r="H6" s="40"/>
      <c r="I6" s="40"/>
      <c r="J6" s="40"/>
      <c r="K6" s="40"/>
      <c r="L6" s="40"/>
      <c r="M6" s="40"/>
      <c r="N6" s="40"/>
      <c r="O6" s="40"/>
      <c r="P6" s="29"/>
      <c r="Q6" s="29"/>
      <c r="R6" s="29"/>
      <c r="S6" s="41"/>
      <c r="T6" s="41"/>
      <c r="U6" s="40"/>
      <c r="X6" s="40"/>
      <c r="Y6" s="40"/>
      <c r="Z6" s="40"/>
      <c r="AC6" s="40"/>
      <c r="AD6" s="40"/>
      <c r="AE6" s="40"/>
    </row>
    <row r="7" spans="1:46" s="35" customFormat="1" ht="19.5" customHeight="1" thickBot="1" x14ac:dyDescent="0.3">
      <c r="A7" s="494" t="s">
        <v>64</v>
      </c>
      <c r="B7" s="495"/>
      <c r="C7" s="495"/>
      <c r="D7" s="495"/>
      <c r="E7" s="495"/>
      <c r="F7" s="495"/>
      <c r="G7" s="495"/>
      <c r="H7" s="495"/>
      <c r="I7" s="495"/>
      <c r="J7" s="495"/>
      <c r="K7" s="495"/>
      <c r="L7" s="495"/>
      <c r="M7" s="495"/>
      <c r="N7" s="495"/>
      <c r="O7" s="495"/>
      <c r="P7" s="496" t="s">
        <v>36</v>
      </c>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498"/>
      <c r="AQ7" s="491" t="s">
        <v>80</v>
      </c>
      <c r="AR7" s="492"/>
      <c r="AS7" s="493"/>
    </row>
    <row r="8" spans="1:46" s="31" customFormat="1" ht="43.5" customHeight="1" thickBot="1" x14ac:dyDescent="0.3">
      <c r="A8" s="465" t="s">
        <v>23</v>
      </c>
      <c r="B8" s="466"/>
      <c r="C8" s="466"/>
      <c r="D8" s="466"/>
      <c r="E8" s="466"/>
      <c r="F8" s="467" t="s">
        <v>65</v>
      </c>
      <c r="G8" s="468"/>
      <c r="H8" s="468"/>
      <c r="I8" s="469"/>
      <c r="J8" s="470" t="s">
        <v>4</v>
      </c>
      <c r="K8" s="471"/>
      <c r="L8" s="472"/>
      <c r="M8" s="473" t="s">
        <v>5</v>
      </c>
      <c r="N8" s="474"/>
      <c r="O8" s="475"/>
      <c r="P8" s="479" t="s">
        <v>23</v>
      </c>
      <c r="Q8" s="480"/>
      <c r="R8" s="480"/>
      <c r="S8" s="481" t="s">
        <v>86</v>
      </c>
      <c r="T8" s="482"/>
      <c r="U8" s="482"/>
      <c r="V8" s="482"/>
      <c r="W8" s="482"/>
      <c r="X8" s="470" t="s">
        <v>61</v>
      </c>
      <c r="Y8" s="471"/>
      <c r="Z8" s="471"/>
      <c r="AA8" s="471"/>
      <c r="AB8" s="472"/>
      <c r="AC8" s="483" t="s">
        <v>62</v>
      </c>
      <c r="AD8" s="474"/>
      <c r="AE8" s="474"/>
      <c r="AF8" s="474"/>
      <c r="AG8" s="475"/>
      <c r="AH8" s="484" t="s">
        <v>37</v>
      </c>
      <c r="AI8" s="485"/>
      <c r="AJ8" s="486"/>
      <c r="AK8" s="476" t="s">
        <v>77</v>
      </c>
      <c r="AL8" s="477"/>
      <c r="AM8" s="477"/>
      <c r="AN8" s="477"/>
      <c r="AO8" s="477"/>
      <c r="AP8" s="478"/>
      <c r="AQ8" s="230" t="s">
        <v>156</v>
      </c>
      <c r="AR8" s="55" t="s">
        <v>134</v>
      </c>
      <c r="AS8" s="72"/>
    </row>
    <row r="9" spans="1:46" s="26" customFormat="1" ht="75" x14ac:dyDescent="0.25">
      <c r="A9" s="34" t="s">
        <v>1</v>
      </c>
      <c r="B9" s="32" t="s">
        <v>3</v>
      </c>
      <c r="C9" s="32" t="s">
        <v>33</v>
      </c>
      <c r="D9" s="32" t="s">
        <v>34</v>
      </c>
      <c r="E9" s="32" t="s">
        <v>178</v>
      </c>
      <c r="F9" s="43" t="s">
        <v>2</v>
      </c>
      <c r="G9" s="44" t="s">
        <v>35</v>
      </c>
      <c r="H9" s="44" t="s">
        <v>119</v>
      </c>
      <c r="I9" s="42" t="s">
        <v>163</v>
      </c>
      <c r="J9" s="43" t="s">
        <v>2</v>
      </c>
      <c r="K9" s="44" t="s">
        <v>35</v>
      </c>
      <c r="L9" s="42" t="s">
        <v>163</v>
      </c>
      <c r="M9" s="43" t="s">
        <v>2</v>
      </c>
      <c r="N9" s="44" t="s">
        <v>35</v>
      </c>
      <c r="O9" s="42" t="s">
        <v>163</v>
      </c>
      <c r="P9" s="50" t="s">
        <v>127</v>
      </c>
      <c r="Q9" s="83" t="s">
        <v>125</v>
      </c>
      <c r="R9" s="57" t="s">
        <v>126</v>
      </c>
      <c r="S9" s="58" t="s">
        <v>2</v>
      </c>
      <c r="T9" s="59" t="s">
        <v>35</v>
      </c>
      <c r="U9" s="42" t="s">
        <v>163</v>
      </c>
      <c r="V9" s="53" t="s">
        <v>117</v>
      </c>
      <c r="W9" s="54" t="s">
        <v>21</v>
      </c>
      <c r="X9" s="64" t="s">
        <v>2</v>
      </c>
      <c r="Y9" s="44" t="s">
        <v>35</v>
      </c>
      <c r="Z9" s="42" t="s">
        <v>163</v>
      </c>
      <c r="AA9" s="32" t="s">
        <v>117</v>
      </c>
      <c r="AB9" s="49" t="s">
        <v>21</v>
      </c>
      <c r="AC9" s="64" t="s">
        <v>2</v>
      </c>
      <c r="AD9" s="44" t="s">
        <v>35</v>
      </c>
      <c r="AE9" s="42" t="s">
        <v>163</v>
      </c>
      <c r="AF9" s="32" t="s">
        <v>117</v>
      </c>
      <c r="AG9" s="49" t="s">
        <v>21</v>
      </c>
      <c r="AH9" s="249" t="s">
        <v>54</v>
      </c>
      <c r="AI9" s="53" t="s">
        <v>179</v>
      </c>
      <c r="AJ9" s="54" t="s">
        <v>12</v>
      </c>
      <c r="AK9" s="242" t="s">
        <v>159</v>
      </c>
      <c r="AL9" s="232" t="s">
        <v>129</v>
      </c>
      <c r="AM9" s="232" t="s">
        <v>131</v>
      </c>
      <c r="AN9" s="232" t="s">
        <v>132</v>
      </c>
      <c r="AO9" s="232" t="s">
        <v>78</v>
      </c>
      <c r="AP9" s="233" t="s">
        <v>79</v>
      </c>
      <c r="AQ9" s="231" t="s">
        <v>52</v>
      </c>
      <c r="AR9" s="33" t="s">
        <v>53</v>
      </c>
      <c r="AS9" s="73" t="s">
        <v>81</v>
      </c>
    </row>
    <row r="10" spans="1:46" x14ac:dyDescent="0.25">
      <c r="A10" s="264" t="s">
        <v>55</v>
      </c>
      <c r="B10" s="265" t="s">
        <v>56</v>
      </c>
      <c r="C10" s="265" t="s">
        <v>38</v>
      </c>
      <c r="D10" s="265">
        <v>1</v>
      </c>
      <c r="E10" s="266">
        <v>1750</v>
      </c>
      <c r="F10" s="264">
        <v>940</v>
      </c>
      <c r="G10" s="266">
        <v>162.58000000000001</v>
      </c>
      <c r="H10" s="266">
        <v>77.86</v>
      </c>
      <c r="I10" s="267">
        <v>47.66</v>
      </c>
      <c r="J10" s="268">
        <v>705</v>
      </c>
      <c r="K10" s="269">
        <v>178.4</v>
      </c>
      <c r="L10" s="267">
        <v>40.158499999999997</v>
      </c>
      <c r="M10" s="268">
        <v>1034</v>
      </c>
      <c r="N10" s="266">
        <v>157.91</v>
      </c>
      <c r="O10" s="267">
        <v>50.653599999999997</v>
      </c>
      <c r="P10" s="51">
        <f t="shared" ref="P10:P73" si="0">IF(AND(E10&gt;=1440,E10&lt;=2160),4,IF(AND(E10&gt;=2880,E10&lt;=4320),2,""))</f>
        <v>4</v>
      </c>
      <c r="Q10" s="84">
        <f>IF(P10=4,1800,IF(P10=2,3600,""))</f>
        <v>1800</v>
      </c>
      <c r="R10" s="65">
        <f>IFERROR(Q10*S10^0.5/(T10/D10)^0.75,"")</f>
        <v>1178.4241552820752</v>
      </c>
      <c r="S10" s="56">
        <f>IFERROR(F10*(Q10/E10),"")</f>
        <v>966.85714285714278</v>
      </c>
      <c r="T10" s="45">
        <f>IFERROR(G10*(Q10/E10)^2,"")</f>
        <v>172.00300408163264</v>
      </c>
      <c r="U10" s="45">
        <f>IFERROR(I10*(Q10/E10)^3,"")</f>
        <v>51.862972827988322</v>
      </c>
      <c r="V10" s="45">
        <f>IFERROR(AK10*
(Assumptions!$S$7*(U10/AI10)^3+
Assumptions!$S$8*(U10/AI10)^2+
Assumptions!$S$9*(U10/AI10)+
Assumptions!$S$10),"")</f>
        <v>2.8562826294747126</v>
      </c>
      <c r="W10" s="96">
        <f>IFERROR(S10*T10*Assumptions!$B$15/3956,"")</f>
        <v>42.038001286454197</v>
      </c>
      <c r="X10" s="66">
        <f>IFERROR(J10*(Q10/E10),"")</f>
        <v>725.14285714285711</v>
      </c>
      <c r="Y10" s="95">
        <f>IFERROR(K10*(Q10/E10)^2,"")</f>
        <v>188.73991836734692</v>
      </c>
      <c r="Z10" s="45">
        <f>IFERROR(L10*(Q10/E10)^3,"")</f>
        <v>43.699941131195317</v>
      </c>
      <c r="AA10" s="45">
        <f>IFERROR(AK10*
(Assumptions!$S$7*(Z10/AI10)^3+
Assumptions!$S$8*(Z10/AI10)^2+
Assumptions!$S$9*(Z10/AI10)+
Assumptions!$S$10),"")</f>
        <v>2.5620056969163594</v>
      </c>
      <c r="AB10" s="96">
        <f>IFERROR(X10*Y10*Assumptions!$B$15/3956,"")</f>
        <v>34.596411441306259</v>
      </c>
      <c r="AC10" s="66">
        <f>IFERROR(M10*(Q10/E10),"")</f>
        <v>1063.542857142857</v>
      </c>
      <c r="AD10" s="95">
        <f>IFERROR(N10*(Q10/E10)^2,"")</f>
        <v>167.06233469387752</v>
      </c>
      <c r="AE10" s="45">
        <f>IFERROR(O10*(Q10/E10)^3,"")</f>
        <v>55.120568200583072</v>
      </c>
      <c r="AF10" s="45">
        <f>IFERROR(AK10*
(Assumptions!$S$7*(AE10/AI10)^3+
Assumptions!$S$8*(AE10/AI10)^2+
Assumptions!$S$9*(AE10/AI10)+
Assumptions!$S$10),"")</f>
        <v>2.9772356910756956</v>
      </c>
      <c r="AG10" s="96">
        <f>IFERROR(AC10*AD10*Assumptions!$B$15/3956,"")</f>
        <v>44.913537098403118</v>
      </c>
      <c r="AH10" s="94">
        <f t="shared" ref="AH10:AH41" si="1">IFERROR((1.2*S10-X10)*(AE10-Z10)/(AC10-X10)+Z10,"")</f>
        <v>58.383604506122438</v>
      </c>
      <c r="AI10" s="93">
        <f>IFERROR(
IF(C10="VTS",
INDEX(Assumptions!$I$38:$I$57,MATCH(AH10,Assumptions!$I$38:$I$57,-1)),
INDEX(Assumptions!$I$13:$I$32,MATCH(AH10,Assumptions!$I$13:$I$32,-1))),
"")</f>
        <v>60</v>
      </c>
      <c r="AJ10" s="96">
        <f>IFERROR(
IF(C10="VTS",
VLOOKUP(AI10,Assumptions!$I$38:$K$57,MATCH(P10,Assumptions!$I$37:$K$37,0),FALSE),
VLOOKUP(AI10,Assumptions!$I$13:$K$32,MATCH(P10,Assumptions!$I$12:$K$12,0),FALSE)),
"")</f>
        <v>95</v>
      </c>
      <c r="AK10" s="99">
        <f>IFERROR(AI10/(AJ10/100)-AI10,"")</f>
        <v>3.1578947368421098</v>
      </c>
      <c r="AL10" s="95">
        <f>IFERROR(AK10*
(Assumptions!$S$7*(W10/(AO10*Assumptions!$AB$9/100)/AI10)^3+
Assumptions!$S$8*(W10/(AO10*Assumptions!$AB$9/100)/AI10)^2+
Assumptions!$S$9*(W10/(AO10*Assumptions!$AB$9/100)/AI10)+
Assumptions!$S$10),"")</f>
        <v>2.9565320665308028</v>
      </c>
      <c r="AM10" s="95">
        <f>IFERROR(AK10*
(Assumptions!$S$7*(AB10/(AO10*Assumptions!$AB$8/100)/AI10)^3+
Assumptions!$S$8*(AB10/(AO10*Assumptions!$AB$8/100)/AI10)^2+
Assumptions!$S$9*(AB10/(AO10*Assumptions!$AB$8/100)/AI10)+
Assumptions!$S$10),"")</f>
        <v>2.6936447208860819</v>
      </c>
      <c r="AN10" s="95">
        <f>IFERROR(AK10*
(Assumptions!$S$7*(AG10/(AO10*Assumptions!$AB$10/100)/AI10)^3+
Assumptions!$S$8*(AG10/(AO10*Assumptions!$AB$10/100)/AI10)^2+
Assumptions!$S$9*(AG10/(AO10*Assumptions!$AB$10/100)/AI10)+
Assumptions!$S$10),"")</f>
        <v>3.1278853762089609</v>
      </c>
      <c r="AO10" s="95">
        <f>IFERROR(
Assumptions!$AD$8*LN(S10)^2+
Assumptions!$AE$8*LN(R10)*LN(S10)+
Assumptions!$AF$8*LN(R10)^2+
Assumptions!$AG$8*LN(S10)+
Assumptions!$AH$8*LN(R10)-
(IF(Q10=1800,
VLOOKUP(C10,Assumptions!$AA$13:$AC$17,3),
IF(Q10=3600,
VLOOKUP(C10,Assumptions!$AA$18:$AC$22,3),
""))+Assumptions!$AI$8),
"")</f>
        <v>77.04362710133546</v>
      </c>
      <c r="AP10" s="96">
        <f>IFERROR(
Assumptions!$D$11*(W10/(Assumptions!$AB$9*AO10/100)+AL10)+
Assumptions!$D$10*(AB10/(Assumptions!$AB$8*AO10/100)+AM10)+
Assumptions!$D$12*(AG10/(Assumptions!$AB$10*AO10/100)+AN10),
"")</f>
        <v>56.648025161159119</v>
      </c>
      <c r="AQ10" s="76">
        <f>IFERROR(
(U10+V10)*Assumptions!$D$11+
(Z10+AA10)*Assumptions!$D$10+
(AE10+AF10)*Assumptions!$D$12,
"")</f>
        <v>53.026335392411156</v>
      </c>
      <c r="AR10" s="77">
        <f>IFERROR(AQ10/AP10,"")</f>
        <v>0.93606679564831174</v>
      </c>
      <c r="AS10" s="68" t="str">
        <f>IF(AR10="","",IF(AR10&gt;1,"FAIL","PASS"))</f>
        <v>PASS</v>
      </c>
    </row>
    <row r="11" spans="1:46" x14ac:dyDescent="0.25">
      <c r="A11" s="264" t="s">
        <v>55</v>
      </c>
      <c r="B11" s="265" t="s">
        <v>56</v>
      </c>
      <c r="C11" s="265" t="s">
        <v>42</v>
      </c>
      <c r="D11" s="265">
        <v>9</v>
      </c>
      <c r="E11" s="266">
        <v>3450</v>
      </c>
      <c r="F11" s="268">
        <v>398.82512700000001</v>
      </c>
      <c r="G11" s="269">
        <v>382.44670789999998</v>
      </c>
      <c r="H11" s="269">
        <v>75.999724580000006</v>
      </c>
      <c r="I11" s="267">
        <v>50.681123607560444</v>
      </c>
      <c r="J11" s="268">
        <v>299.11884529999998</v>
      </c>
      <c r="K11" s="269">
        <v>407.43951769999899</v>
      </c>
      <c r="L11" s="267">
        <v>45.785506762607547</v>
      </c>
      <c r="M11" s="268">
        <v>438.70763979999998</v>
      </c>
      <c r="N11" s="269">
        <v>350.698454999999</v>
      </c>
      <c r="O11" s="267">
        <v>52.355394635508951</v>
      </c>
      <c r="P11" s="97">
        <f t="shared" si="0"/>
        <v>2</v>
      </c>
      <c r="Q11" s="84">
        <f t="shared" ref="Q11:Q74" si="2">IF(P11=4,1800,IF(P11=2,3600,""))</f>
        <v>3600</v>
      </c>
      <c r="R11" s="101">
        <f t="shared" ref="R11:R74" si="3">IFERROR(Q11*S11^0.5/(T11/D11)^0.75,"")</f>
        <v>4139.6539483994293</v>
      </c>
      <c r="S11" s="100">
        <f t="shared" ref="S11:S74" si="4">IFERROR(F11*(Q11/E11),"")</f>
        <v>416.16534991304349</v>
      </c>
      <c r="T11" s="95">
        <f t="shared" ref="T11:T74" si="5">IFERROR(G11*(Q11/E11)^2,"")</f>
        <v>416.42590501020788</v>
      </c>
      <c r="U11" s="95">
        <f t="shared" ref="U11:U74" si="6">IFERROR(I11*(Q11/E11)^3,"")</f>
        <v>57.583286985363323</v>
      </c>
      <c r="V11" s="95">
        <f>IFERROR(AK11*
(Assumptions!$S$7*(U11/AI11)^3+
Assumptions!$S$8*(U11/AI11)^2+
Assumptions!$S$9*(U11/AI11)+
Assumptions!$S$10),"")</f>
        <v>13.326244073806972</v>
      </c>
      <c r="W11" s="96">
        <f>IFERROR(S11*T11*Assumptions!$B$15/3956,"")</f>
        <v>43.80738940127123</v>
      </c>
      <c r="X11" s="102">
        <f t="shared" ref="X11:X74" si="7">IFERROR(J11*(Q11/E11),"")</f>
        <v>312.12401248695647</v>
      </c>
      <c r="Y11" s="95">
        <f t="shared" ref="Y11:Y74" si="8">IFERROR(K11*(Q11/E11)^2,"")</f>
        <v>443.63924800604804</v>
      </c>
      <c r="Z11" s="95">
        <f t="shared" ref="Z11:Z74" si="9">IFERROR(L11*(Q11/E11)^3,"")</f>
        <v>52.02094563049944</v>
      </c>
      <c r="AA11" s="95">
        <f>IFERROR(AK11*
(Assumptions!$S$7*(Z11/AI11)^3+
Assumptions!$S$8*(Z11/AI11)^2+
Assumptions!$S$9*(Z11/AI11)+
Assumptions!$S$10),"")</f>
        <v>12.548471268419307</v>
      </c>
      <c r="AB11" s="96">
        <f>IFERROR(X11*Y11*Assumptions!$B$15/3956,"")</f>
        <v>35.002644637093965</v>
      </c>
      <c r="AC11" s="102">
        <f t="shared" ref="AC11:AC74" si="10">IFERROR(M11*(Q11/E11),"")</f>
        <v>457.78188500869561</v>
      </c>
      <c r="AD11" s="95">
        <f t="shared" ref="AD11:AD74" si="11">IFERROR(N11*(Q11/E11)^2,"")</f>
        <v>381.85691886578337</v>
      </c>
      <c r="AE11" s="95">
        <f t="shared" ref="AE11:AE74" si="12">IFERROR(O11*(Q11/E11)^3,"")</f>
        <v>59.485573719181033</v>
      </c>
      <c r="AF11" s="95">
        <f>IFERROR(AK11*
(Assumptions!$S$7*(AE11/AI11)^3+
Assumptions!$S$8*(AE11/AI11)^2+
Assumptions!$S$9*(AE11/AI11)+
Assumptions!$S$10),"")</f>
        <v>13.601215963127048</v>
      </c>
      <c r="AG11" s="96">
        <f>IFERROR(AC11*AD11*Assumptions!$B$15/3956,"")</f>
        <v>44.187861507075546</v>
      </c>
      <c r="AH11" s="94">
        <f t="shared" si="1"/>
        <v>61.618324595549964</v>
      </c>
      <c r="AI11" s="93">
        <f>IFERROR(
IF(C11="VTS",
INDEX(Assumptions!$I$38:$I$57,MATCH(AH11,Assumptions!$I$38:$I$57,-1)),
INDEX(Assumptions!$I$13:$I$32,MATCH(AH11,Assumptions!$I$13:$I$32,-1))),
"")</f>
        <v>75</v>
      </c>
      <c r="AJ11" s="96">
        <f>IFERROR(
IF(C11="VTS",
VLOOKUP(AI11,Assumptions!$I$38:$K$57,MATCH(P11,Assumptions!$I$37:$K$37,0),FALSE),
VLOOKUP(AI11,Assumptions!$I$13:$K$32,MATCH(P11,Assumptions!$I$12:$K$12,0),FALSE)),
"")</f>
        <v>82.5</v>
      </c>
      <c r="AK11" s="99">
        <f t="shared" ref="AK11:AK74" si="13">IFERROR(AI11/(AJ11/100)-AI11,"")</f>
        <v>15.909090909090921</v>
      </c>
      <c r="AL11" s="95">
        <f>IFERROR(AK11*
(Assumptions!$S$7*(W11/(AO11*Assumptions!$AB$9/100)/AI11)^3+
Assumptions!$S$8*(W11/(AO11*Assumptions!$AB$9/100)/AI11)^2+
Assumptions!$S$9*(W11/(AO11*Assumptions!$AB$9/100)/AI11)+
Assumptions!$S$10),"")</f>
        <v>14.219513706326127</v>
      </c>
      <c r="AM11" s="95">
        <f>IFERROR(AK11*
(Assumptions!$S$7*(AB11/(AO11*Assumptions!$AB$8/100)/AI11)^3+
Assumptions!$S$8*(AB11/(AO11*Assumptions!$AB$8/100)/AI11)^2+
Assumptions!$S$9*(AB11/(AO11*Assumptions!$AB$8/100)/AI11)+
Assumptions!$S$10),"")</f>
        <v>12.783169281704616</v>
      </c>
      <c r="AN11" s="95">
        <f>IFERROR(AK11*
(Assumptions!$S$7*(AG11/(AO11*Assumptions!$AB$10/100)/AI11)^3+
Assumptions!$S$8*(AG11/(AO11*Assumptions!$AB$10/100)/AI11)^2+
Assumptions!$S$9*(AG11/(AO11*Assumptions!$AB$10/100)/AI11)+
Assumptions!$S$10),"")</f>
        <v>14.447598067315358</v>
      </c>
      <c r="AO11" s="95">
        <f>IFERROR(
Assumptions!$AD$8*LN(S11)^2+
Assumptions!$AE$8*LN(R11)*LN(S11)+
Assumptions!$AF$8*LN(R11)^2+
Assumptions!$AG$8*LN(S11)+
Assumptions!$AH$8*LN(R11)-
(IF(Q11=1800,
VLOOKUP(C11,Assumptions!$AA$13:$AC$17,3),
IF(Q11=3600,
VLOOKUP(C11,Assumptions!$AA$18:$AC$22,3),
""))+Assumptions!$AI$8),
"")</f>
        <v>68.786460281667814</v>
      </c>
      <c r="AP11" s="96">
        <f>IFERROR(
Assumptions!$D$11*(W11/(Assumptions!$AB$9*AO11/100)+AL11)+
Assumptions!$D$10*(AB11/(Assumptions!$AB$8*AO11/100)+AM11)+
Assumptions!$D$12*(AG11/(Assumptions!$AB$10*AO11/100)+AN11),
"")</f>
        <v>74.695879079374109</v>
      </c>
      <c r="AQ11" s="76">
        <f>IFERROR(
(U11+V11)*Assumptions!$D$11+
(Z11+AA11)*Assumptions!$D$10+
(AE11+AF11)*Assumptions!$D$12,
"")</f>
        <v>69.52191254679903</v>
      </c>
      <c r="AR11" s="104">
        <f t="shared" ref="AR11:AR74" si="14">IFERROR(AQ11/AP11,"")</f>
        <v>0.93073290526406327</v>
      </c>
      <c r="AS11" s="103" t="str">
        <f t="shared" ref="AS11:AS74" si="15">IF(AR11="","",IF(AR11&gt;1,"FAIL","PASS"))</f>
        <v>PASS</v>
      </c>
      <c r="AT11" s="92"/>
    </row>
    <row r="12" spans="1:46" x14ac:dyDescent="0.25">
      <c r="A12" s="264"/>
      <c r="B12" s="265"/>
      <c r="C12" s="265"/>
      <c r="D12" s="265"/>
      <c r="E12" s="266"/>
      <c r="F12" s="270"/>
      <c r="G12" s="271"/>
      <c r="H12" s="271"/>
      <c r="I12" s="272"/>
      <c r="J12" s="270"/>
      <c r="K12" s="271"/>
      <c r="L12" s="272"/>
      <c r="M12" s="270"/>
      <c r="N12" s="271"/>
      <c r="O12" s="267"/>
      <c r="P12" s="97" t="str">
        <f t="shared" si="0"/>
        <v/>
      </c>
      <c r="Q12" s="84" t="str">
        <f t="shared" si="2"/>
        <v/>
      </c>
      <c r="R12" s="101" t="str">
        <f t="shared" si="3"/>
        <v/>
      </c>
      <c r="S12" s="100" t="str">
        <f t="shared" si="4"/>
        <v/>
      </c>
      <c r="T12" s="95" t="str">
        <f t="shared" si="5"/>
        <v/>
      </c>
      <c r="U12" s="95" t="str">
        <f t="shared" si="6"/>
        <v/>
      </c>
      <c r="V12" s="95" t="str">
        <f>IFERROR(AK12*
(Assumptions!$S$7*(U12/AI12)^3+
Assumptions!$S$8*(U12/AI12)^2+
Assumptions!$S$9*(U12/AI12)+
Assumptions!$S$10),"")</f>
        <v/>
      </c>
      <c r="W12" s="96" t="str">
        <f>IFERROR(S12*T12*Assumptions!$B$15/3956,"")</f>
        <v/>
      </c>
      <c r="X12" s="102" t="str">
        <f t="shared" si="7"/>
        <v/>
      </c>
      <c r="Y12" s="95" t="str">
        <f t="shared" si="8"/>
        <v/>
      </c>
      <c r="Z12" s="95" t="str">
        <f t="shared" si="9"/>
        <v/>
      </c>
      <c r="AA12" s="95" t="str">
        <f>IFERROR(AK12*
(Assumptions!$S$7*(Z12/AI12)^3+
Assumptions!$S$8*(Z12/AI12)^2+
Assumptions!$S$9*(Z12/AI12)+
Assumptions!$S$10),"")</f>
        <v/>
      </c>
      <c r="AB12" s="96" t="str">
        <f>IFERROR(X12*Y12*Assumptions!$B$15/3956,"")</f>
        <v/>
      </c>
      <c r="AC12" s="102" t="str">
        <f t="shared" si="10"/>
        <v/>
      </c>
      <c r="AD12" s="95" t="str">
        <f t="shared" si="11"/>
        <v/>
      </c>
      <c r="AE12" s="95" t="str">
        <f t="shared" si="12"/>
        <v/>
      </c>
      <c r="AF12" s="95" t="str">
        <f>IFERROR(AK12*
(Assumptions!$S$7*(AE12/AI12)^3+
Assumptions!$S$8*(AE12/AI12)^2+
Assumptions!$S$9*(AE12/AI12)+
Assumptions!$S$10),"")</f>
        <v/>
      </c>
      <c r="AG12" s="96" t="str">
        <f>IFERROR(AC12*AD12*Assumptions!$B$15/3956,"")</f>
        <v/>
      </c>
      <c r="AH12" s="94" t="str">
        <f t="shared" si="1"/>
        <v/>
      </c>
      <c r="AI12" s="93" t="str">
        <f>IFERROR(
IF(C12="VTS",
INDEX(Assumptions!$I$38:$I$57,MATCH(AH12,Assumptions!$I$38:$I$57,-1)),
INDEX(Assumptions!$I$13:$I$32,MATCH(AH12,Assumptions!$I$13:$I$32,-1))),
"")</f>
        <v/>
      </c>
      <c r="AJ12" s="96" t="str">
        <f>IFERROR(
IF(C12="VTS",
VLOOKUP(AI12,Assumptions!$I$38:$K$57,MATCH(P12,Assumptions!$I$37:$K$37,0),FALSE),
VLOOKUP(AI12,Assumptions!$I$13:$K$32,MATCH(P12,Assumptions!$I$12:$K$12,0),FALSE)),
"")</f>
        <v/>
      </c>
      <c r="AK12" s="99" t="str">
        <f t="shared" si="13"/>
        <v/>
      </c>
      <c r="AL12" s="95" t="str">
        <f>IFERROR(AK12*
(Assumptions!$S$7*(W12/(AO12*Assumptions!$AB$9/100)/AI12)^3+
Assumptions!$S$8*(W12/(AO12*Assumptions!$AB$9/100)/AI12)^2+
Assumptions!$S$9*(W12/(AO12*Assumptions!$AB$9/100)/AI12)+
Assumptions!$S$10),"")</f>
        <v/>
      </c>
      <c r="AM12" s="95" t="str">
        <f>IFERROR(AK12*
(Assumptions!$S$7*(AB12/(AO12*Assumptions!$AB$8/100)/AI12)^3+
Assumptions!$S$8*(AB12/(AO12*Assumptions!$AB$8/100)/AI12)^2+
Assumptions!$S$9*(AB12/(AO12*Assumptions!$AB$8/100)/AI12)+
Assumptions!$S$10),"")</f>
        <v/>
      </c>
      <c r="AN12" s="95" t="str">
        <f>IFERROR(AK12*
(Assumptions!$S$7*(AG12/(AO12*Assumptions!$AB$10/100)/AI12)^3+
Assumptions!$S$8*(AG12/(AO12*Assumptions!$AB$10/100)/AI12)^2+
Assumptions!$S$9*(AG12/(AO12*Assumptions!$AB$10/100)/AI12)+
Assumptions!$S$10),"")</f>
        <v/>
      </c>
      <c r="AO12" s="95" t="str">
        <f>IFERROR(
Assumptions!$AD$8*LN(S12)^2+
Assumptions!$AE$8*LN(R12)*LN(S12)+
Assumptions!$AF$8*LN(R12)^2+
Assumptions!$AG$8*LN(S12)+
Assumptions!$AH$8*LN(R12)-
(IF(Q12=1800,
VLOOKUP(C12,Assumptions!$AA$13:$AC$17,3),
IF(Q12=3600,
VLOOKUP(C12,Assumptions!$AA$18:$AC$22,3),
""))+Assumptions!$AI$8),
"")</f>
        <v/>
      </c>
      <c r="AP12" s="96" t="str">
        <f>IFERROR(
Assumptions!$D$11*(W12/(Assumptions!$AB$9*AO12/100)+AL12)+
Assumptions!$D$10*(AB12/(Assumptions!$AB$8*AO12/100)+AM12)+
Assumptions!$D$12*(AG12/(Assumptions!$AB$10*AO12/100)+AN12),
"")</f>
        <v/>
      </c>
      <c r="AQ12" s="76" t="str">
        <f>IFERROR(
(U12+V12)*Assumptions!$D$11+
(Z12+AA12)*Assumptions!$D$10+
(AE12+AF12)*Assumptions!$D$12,
"")</f>
        <v/>
      </c>
      <c r="AR12" s="104" t="str">
        <f t="shared" si="14"/>
        <v/>
      </c>
      <c r="AS12" s="103" t="str">
        <f t="shared" si="15"/>
        <v/>
      </c>
      <c r="AT12" s="92"/>
    </row>
    <row r="13" spans="1:46" x14ac:dyDescent="0.25">
      <c r="A13" s="264"/>
      <c r="B13" s="265"/>
      <c r="C13" s="265"/>
      <c r="D13" s="265"/>
      <c r="E13" s="266"/>
      <c r="F13" s="270"/>
      <c r="G13" s="271"/>
      <c r="H13" s="271"/>
      <c r="I13" s="272"/>
      <c r="J13" s="270"/>
      <c r="K13" s="271"/>
      <c r="L13" s="272"/>
      <c r="M13" s="270"/>
      <c r="N13" s="271"/>
      <c r="O13" s="272"/>
      <c r="P13" s="97" t="str">
        <f t="shared" si="0"/>
        <v/>
      </c>
      <c r="Q13" s="84" t="str">
        <f t="shared" si="2"/>
        <v/>
      </c>
      <c r="R13" s="101" t="str">
        <f t="shared" si="3"/>
        <v/>
      </c>
      <c r="S13" s="100" t="str">
        <f t="shared" si="4"/>
        <v/>
      </c>
      <c r="T13" s="95" t="str">
        <f t="shared" si="5"/>
        <v/>
      </c>
      <c r="U13" s="95" t="str">
        <f t="shared" si="6"/>
        <v/>
      </c>
      <c r="V13" s="95" t="str">
        <f>IFERROR(AK13*
(Assumptions!$S$7*(U13/AI13)^3+
Assumptions!$S$8*(U13/AI13)^2+
Assumptions!$S$9*(U13/AI13)+
Assumptions!$S$10),"")</f>
        <v/>
      </c>
      <c r="W13" s="96" t="str">
        <f>IFERROR(S13*T13*Assumptions!$B$15/3956,"")</f>
        <v/>
      </c>
      <c r="X13" s="102" t="str">
        <f t="shared" si="7"/>
        <v/>
      </c>
      <c r="Y13" s="95" t="str">
        <f t="shared" si="8"/>
        <v/>
      </c>
      <c r="Z13" s="95" t="str">
        <f t="shared" si="9"/>
        <v/>
      </c>
      <c r="AA13" s="95" t="str">
        <f>IFERROR(AK13*
(Assumptions!$S$7*(Z13/AI13)^3+
Assumptions!$S$8*(Z13/AI13)^2+
Assumptions!$S$9*(Z13/AI13)+
Assumptions!$S$10),"")</f>
        <v/>
      </c>
      <c r="AB13" s="96" t="str">
        <f>IFERROR(X13*Y13*Assumptions!$B$15/3956,"")</f>
        <v/>
      </c>
      <c r="AC13" s="102" t="str">
        <f t="shared" si="10"/>
        <v/>
      </c>
      <c r="AD13" s="95" t="str">
        <f t="shared" si="11"/>
        <v/>
      </c>
      <c r="AE13" s="95" t="str">
        <f t="shared" si="12"/>
        <v/>
      </c>
      <c r="AF13" s="95" t="str">
        <f>IFERROR(AK13*
(Assumptions!$S$7*(AE13/AI13)^3+
Assumptions!$S$8*(AE13/AI13)^2+
Assumptions!$S$9*(AE13/AI13)+
Assumptions!$S$10),"")</f>
        <v/>
      </c>
      <c r="AG13" s="96" t="str">
        <f>IFERROR(AC13*AD13*Assumptions!$B$15/3956,"")</f>
        <v/>
      </c>
      <c r="AH13" s="94" t="str">
        <f t="shared" si="1"/>
        <v/>
      </c>
      <c r="AI13" s="93" t="str">
        <f>IFERROR(
IF(C13="VTS",
INDEX(Assumptions!$I$38:$I$57,MATCH(AH13,Assumptions!$I$38:$I$57,-1)),
INDEX(Assumptions!$I$13:$I$32,MATCH(AH13,Assumptions!$I$13:$I$32,-1))),
"")</f>
        <v/>
      </c>
      <c r="AJ13" s="96" t="str">
        <f>IFERROR(
IF(C13="VTS",
VLOOKUP(AI13,Assumptions!$I$38:$K$57,MATCH(P13,Assumptions!$I$37:$K$37,0),FALSE),
VLOOKUP(AI13,Assumptions!$I$13:$K$32,MATCH(P13,Assumptions!$I$12:$K$12,0),FALSE)),
"")</f>
        <v/>
      </c>
      <c r="AK13" s="99" t="str">
        <f t="shared" si="13"/>
        <v/>
      </c>
      <c r="AL13" s="95" t="str">
        <f>IFERROR(AK13*
(Assumptions!$S$7*(W13/(AO13*Assumptions!$AB$9/100)/AI13)^3+
Assumptions!$S$8*(W13/(AO13*Assumptions!$AB$9/100)/AI13)^2+
Assumptions!$S$9*(W13/(AO13*Assumptions!$AB$9/100)/AI13)+
Assumptions!$S$10),"")</f>
        <v/>
      </c>
      <c r="AM13" s="95" t="str">
        <f>IFERROR(AK13*
(Assumptions!$S$7*(AB13/(AO13*Assumptions!$AB$8/100)/AI13)^3+
Assumptions!$S$8*(AB13/(AO13*Assumptions!$AB$8/100)/AI13)^2+
Assumptions!$S$9*(AB13/(AO13*Assumptions!$AB$8/100)/AI13)+
Assumptions!$S$10),"")</f>
        <v/>
      </c>
      <c r="AN13" s="95" t="str">
        <f>IFERROR(AK13*
(Assumptions!$S$7*(AG13/(AO13*Assumptions!$AB$10/100)/AI13)^3+
Assumptions!$S$8*(AG13/(AO13*Assumptions!$AB$10/100)/AI13)^2+
Assumptions!$S$9*(AG13/(AO13*Assumptions!$AB$10/100)/AI13)+
Assumptions!$S$10),"")</f>
        <v/>
      </c>
      <c r="AO13" s="95" t="str">
        <f>IFERROR(
Assumptions!$AD$8*LN(S13)^2+
Assumptions!$AE$8*LN(R13)*LN(S13)+
Assumptions!$AF$8*LN(R13)^2+
Assumptions!$AG$8*LN(S13)+
Assumptions!$AH$8*LN(R13)-
(IF(Q13=1800,
VLOOKUP(C13,Assumptions!$AA$13:$AC$17,3),
IF(Q13=3600,
VLOOKUP(C13,Assumptions!$AA$18:$AC$22,3),
""))+Assumptions!$AI$8),
"")</f>
        <v/>
      </c>
      <c r="AP13" s="96" t="str">
        <f>IFERROR(
Assumptions!$D$11*(W13/(Assumptions!$AB$9*AO13/100)+AL13)+
Assumptions!$D$10*(AB13/(Assumptions!$AB$8*AO13/100)+AM13)+
Assumptions!$D$12*(AG13/(Assumptions!$AB$10*AO13/100)+AN13),
"")</f>
        <v/>
      </c>
      <c r="AQ13" s="76" t="str">
        <f>IFERROR(
(U13+V13)*Assumptions!$D$11+
(Z13+AA13)*Assumptions!$D$10+
(AE13+AF13)*Assumptions!$D$12,
"")</f>
        <v/>
      </c>
      <c r="AR13" s="104" t="str">
        <f t="shared" si="14"/>
        <v/>
      </c>
      <c r="AS13" s="103" t="str">
        <f t="shared" si="15"/>
        <v/>
      </c>
      <c r="AT13" s="92"/>
    </row>
    <row r="14" spans="1:46" x14ac:dyDescent="0.25">
      <c r="A14" s="264"/>
      <c r="B14" s="265"/>
      <c r="C14" s="265"/>
      <c r="D14" s="265"/>
      <c r="E14" s="266"/>
      <c r="F14" s="270"/>
      <c r="G14" s="271"/>
      <c r="H14" s="271"/>
      <c r="I14" s="272"/>
      <c r="J14" s="270"/>
      <c r="K14" s="271"/>
      <c r="L14" s="272"/>
      <c r="M14" s="270"/>
      <c r="N14" s="271"/>
      <c r="O14" s="272"/>
      <c r="P14" s="97" t="str">
        <f t="shared" si="0"/>
        <v/>
      </c>
      <c r="Q14" s="84" t="str">
        <f t="shared" si="2"/>
        <v/>
      </c>
      <c r="R14" s="101" t="str">
        <f t="shared" si="3"/>
        <v/>
      </c>
      <c r="S14" s="100" t="str">
        <f t="shared" si="4"/>
        <v/>
      </c>
      <c r="T14" s="95" t="str">
        <f t="shared" si="5"/>
        <v/>
      </c>
      <c r="U14" s="95" t="str">
        <f t="shared" si="6"/>
        <v/>
      </c>
      <c r="V14" s="95" t="str">
        <f>IFERROR(AK14*
(Assumptions!$S$7*(U14/AI14)^3+
Assumptions!$S$8*(U14/AI14)^2+
Assumptions!$S$9*(U14/AI14)+
Assumptions!$S$10),"")</f>
        <v/>
      </c>
      <c r="W14" s="96" t="str">
        <f>IFERROR(S14*T14*Assumptions!$B$15/3956,"")</f>
        <v/>
      </c>
      <c r="X14" s="102" t="str">
        <f t="shared" si="7"/>
        <v/>
      </c>
      <c r="Y14" s="95" t="str">
        <f t="shared" si="8"/>
        <v/>
      </c>
      <c r="Z14" s="95" t="str">
        <f t="shared" si="9"/>
        <v/>
      </c>
      <c r="AA14" s="95" t="str">
        <f>IFERROR(AK14*
(Assumptions!$S$7*(Z14/AI14)^3+
Assumptions!$S$8*(Z14/AI14)^2+
Assumptions!$S$9*(Z14/AI14)+
Assumptions!$S$10),"")</f>
        <v/>
      </c>
      <c r="AB14" s="96" t="str">
        <f>IFERROR(X14*Y14*Assumptions!$B$15/3956,"")</f>
        <v/>
      </c>
      <c r="AC14" s="102" t="str">
        <f t="shared" si="10"/>
        <v/>
      </c>
      <c r="AD14" s="95" t="str">
        <f t="shared" si="11"/>
        <v/>
      </c>
      <c r="AE14" s="95" t="str">
        <f t="shared" si="12"/>
        <v/>
      </c>
      <c r="AF14" s="95" t="str">
        <f>IFERROR(AK14*
(Assumptions!$S$7*(AE14/AI14)^3+
Assumptions!$S$8*(AE14/AI14)^2+
Assumptions!$S$9*(AE14/AI14)+
Assumptions!$S$10),"")</f>
        <v/>
      </c>
      <c r="AG14" s="96" t="str">
        <f>IFERROR(AC14*AD14*Assumptions!$B$15/3956,"")</f>
        <v/>
      </c>
      <c r="AH14" s="94" t="str">
        <f t="shared" si="1"/>
        <v/>
      </c>
      <c r="AI14" s="93" t="str">
        <f>IFERROR(
IF(C14="VTS",
INDEX(Assumptions!$I$38:$I$57,MATCH(AH14,Assumptions!$I$38:$I$57,-1)),
INDEX(Assumptions!$I$13:$I$32,MATCH(AH14,Assumptions!$I$13:$I$32,-1))),
"")</f>
        <v/>
      </c>
      <c r="AJ14" s="96" t="str">
        <f>IFERROR(
IF(C14="VTS",
VLOOKUP(AI14,Assumptions!$I$38:$K$57,MATCH(P14,Assumptions!$I$37:$K$37,0),FALSE),
VLOOKUP(AI14,Assumptions!$I$13:$K$32,MATCH(P14,Assumptions!$I$12:$K$12,0),FALSE)),
"")</f>
        <v/>
      </c>
      <c r="AK14" s="99" t="str">
        <f t="shared" si="13"/>
        <v/>
      </c>
      <c r="AL14" s="95" t="str">
        <f>IFERROR(AK14*
(Assumptions!$S$7*(W14/(AO14*Assumptions!$AB$9/100)/AI14)^3+
Assumptions!$S$8*(W14/(AO14*Assumptions!$AB$9/100)/AI14)^2+
Assumptions!$S$9*(W14/(AO14*Assumptions!$AB$9/100)/AI14)+
Assumptions!$S$10),"")</f>
        <v/>
      </c>
      <c r="AM14" s="95" t="str">
        <f>IFERROR(AK14*
(Assumptions!$S$7*(AB14/(AO14*Assumptions!$AB$8/100)/AI14)^3+
Assumptions!$S$8*(AB14/(AO14*Assumptions!$AB$8/100)/AI14)^2+
Assumptions!$S$9*(AB14/(AO14*Assumptions!$AB$8/100)/AI14)+
Assumptions!$S$10),"")</f>
        <v/>
      </c>
      <c r="AN14" s="95" t="str">
        <f>IFERROR(AK14*
(Assumptions!$S$7*(AG14/(AO14*Assumptions!$AB$10/100)/AI14)^3+
Assumptions!$S$8*(AG14/(AO14*Assumptions!$AB$10/100)/AI14)^2+
Assumptions!$S$9*(AG14/(AO14*Assumptions!$AB$10/100)/AI14)+
Assumptions!$S$10),"")</f>
        <v/>
      </c>
      <c r="AO14" s="95" t="str">
        <f>IFERROR(
Assumptions!$AD$8*LN(S14)^2+
Assumptions!$AE$8*LN(R14)*LN(S14)+
Assumptions!$AF$8*LN(R14)^2+
Assumptions!$AG$8*LN(S14)+
Assumptions!$AH$8*LN(R14)-
(IF(Q14=1800,
VLOOKUP(C14,Assumptions!$AA$13:$AC$17,3),
IF(Q14=3600,
VLOOKUP(C14,Assumptions!$AA$18:$AC$22,3),
""))+Assumptions!$AI$8),
"")</f>
        <v/>
      </c>
      <c r="AP14" s="96" t="str">
        <f>IFERROR(
Assumptions!$D$11*(W14/(Assumptions!$AB$9*AO14/100)+AL14)+
Assumptions!$D$10*(AB14/(Assumptions!$AB$8*AO14/100)+AM14)+
Assumptions!$D$12*(AG14/(Assumptions!$AB$10*AO14/100)+AN14),
"")</f>
        <v/>
      </c>
      <c r="AQ14" s="76" t="str">
        <f>IFERROR(
(U14+V14)*Assumptions!$D$11+
(Z14+AA14)*Assumptions!$D$10+
(AE14+AF14)*Assumptions!$D$12,
"")</f>
        <v/>
      </c>
      <c r="AR14" s="104" t="str">
        <f t="shared" si="14"/>
        <v/>
      </c>
      <c r="AS14" s="103" t="str">
        <f t="shared" si="15"/>
        <v/>
      </c>
      <c r="AT14" s="92"/>
    </row>
    <row r="15" spans="1:46" x14ac:dyDescent="0.25">
      <c r="A15" s="264"/>
      <c r="B15" s="265"/>
      <c r="C15" s="265"/>
      <c r="D15" s="265"/>
      <c r="E15" s="266"/>
      <c r="F15" s="270"/>
      <c r="G15" s="271"/>
      <c r="H15" s="271"/>
      <c r="I15" s="272"/>
      <c r="J15" s="270"/>
      <c r="K15" s="271"/>
      <c r="L15" s="272"/>
      <c r="M15" s="270"/>
      <c r="N15" s="271"/>
      <c r="O15" s="272"/>
      <c r="P15" s="97" t="str">
        <f t="shared" si="0"/>
        <v/>
      </c>
      <c r="Q15" s="84" t="str">
        <f t="shared" si="2"/>
        <v/>
      </c>
      <c r="R15" s="101" t="str">
        <f t="shared" si="3"/>
        <v/>
      </c>
      <c r="S15" s="100" t="str">
        <f t="shared" si="4"/>
        <v/>
      </c>
      <c r="T15" s="95" t="str">
        <f t="shared" si="5"/>
        <v/>
      </c>
      <c r="U15" s="95" t="str">
        <f t="shared" si="6"/>
        <v/>
      </c>
      <c r="V15" s="95" t="str">
        <f>IFERROR(AK15*
(Assumptions!$S$7*(U15/AI15)^3+
Assumptions!$S$8*(U15/AI15)^2+
Assumptions!$S$9*(U15/AI15)+
Assumptions!$S$10),"")</f>
        <v/>
      </c>
      <c r="W15" s="96" t="str">
        <f>IFERROR(S15*T15*Assumptions!$B$15/3956,"")</f>
        <v/>
      </c>
      <c r="X15" s="102" t="str">
        <f t="shared" si="7"/>
        <v/>
      </c>
      <c r="Y15" s="95" t="str">
        <f t="shared" si="8"/>
        <v/>
      </c>
      <c r="Z15" s="95" t="str">
        <f t="shared" si="9"/>
        <v/>
      </c>
      <c r="AA15" s="95" t="str">
        <f>IFERROR(AK15*
(Assumptions!$S$7*(Z15/AI15)^3+
Assumptions!$S$8*(Z15/AI15)^2+
Assumptions!$S$9*(Z15/AI15)+
Assumptions!$S$10),"")</f>
        <v/>
      </c>
      <c r="AB15" s="96" t="str">
        <f>IFERROR(X15*Y15*Assumptions!$B$15/3956,"")</f>
        <v/>
      </c>
      <c r="AC15" s="102" t="str">
        <f t="shared" si="10"/>
        <v/>
      </c>
      <c r="AD15" s="95" t="str">
        <f t="shared" si="11"/>
        <v/>
      </c>
      <c r="AE15" s="95" t="str">
        <f t="shared" si="12"/>
        <v/>
      </c>
      <c r="AF15" s="95" t="str">
        <f>IFERROR(AK15*
(Assumptions!$S$7*(AE15/AI15)^3+
Assumptions!$S$8*(AE15/AI15)^2+
Assumptions!$S$9*(AE15/AI15)+
Assumptions!$S$10),"")</f>
        <v/>
      </c>
      <c r="AG15" s="96" t="str">
        <f>IFERROR(AC15*AD15*Assumptions!$B$15/3956,"")</f>
        <v/>
      </c>
      <c r="AH15" s="94" t="str">
        <f t="shared" si="1"/>
        <v/>
      </c>
      <c r="AI15" s="93" t="str">
        <f>IFERROR(
IF(C15="VTS",
INDEX(Assumptions!$I$38:$I$57,MATCH(AH15,Assumptions!$I$38:$I$57,-1)),
INDEX(Assumptions!$I$13:$I$32,MATCH(AH15,Assumptions!$I$13:$I$32,-1))),
"")</f>
        <v/>
      </c>
      <c r="AJ15" s="96" t="str">
        <f>IFERROR(
IF(C15="VTS",
VLOOKUP(AI15,Assumptions!$I$38:$K$57,MATCH(P15,Assumptions!$I$37:$K$37,0),FALSE),
VLOOKUP(AI15,Assumptions!$I$13:$K$32,MATCH(P15,Assumptions!$I$12:$K$12,0),FALSE)),
"")</f>
        <v/>
      </c>
      <c r="AK15" s="99" t="str">
        <f t="shared" si="13"/>
        <v/>
      </c>
      <c r="AL15" s="95" t="str">
        <f>IFERROR(AK15*
(Assumptions!$S$7*(W15/(AO15*Assumptions!$AB$9/100)/AI15)^3+
Assumptions!$S$8*(W15/(AO15*Assumptions!$AB$9/100)/AI15)^2+
Assumptions!$S$9*(W15/(AO15*Assumptions!$AB$9/100)/AI15)+
Assumptions!$S$10),"")</f>
        <v/>
      </c>
      <c r="AM15" s="95" t="str">
        <f>IFERROR(AK15*
(Assumptions!$S$7*(AB15/(AO15*Assumptions!$AB$8/100)/AI15)^3+
Assumptions!$S$8*(AB15/(AO15*Assumptions!$AB$8/100)/AI15)^2+
Assumptions!$S$9*(AB15/(AO15*Assumptions!$AB$8/100)/AI15)+
Assumptions!$S$10),"")</f>
        <v/>
      </c>
      <c r="AN15" s="95" t="str">
        <f>IFERROR(AK15*
(Assumptions!$S$7*(AG15/(AO15*Assumptions!$AB$10/100)/AI15)^3+
Assumptions!$S$8*(AG15/(AO15*Assumptions!$AB$10/100)/AI15)^2+
Assumptions!$S$9*(AG15/(AO15*Assumptions!$AB$10/100)/AI15)+
Assumptions!$S$10),"")</f>
        <v/>
      </c>
      <c r="AO15" s="95" t="str">
        <f>IFERROR(
Assumptions!$AD$8*LN(S15)^2+
Assumptions!$AE$8*LN(R15)*LN(S15)+
Assumptions!$AF$8*LN(R15)^2+
Assumptions!$AG$8*LN(S15)+
Assumptions!$AH$8*LN(R15)-
(IF(Q15=1800,
VLOOKUP(C15,Assumptions!$AA$13:$AC$17,3),
IF(Q15=3600,
VLOOKUP(C15,Assumptions!$AA$18:$AC$22,3),
""))+Assumptions!$AI$8),
"")</f>
        <v/>
      </c>
      <c r="AP15" s="96" t="str">
        <f>IFERROR(
Assumptions!$D$11*(W15/(Assumptions!$AB$9*AO15/100)+AL15)+
Assumptions!$D$10*(AB15/(Assumptions!$AB$8*AO15/100)+AM15)+
Assumptions!$D$12*(AG15/(Assumptions!$AB$10*AO15/100)+AN15),
"")</f>
        <v/>
      </c>
      <c r="AQ15" s="76" t="str">
        <f>IFERROR(
(U15+V15)*Assumptions!$D$11+
(Z15+AA15)*Assumptions!$D$10+
(AE15+AF15)*Assumptions!$D$12,
"")</f>
        <v/>
      </c>
      <c r="AR15" s="104" t="str">
        <f t="shared" si="14"/>
        <v/>
      </c>
      <c r="AS15" s="103" t="str">
        <f t="shared" si="15"/>
        <v/>
      </c>
      <c r="AT15" s="92"/>
    </row>
    <row r="16" spans="1:46" x14ac:dyDescent="0.25">
      <c r="A16" s="264"/>
      <c r="B16" s="265"/>
      <c r="C16" s="265"/>
      <c r="D16" s="265"/>
      <c r="E16" s="266"/>
      <c r="F16" s="270"/>
      <c r="G16" s="271"/>
      <c r="H16" s="271"/>
      <c r="I16" s="272"/>
      <c r="J16" s="270"/>
      <c r="K16" s="271"/>
      <c r="L16" s="272"/>
      <c r="M16" s="270"/>
      <c r="N16" s="271"/>
      <c r="O16" s="272"/>
      <c r="P16" s="97" t="str">
        <f t="shared" si="0"/>
        <v/>
      </c>
      <c r="Q16" s="84" t="str">
        <f t="shared" si="2"/>
        <v/>
      </c>
      <c r="R16" s="101" t="str">
        <f t="shared" si="3"/>
        <v/>
      </c>
      <c r="S16" s="100" t="str">
        <f t="shared" si="4"/>
        <v/>
      </c>
      <c r="T16" s="95" t="str">
        <f t="shared" si="5"/>
        <v/>
      </c>
      <c r="U16" s="95" t="str">
        <f t="shared" si="6"/>
        <v/>
      </c>
      <c r="V16" s="95" t="str">
        <f>IFERROR(AK16*
(Assumptions!$S$7*(U16/AI16)^3+
Assumptions!$S$8*(U16/AI16)^2+
Assumptions!$S$9*(U16/AI16)+
Assumptions!$S$10),"")</f>
        <v/>
      </c>
      <c r="W16" s="96" t="str">
        <f>IFERROR(S16*T16*Assumptions!$B$15/3956,"")</f>
        <v/>
      </c>
      <c r="X16" s="102" t="str">
        <f t="shared" si="7"/>
        <v/>
      </c>
      <c r="Y16" s="95" t="str">
        <f t="shared" si="8"/>
        <v/>
      </c>
      <c r="Z16" s="95" t="str">
        <f t="shared" si="9"/>
        <v/>
      </c>
      <c r="AA16" s="95" t="str">
        <f>IFERROR(AK16*
(Assumptions!$S$7*(Z16/AI16)^3+
Assumptions!$S$8*(Z16/AI16)^2+
Assumptions!$S$9*(Z16/AI16)+
Assumptions!$S$10),"")</f>
        <v/>
      </c>
      <c r="AB16" s="96" t="str">
        <f>IFERROR(X16*Y16*Assumptions!$B$15/3956,"")</f>
        <v/>
      </c>
      <c r="AC16" s="102" t="str">
        <f t="shared" si="10"/>
        <v/>
      </c>
      <c r="AD16" s="95" t="str">
        <f t="shared" si="11"/>
        <v/>
      </c>
      <c r="AE16" s="95" t="str">
        <f t="shared" si="12"/>
        <v/>
      </c>
      <c r="AF16" s="95" t="str">
        <f>IFERROR(AK16*
(Assumptions!$S$7*(AE16/AI16)^3+
Assumptions!$S$8*(AE16/AI16)^2+
Assumptions!$S$9*(AE16/AI16)+
Assumptions!$S$10),"")</f>
        <v/>
      </c>
      <c r="AG16" s="96" t="str">
        <f>IFERROR(AC16*AD16*Assumptions!$B$15/3956,"")</f>
        <v/>
      </c>
      <c r="AH16" s="94" t="str">
        <f t="shared" si="1"/>
        <v/>
      </c>
      <c r="AI16" s="93" t="str">
        <f>IFERROR(
IF(C16="VTS",
INDEX(Assumptions!$I$38:$I$57,MATCH(AH16,Assumptions!$I$38:$I$57,-1)),
INDEX(Assumptions!$I$13:$I$32,MATCH(AH16,Assumptions!$I$13:$I$32,-1))),
"")</f>
        <v/>
      </c>
      <c r="AJ16" s="96" t="str">
        <f>IFERROR(
IF(C16="VTS",
VLOOKUP(AI16,Assumptions!$I$38:$K$57,MATCH(P16,Assumptions!$I$37:$K$37,0),FALSE),
VLOOKUP(AI16,Assumptions!$I$13:$K$32,MATCH(P16,Assumptions!$I$12:$K$12,0),FALSE)),
"")</f>
        <v/>
      </c>
      <c r="AK16" s="99" t="str">
        <f t="shared" si="13"/>
        <v/>
      </c>
      <c r="AL16" s="95" t="str">
        <f>IFERROR(AK16*
(Assumptions!$S$7*(W16/(AO16*Assumptions!$AB$9/100)/AI16)^3+
Assumptions!$S$8*(W16/(AO16*Assumptions!$AB$9/100)/AI16)^2+
Assumptions!$S$9*(W16/(AO16*Assumptions!$AB$9/100)/AI16)+
Assumptions!$S$10),"")</f>
        <v/>
      </c>
      <c r="AM16" s="95" t="str">
        <f>IFERROR(AK16*
(Assumptions!$S$7*(AB16/(AO16*Assumptions!$AB$8/100)/AI16)^3+
Assumptions!$S$8*(AB16/(AO16*Assumptions!$AB$8/100)/AI16)^2+
Assumptions!$S$9*(AB16/(AO16*Assumptions!$AB$8/100)/AI16)+
Assumptions!$S$10),"")</f>
        <v/>
      </c>
      <c r="AN16" s="95" t="str">
        <f>IFERROR(AK16*
(Assumptions!$S$7*(AG16/(AO16*Assumptions!$AB$10/100)/AI16)^3+
Assumptions!$S$8*(AG16/(AO16*Assumptions!$AB$10/100)/AI16)^2+
Assumptions!$S$9*(AG16/(AO16*Assumptions!$AB$10/100)/AI16)+
Assumptions!$S$10),"")</f>
        <v/>
      </c>
      <c r="AO16" s="95" t="str">
        <f>IFERROR(
Assumptions!$AD$8*LN(S16)^2+
Assumptions!$AE$8*LN(R16)*LN(S16)+
Assumptions!$AF$8*LN(R16)^2+
Assumptions!$AG$8*LN(S16)+
Assumptions!$AH$8*LN(R16)-
(IF(Q16=1800,
VLOOKUP(C16,Assumptions!$AA$13:$AC$17,3),
IF(Q16=3600,
VLOOKUP(C16,Assumptions!$AA$18:$AC$22,3),
""))+Assumptions!$AI$8),
"")</f>
        <v/>
      </c>
      <c r="AP16" s="96" t="str">
        <f>IFERROR(
Assumptions!$D$11*(W16/(Assumptions!$AB$9*AO16/100)+AL16)+
Assumptions!$D$10*(AB16/(Assumptions!$AB$8*AO16/100)+AM16)+
Assumptions!$D$12*(AG16/(Assumptions!$AB$10*AO16/100)+AN16),
"")</f>
        <v/>
      </c>
      <c r="AQ16" s="76" t="str">
        <f>IFERROR(
(U16+V16)*Assumptions!$D$11+
(Z16+AA16)*Assumptions!$D$10+
(AE16+AF16)*Assumptions!$D$12,
"")</f>
        <v/>
      </c>
      <c r="AR16" s="104" t="str">
        <f t="shared" si="14"/>
        <v/>
      </c>
      <c r="AS16" s="103" t="str">
        <f t="shared" si="15"/>
        <v/>
      </c>
      <c r="AT16" s="92"/>
    </row>
    <row r="17" spans="1:46" x14ac:dyDescent="0.25">
      <c r="A17" s="264"/>
      <c r="B17" s="265"/>
      <c r="C17" s="265"/>
      <c r="D17" s="265"/>
      <c r="E17" s="266"/>
      <c r="F17" s="270"/>
      <c r="G17" s="271"/>
      <c r="H17" s="271"/>
      <c r="I17" s="272"/>
      <c r="J17" s="270"/>
      <c r="K17" s="271"/>
      <c r="L17" s="272"/>
      <c r="M17" s="270"/>
      <c r="N17" s="271"/>
      <c r="O17" s="272"/>
      <c r="P17" s="97" t="str">
        <f t="shared" si="0"/>
        <v/>
      </c>
      <c r="Q17" s="84" t="str">
        <f t="shared" si="2"/>
        <v/>
      </c>
      <c r="R17" s="101" t="str">
        <f t="shared" si="3"/>
        <v/>
      </c>
      <c r="S17" s="100" t="str">
        <f t="shared" si="4"/>
        <v/>
      </c>
      <c r="T17" s="95" t="str">
        <f t="shared" si="5"/>
        <v/>
      </c>
      <c r="U17" s="95" t="str">
        <f t="shared" si="6"/>
        <v/>
      </c>
      <c r="V17" s="95" t="str">
        <f>IFERROR(AK17*
(Assumptions!$S$7*(U17/AI17)^3+
Assumptions!$S$8*(U17/AI17)^2+
Assumptions!$S$9*(U17/AI17)+
Assumptions!$S$10),"")</f>
        <v/>
      </c>
      <c r="W17" s="96" t="str">
        <f>IFERROR(S17*T17*Assumptions!$B$15/3956,"")</f>
        <v/>
      </c>
      <c r="X17" s="102" t="str">
        <f t="shared" si="7"/>
        <v/>
      </c>
      <c r="Y17" s="95" t="str">
        <f t="shared" si="8"/>
        <v/>
      </c>
      <c r="Z17" s="95" t="str">
        <f t="shared" si="9"/>
        <v/>
      </c>
      <c r="AA17" s="95" t="str">
        <f>IFERROR(AK17*
(Assumptions!$S$7*(Z17/AI17)^3+
Assumptions!$S$8*(Z17/AI17)^2+
Assumptions!$S$9*(Z17/AI17)+
Assumptions!$S$10),"")</f>
        <v/>
      </c>
      <c r="AB17" s="96" t="str">
        <f>IFERROR(X17*Y17*Assumptions!$B$15/3956,"")</f>
        <v/>
      </c>
      <c r="AC17" s="102" t="str">
        <f t="shared" si="10"/>
        <v/>
      </c>
      <c r="AD17" s="95" t="str">
        <f t="shared" si="11"/>
        <v/>
      </c>
      <c r="AE17" s="95" t="str">
        <f t="shared" si="12"/>
        <v/>
      </c>
      <c r="AF17" s="95" t="str">
        <f>IFERROR(AK17*
(Assumptions!$S$7*(AE17/AI17)^3+
Assumptions!$S$8*(AE17/AI17)^2+
Assumptions!$S$9*(AE17/AI17)+
Assumptions!$S$10),"")</f>
        <v/>
      </c>
      <c r="AG17" s="96" t="str">
        <f>IFERROR(AC17*AD17*Assumptions!$B$15/3956,"")</f>
        <v/>
      </c>
      <c r="AH17" s="94" t="str">
        <f t="shared" si="1"/>
        <v/>
      </c>
      <c r="AI17" s="93" t="str">
        <f>IFERROR(
IF(C17="VTS",
INDEX(Assumptions!$I$38:$I$57,MATCH(AH17,Assumptions!$I$38:$I$57,-1)),
INDEX(Assumptions!$I$13:$I$32,MATCH(AH17,Assumptions!$I$13:$I$32,-1))),
"")</f>
        <v/>
      </c>
      <c r="AJ17" s="96" t="str">
        <f>IFERROR(
IF(C17="VTS",
VLOOKUP(AI17,Assumptions!$I$38:$K$57,MATCH(P17,Assumptions!$I$37:$K$37,0),FALSE),
VLOOKUP(AI17,Assumptions!$I$13:$K$32,MATCH(P17,Assumptions!$I$12:$K$12,0),FALSE)),
"")</f>
        <v/>
      </c>
      <c r="AK17" s="99" t="str">
        <f t="shared" si="13"/>
        <v/>
      </c>
      <c r="AL17" s="95" t="str">
        <f>IFERROR(AK17*
(Assumptions!$S$7*(W17/(AO17*Assumptions!$AB$9/100)/AI17)^3+
Assumptions!$S$8*(W17/(AO17*Assumptions!$AB$9/100)/AI17)^2+
Assumptions!$S$9*(W17/(AO17*Assumptions!$AB$9/100)/AI17)+
Assumptions!$S$10),"")</f>
        <v/>
      </c>
      <c r="AM17" s="95" t="str">
        <f>IFERROR(AK17*
(Assumptions!$S$7*(AB17/(AO17*Assumptions!$AB$8/100)/AI17)^3+
Assumptions!$S$8*(AB17/(AO17*Assumptions!$AB$8/100)/AI17)^2+
Assumptions!$S$9*(AB17/(AO17*Assumptions!$AB$8/100)/AI17)+
Assumptions!$S$10),"")</f>
        <v/>
      </c>
      <c r="AN17" s="95" t="str">
        <f>IFERROR(AK17*
(Assumptions!$S$7*(AG17/(AO17*Assumptions!$AB$10/100)/AI17)^3+
Assumptions!$S$8*(AG17/(AO17*Assumptions!$AB$10/100)/AI17)^2+
Assumptions!$S$9*(AG17/(AO17*Assumptions!$AB$10/100)/AI17)+
Assumptions!$S$10),"")</f>
        <v/>
      </c>
      <c r="AO17" s="95" t="str">
        <f>IFERROR(
Assumptions!$AD$8*LN(S17)^2+
Assumptions!$AE$8*LN(R17)*LN(S17)+
Assumptions!$AF$8*LN(R17)^2+
Assumptions!$AG$8*LN(S17)+
Assumptions!$AH$8*LN(R17)-
(IF(Q17=1800,
VLOOKUP(C17,Assumptions!$AA$13:$AC$17,3),
IF(Q17=3600,
VLOOKUP(C17,Assumptions!$AA$18:$AC$22,3),
""))+Assumptions!$AI$8),
"")</f>
        <v/>
      </c>
      <c r="AP17" s="96" t="str">
        <f>IFERROR(
Assumptions!$D$11*(W17/(Assumptions!$AB$9*AO17/100)+AL17)+
Assumptions!$D$10*(AB17/(Assumptions!$AB$8*AO17/100)+AM17)+
Assumptions!$D$12*(AG17/(Assumptions!$AB$10*AO17/100)+AN17),
"")</f>
        <v/>
      </c>
      <c r="AQ17" s="76" t="str">
        <f>IFERROR(
(U17+V17)*Assumptions!$D$11+
(Z17+AA17)*Assumptions!$D$10+
(AE17+AF17)*Assumptions!$D$12,
"")</f>
        <v/>
      </c>
      <c r="AR17" s="104" t="str">
        <f t="shared" si="14"/>
        <v/>
      </c>
      <c r="AS17" s="103" t="str">
        <f t="shared" si="15"/>
        <v/>
      </c>
      <c r="AT17" s="92"/>
    </row>
    <row r="18" spans="1:46" x14ac:dyDescent="0.25">
      <c r="A18" s="264"/>
      <c r="B18" s="265"/>
      <c r="C18" s="265"/>
      <c r="D18" s="265"/>
      <c r="E18" s="266"/>
      <c r="F18" s="270"/>
      <c r="G18" s="271"/>
      <c r="H18" s="271"/>
      <c r="I18" s="272"/>
      <c r="J18" s="270"/>
      <c r="K18" s="271"/>
      <c r="L18" s="272"/>
      <c r="M18" s="270"/>
      <c r="N18" s="271"/>
      <c r="O18" s="272"/>
      <c r="P18" s="97" t="str">
        <f t="shared" si="0"/>
        <v/>
      </c>
      <c r="Q18" s="84" t="str">
        <f t="shared" si="2"/>
        <v/>
      </c>
      <c r="R18" s="101" t="str">
        <f t="shared" si="3"/>
        <v/>
      </c>
      <c r="S18" s="100" t="str">
        <f t="shared" si="4"/>
        <v/>
      </c>
      <c r="T18" s="95" t="str">
        <f t="shared" si="5"/>
        <v/>
      </c>
      <c r="U18" s="95" t="str">
        <f t="shared" si="6"/>
        <v/>
      </c>
      <c r="V18" s="95" t="str">
        <f>IFERROR(AK18*
(Assumptions!$S$7*(U18/AI18)^3+
Assumptions!$S$8*(U18/AI18)^2+
Assumptions!$S$9*(U18/AI18)+
Assumptions!$S$10),"")</f>
        <v/>
      </c>
      <c r="W18" s="96" t="str">
        <f>IFERROR(S18*T18*Assumptions!$B$15/3956,"")</f>
        <v/>
      </c>
      <c r="X18" s="102" t="str">
        <f t="shared" si="7"/>
        <v/>
      </c>
      <c r="Y18" s="95" t="str">
        <f t="shared" si="8"/>
        <v/>
      </c>
      <c r="Z18" s="95" t="str">
        <f t="shared" si="9"/>
        <v/>
      </c>
      <c r="AA18" s="95" t="str">
        <f>IFERROR(AK18*
(Assumptions!$S$7*(Z18/AI18)^3+
Assumptions!$S$8*(Z18/AI18)^2+
Assumptions!$S$9*(Z18/AI18)+
Assumptions!$S$10),"")</f>
        <v/>
      </c>
      <c r="AB18" s="96" t="str">
        <f>IFERROR(X18*Y18*Assumptions!$B$15/3956,"")</f>
        <v/>
      </c>
      <c r="AC18" s="102" t="str">
        <f t="shared" si="10"/>
        <v/>
      </c>
      <c r="AD18" s="95" t="str">
        <f t="shared" si="11"/>
        <v/>
      </c>
      <c r="AE18" s="95" t="str">
        <f t="shared" si="12"/>
        <v/>
      </c>
      <c r="AF18" s="95" t="str">
        <f>IFERROR(AK18*
(Assumptions!$S$7*(AE18/AI18)^3+
Assumptions!$S$8*(AE18/AI18)^2+
Assumptions!$S$9*(AE18/AI18)+
Assumptions!$S$10),"")</f>
        <v/>
      </c>
      <c r="AG18" s="96" t="str">
        <f>IFERROR(AC18*AD18*Assumptions!$B$15/3956,"")</f>
        <v/>
      </c>
      <c r="AH18" s="94" t="str">
        <f t="shared" si="1"/>
        <v/>
      </c>
      <c r="AI18" s="93" t="str">
        <f>IFERROR(
IF(C18="VTS",
INDEX(Assumptions!$I$38:$I$57,MATCH(AH18,Assumptions!$I$38:$I$57,-1)),
INDEX(Assumptions!$I$13:$I$32,MATCH(AH18,Assumptions!$I$13:$I$32,-1))),
"")</f>
        <v/>
      </c>
      <c r="AJ18" s="96" t="str">
        <f>IFERROR(
IF(C18="VTS",
VLOOKUP(AI18,Assumptions!$I$38:$K$57,MATCH(P18,Assumptions!$I$37:$K$37,0),FALSE),
VLOOKUP(AI18,Assumptions!$I$13:$K$32,MATCH(P18,Assumptions!$I$12:$K$12,0),FALSE)),
"")</f>
        <v/>
      </c>
      <c r="AK18" s="99" t="str">
        <f t="shared" si="13"/>
        <v/>
      </c>
      <c r="AL18" s="95" t="str">
        <f>IFERROR(AK18*
(Assumptions!$S$7*(W18/(AO18*Assumptions!$AB$9/100)/AI18)^3+
Assumptions!$S$8*(W18/(AO18*Assumptions!$AB$9/100)/AI18)^2+
Assumptions!$S$9*(W18/(AO18*Assumptions!$AB$9/100)/AI18)+
Assumptions!$S$10),"")</f>
        <v/>
      </c>
      <c r="AM18" s="95" t="str">
        <f>IFERROR(AK18*
(Assumptions!$S$7*(AB18/(AO18*Assumptions!$AB$8/100)/AI18)^3+
Assumptions!$S$8*(AB18/(AO18*Assumptions!$AB$8/100)/AI18)^2+
Assumptions!$S$9*(AB18/(AO18*Assumptions!$AB$8/100)/AI18)+
Assumptions!$S$10),"")</f>
        <v/>
      </c>
      <c r="AN18" s="95" t="str">
        <f>IFERROR(AK18*
(Assumptions!$S$7*(AG18/(AO18*Assumptions!$AB$10/100)/AI18)^3+
Assumptions!$S$8*(AG18/(AO18*Assumptions!$AB$10/100)/AI18)^2+
Assumptions!$S$9*(AG18/(AO18*Assumptions!$AB$10/100)/AI18)+
Assumptions!$S$10),"")</f>
        <v/>
      </c>
      <c r="AO18" s="95" t="str">
        <f>IFERROR(
Assumptions!$AD$8*LN(S18)^2+
Assumptions!$AE$8*LN(R18)*LN(S18)+
Assumptions!$AF$8*LN(R18)^2+
Assumptions!$AG$8*LN(S18)+
Assumptions!$AH$8*LN(R18)-
(IF(Q18=1800,
VLOOKUP(C18,Assumptions!$AA$13:$AC$17,3),
IF(Q18=3600,
VLOOKUP(C18,Assumptions!$AA$18:$AC$22,3),
""))+Assumptions!$AI$8),
"")</f>
        <v/>
      </c>
      <c r="AP18" s="96" t="str">
        <f>IFERROR(
Assumptions!$D$11*(W18/(Assumptions!$AB$9*AO18/100)+AL18)+
Assumptions!$D$10*(AB18/(Assumptions!$AB$8*AO18/100)+AM18)+
Assumptions!$D$12*(AG18/(Assumptions!$AB$10*AO18/100)+AN18),
"")</f>
        <v/>
      </c>
      <c r="AQ18" s="76" t="str">
        <f>IFERROR(
(U18+V18)*Assumptions!$D$11+
(Z18+AA18)*Assumptions!$D$10+
(AE18+AF18)*Assumptions!$D$12,
"")</f>
        <v/>
      </c>
      <c r="AR18" s="104" t="str">
        <f t="shared" si="14"/>
        <v/>
      </c>
      <c r="AS18" s="103" t="str">
        <f t="shared" si="15"/>
        <v/>
      </c>
      <c r="AT18" s="92"/>
    </row>
    <row r="19" spans="1:46" x14ac:dyDescent="0.25">
      <c r="A19" s="264"/>
      <c r="B19" s="265"/>
      <c r="C19" s="265"/>
      <c r="D19" s="265"/>
      <c r="E19" s="266"/>
      <c r="F19" s="270"/>
      <c r="G19" s="271"/>
      <c r="H19" s="271"/>
      <c r="I19" s="272"/>
      <c r="J19" s="270"/>
      <c r="K19" s="271"/>
      <c r="L19" s="272"/>
      <c r="M19" s="270"/>
      <c r="N19" s="271"/>
      <c r="O19" s="272"/>
      <c r="P19" s="97" t="str">
        <f t="shared" si="0"/>
        <v/>
      </c>
      <c r="Q19" s="84" t="str">
        <f t="shared" si="2"/>
        <v/>
      </c>
      <c r="R19" s="101" t="str">
        <f t="shared" si="3"/>
        <v/>
      </c>
      <c r="S19" s="100" t="str">
        <f t="shared" si="4"/>
        <v/>
      </c>
      <c r="T19" s="95" t="str">
        <f t="shared" si="5"/>
        <v/>
      </c>
      <c r="U19" s="95" t="str">
        <f t="shared" si="6"/>
        <v/>
      </c>
      <c r="V19" s="95" t="str">
        <f>IFERROR(AK19*
(Assumptions!$S$7*(U19/AI19)^3+
Assumptions!$S$8*(U19/AI19)^2+
Assumptions!$S$9*(U19/AI19)+
Assumptions!$S$10),"")</f>
        <v/>
      </c>
      <c r="W19" s="96" t="str">
        <f>IFERROR(S19*T19*Assumptions!$B$15/3956,"")</f>
        <v/>
      </c>
      <c r="X19" s="102" t="str">
        <f t="shared" si="7"/>
        <v/>
      </c>
      <c r="Y19" s="95" t="str">
        <f t="shared" si="8"/>
        <v/>
      </c>
      <c r="Z19" s="95" t="str">
        <f t="shared" si="9"/>
        <v/>
      </c>
      <c r="AA19" s="95" t="str">
        <f>IFERROR(AK19*
(Assumptions!$S$7*(Z19/AI19)^3+
Assumptions!$S$8*(Z19/AI19)^2+
Assumptions!$S$9*(Z19/AI19)+
Assumptions!$S$10),"")</f>
        <v/>
      </c>
      <c r="AB19" s="96" t="str">
        <f>IFERROR(X19*Y19*Assumptions!$B$15/3956,"")</f>
        <v/>
      </c>
      <c r="AC19" s="102" t="str">
        <f t="shared" si="10"/>
        <v/>
      </c>
      <c r="AD19" s="95" t="str">
        <f t="shared" si="11"/>
        <v/>
      </c>
      <c r="AE19" s="95" t="str">
        <f t="shared" si="12"/>
        <v/>
      </c>
      <c r="AF19" s="95" t="str">
        <f>IFERROR(AK19*
(Assumptions!$S$7*(AE19/AI19)^3+
Assumptions!$S$8*(AE19/AI19)^2+
Assumptions!$S$9*(AE19/AI19)+
Assumptions!$S$10),"")</f>
        <v/>
      </c>
      <c r="AG19" s="96" t="str">
        <f>IFERROR(AC19*AD19*Assumptions!$B$15/3956,"")</f>
        <v/>
      </c>
      <c r="AH19" s="94" t="str">
        <f t="shared" si="1"/>
        <v/>
      </c>
      <c r="AI19" s="93" t="str">
        <f>IFERROR(
IF(C19="VTS",
INDEX(Assumptions!$I$38:$I$57,MATCH(AH19,Assumptions!$I$38:$I$57,-1)),
INDEX(Assumptions!$I$13:$I$32,MATCH(AH19,Assumptions!$I$13:$I$32,-1))),
"")</f>
        <v/>
      </c>
      <c r="AJ19" s="96" t="str">
        <f>IFERROR(
IF(C19="VTS",
VLOOKUP(AI19,Assumptions!$I$38:$K$57,MATCH(P19,Assumptions!$I$37:$K$37,0),FALSE),
VLOOKUP(AI19,Assumptions!$I$13:$K$32,MATCH(P19,Assumptions!$I$12:$K$12,0),FALSE)),
"")</f>
        <v/>
      </c>
      <c r="AK19" s="99" t="str">
        <f t="shared" si="13"/>
        <v/>
      </c>
      <c r="AL19" s="95" t="str">
        <f>IFERROR(AK19*
(Assumptions!$S$7*(W19/(AO19*Assumptions!$AB$9/100)/AI19)^3+
Assumptions!$S$8*(W19/(AO19*Assumptions!$AB$9/100)/AI19)^2+
Assumptions!$S$9*(W19/(AO19*Assumptions!$AB$9/100)/AI19)+
Assumptions!$S$10),"")</f>
        <v/>
      </c>
      <c r="AM19" s="95" t="str">
        <f>IFERROR(AK19*
(Assumptions!$S$7*(AB19/(AO19*Assumptions!$AB$8/100)/AI19)^3+
Assumptions!$S$8*(AB19/(AO19*Assumptions!$AB$8/100)/AI19)^2+
Assumptions!$S$9*(AB19/(AO19*Assumptions!$AB$8/100)/AI19)+
Assumptions!$S$10),"")</f>
        <v/>
      </c>
      <c r="AN19" s="95" t="str">
        <f>IFERROR(AK19*
(Assumptions!$S$7*(AG19/(AO19*Assumptions!$AB$10/100)/AI19)^3+
Assumptions!$S$8*(AG19/(AO19*Assumptions!$AB$10/100)/AI19)^2+
Assumptions!$S$9*(AG19/(AO19*Assumptions!$AB$10/100)/AI19)+
Assumptions!$S$10),"")</f>
        <v/>
      </c>
      <c r="AO19" s="95" t="str">
        <f>IFERROR(
Assumptions!$AD$8*LN(S19)^2+
Assumptions!$AE$8*LN(R19)*LN(S19)+
Assumptions!$AF$8*LN(R19)^2+
Assumptions!$AG$8*LN(S19)+
Assumptions!$AH$8*LN(R19)-
(IF(Q19=1800,
VLOOKUP(C19,Assumptions!$AA$13:$AC$17,3),
IF(Q19=3600,
VLOOKUP(C19,Assumptions!$AA$18:$AC$22,3),
""))+Assumptions!$AI$8),
"")</f>
        <v/>
      </c>
      <c r="AP19" s="96" t="str">
        <f>IFERROR(
Assumptions!$D$11*(W19/(Assumptions!$AB$9*AO19/100)+AL19)+
Assumptions!$D$10*(AB19/(Assumptions!$AB$8*AO19/100)+AM19)+
Assumptions!$D$12*(AG19/(Assumptions!$AB$10*AO19/100)+AN19),
"")</f>
        <v/>
      </c>
      <c r="AQ19" s="76" t="str">
        <f>IFERROR(
(U19+V19)*Assumptions!$D$11+
(Z19+AA19)*Assumptions!$D$10+
(AE19+AF19)*Assumptions!$D$12,
"")</f>
        <v/>
      </c>
      <c r="AR19" s="104" t="str">
        <f t="shared" si="14"/>
        <v/>
      </c>
      <c r="AS19" s="103" t="str">
        <f t="shared" si="15"/>
        <v/>
      </c>
      <c r="AT19" s="92"/>
    </row>
    <row r="20" spans="1:46" x14ac:dyDescent="0.25">
      <c r="A20" s="264"/>
      <c r="B20" s="265"/>
      <c r="C20" s="265"/>
      <c r="D20" s="265"/>
      <c r="E20" s="266"/>
      <c r="F20" s="270"/>
      <c r="G20" s="271"/>
      <c r="H20" s="271"/>
      <c r="I20" s="272"/>
      <c r="J20" s="270"/>
      <c r="K20" s="271"/>
      <c r="L20" s="272"/>
      <c r="M20" s="270"/>
      <c r="N20" s="271"/>
      <c r="O20" s="272"/>
      <c r="P20" s="97" t="str">
        <f t="shared" si="0"/>
        <v/>
      </c>
      <c r="Q20" s="84" t="str">
        <f t="shared" si="2"/>
        <v/>
      </c>
      <c r="R20" s="101" t="str">
        <f t="shared" si="3"/>
        <v/>
      </c>
      <c r="S20" s="100" t="str">
        <f t="shared" si="4"/>
        <v/>
      </c>
      <c r="T20" s="95" t="str">
        <f t="shared" si="5"/>
        <v/>
      </c>
      <c r="U20" s="95" t="str">
        <f t="shared" si="6"/>
        <v/>
      </c>
      <c r="V20" s="95" t="str">
        <f>IFERROR(AK20*
(Assumptions!$S$7*(U20/AI20)^3+
Assumptions!$S$8*(U20/AI20)^2+
Assumptions!$S$9*(U20/AI20)+
Assumptions!$S$10),"")</f>
        <v/>
      </c>
      <c r="W20" s="96" t="str">
        <f>IFERROR(S20*T20*Assumptions!$B$15/3956,"")</f>
        <v/>
      </c>
      <c r="X20" s="102" t="str">
        <f t="shared" si="7"/>
        <v/>
      </c>
      <c r="Y20" s="95" t="str">
        <f t="shared" si="8"/>
        <v/>
      </c>
      <c r="Z20" s="95" t="str">
        <f t="shared" si="9"/>
        <v/>
      </c>
      <c r="AA20" s="95" t="str">
        <f>IFERROR(AK20*
(Assumptions!$S$7*(Z20/AI20)^3+
Assumptions!$S$8*(Z20/AI20)^2+
Assumptions!$S$9*(Z20/AI20)+
Assumptions!$S$10),"")</f>
        <v/>
      </c>
      <c r="AB20" s="96" t="str">
        <f>IFERROR(X20*Y20*Assumptions!$B$15/3956,"")</f>
        <v/>
      </c>
      <c r="AC20" s="102" t="str">
        <f t="shared" si="10"/>
        <v/>
      </c>
      <c r="AD20" s="95" t="str">
        <f t="shared" si="11"/>
        <v/>
      </c>
      <c r="AE20" s="95" t="str">
        <f t="shared" si="12"/>
        <v/>
      </c>
      <c r="AF20" s="95" t="str">
        <f>IFERROR(AK20*
(Assumptions!$S$7*(AE20/AI20)^3+
Assumptions!$S$8*(AE20/AI20)^2+
Assumptions!$S$9*(AE20/AI20)+
Assumptions!$S$10),"")</f>
        <v/>
      </c>
      <c r="AG20" s="96" t="str">
        <f>IFERROR(AC20*AD20*Assumptions!$B$15/3956,"")</f>
        <v/>
      </c>
      <c r="AH20" s="94" t="str">
        <f t="shared" si="1"/>
        <v/>
      </c>
      <c r="AI20" s="93" t="str">
        <f>IFERROR(
IF(C20="VTS",
INDEX(Assumptions!$I$38:$I$57,MATCH(AH20,Assumptions!$I$38:$I$57,-1)),
INDEX(Assumptions!$I$13:$I$32,MATCH(AH20,Assumptions!$I$13:$I$32,-1))),
"")</f>
        <v/>
      </c>
      <c r="AJ20" s="96" t="str">
        <f>IFERROR(
IF(C20="VTS",
VLOOKUP(AI20,Assumptions!$I$38:$K$57,MATCH(P20,Assumptions!$I$37:$K$37,0),FALSE),
VLOOKUP(AI20,Assumptions!$I$13:$K$32,MATCH(P20,Assumptions!$I$12:$K$12,0),FALSE)),
"")</f>
        <v/>
      </c>
      <c r="AK20" s="99" t="str">
        <f t="shared" si="13"/>
        <v/>
      </c>
      <c r="AL20" s="95" t="str">
        <f>IFERROR(AK20*
(Assumptions!$S$7*(W20/(AO20*Assumptions!$AB$9/100)/AI20)^3+
Assumptions!$S$8*(W20/(AO20*Assumptions!$AB$9/100)/AI20)^2+
Assumptions!$S$9*(W20/(AO20*Assumptions!$AB$9/100)/AI20)+
Assumptions!$S$10),"")</f>
        <v/>
      </c>
      <c r="AM20" s="95" t="str">
        <f>IFERROR(AK20*
(Assumptions!$S$7*(AB20/(AO20*Assumptions!$AB$8/100)/AI20)^3+
Assumptions!$S$8*(AB20/(AO20*Assumptions!$AB$8/100)/AI20)^2+
Assumptions!$S$9*(AB20/(AO20*Assumptions!$AB$8/100)/AI20)+
Assumptions!$S$10),"")</f>
        <v/>
      </c>
      <c r="AN20" s="95" t="str">
        <f>IFERROR(AK20*
(Assumptions!$S$7*(AG20/(AO20*Assumptions!$AB$10/100)/AI20)^3+
Assumptions!$S$8*(AG20/(AO20*Assumptions!$AB$10/100)/AI20)^2+
Assumptions!$S$9*(AG20/(AO20*Assumptions!$AB$10/100)/AI20)+
Assumptions!$S$10),"")</f>
        <v/>
      </c>
      <c r="AO20" s="95" t="str">
        <f>IFERROR(
Assumptions!$AD$8*LN(S20)^2+
Assumptions!$AE$8*LN(R20)*LN(S20)+
Assumptions!$AF$8*LN(R20)^2+
Assumptions!$AG$8*LN(S20)+
Assumptions!$AH$8*LN(R20)-
(IF(Q20=1800,
VLOOKUP(C20,Assumptions!$AA$13:$AC$17,3),
IF(Q20=3600,
VLOOKUP(C20,Assumptions!$AA$18:$AC$22,3),
""))+Assumptions!$AI$8),
"")</f>
        <v/>
      </c>
      <c r="AP20" s="96" t="str">
        <f>IFERROR(
Assumptions!$D$11*(W20/(Assumptions!$AB$9*AO20/100)+AL20)+
Assumptions!$D$10*(AB20/(Assumptions!$AB$8*AO20/100)+AM20)+
Assumptions!$D$12*(AG20/(Assumptions!$AB$10*AO20/100)+AN20),
"")</f>
        <v/>
      </c>
      <c r="AQ20" s="76" t="str">
        <f>IFERROR(
(U20+V20)*Assumptions!$D$11+
(Z20+AA20)*Assumptions!$D$10+
(AE20+AF20)*Assumptions!$D$12,
"")</f>
        <v/>
      </c>
      <c r="AR20" s="104" t="str">
        <f t="shared" si="14"/>
        <v/>
      </c>
      <c r="AS20" s="103" t="str">
        <f t="shared" si="15"/>
        <v/>
      </c>
      <c r="AT20" s="92"/>
    </row>
    <row r="21" spans="1:46" x14ac:dyDescent="0.25">
      <c r="A21" s="264"/>
      <c r="B21" s="265"/>
      <c r="C21" s="265"/>
      <c r="D21" s="265"/>
      <c r="E21" s="266"/>
      <c r="F21" s="270"/>
      <c r="G21" s="271"/>
      <c r="H21" s="271"/>
      <c r="I21" s="272"/>
      <c r="J21" s="270"/>
      <c r="K21" s="271"/>
      <c r="L21" s="272"/>
      <c r="M21" s="270"/>
      <c r="N21" s="271"/>
      <c r="O21" s="272"/>
      <c r="P21" s="97" t="str">
        <f t="shared" si="0"/>
        <v/>
      </c>
      <c r="Q21" s="84" t="str">
        <f t="shared" si="2"/>
        <v/>
      </c>
      <c r="R21" s="101" t="str">
        <f t="shared" si="3"/>
        <v/>
      </c>
      <c r="S21" s="100" t="str">
        <f t="shared" si="4"/>
        <v/>
      </c>
      <c r="T21" s="95" t="str">
        <f t="shared" si="5"/>
        <v/>
      </c>
      <c r="U21" s="95" t="str">
        <f t="shared" si="6"/>
        <v/>
      </c>
      <c r="V21" s="95" t="str">
        <f>IFERROR(AK21*
(Assumptions!$S$7*(U21/AI21)^3+
Assumptions!$S$8*(U21/AI21)^2+
Assumptions!$S$9*(U21/AI21)+
Assumptions!$S$10),"")</f>
        <v/>
      </c>
      <c r="W21" s="96" t="str">
        <f>IFERROR(S21*T21*Assumptions!$B$15/3956,"")</f>
        <v/>
      </c>
      <c r="X21" s="102" t="str">
        <f t="shared" si="7"/>
        <v/>
      </c>
      <c r="Y21" s="95" t="str">
        <f t="shared" si="8"/>
        <v/>
      </c>
      <c r="Z21" s="95" t="str">
        <f t="shared" si="9"/>
        <v/>
      </c>
      <c r="AA21" s="95" t="str">
        <f>IFERROR(AK21*
(Assumptions!$S$7*(Z21/AI21)^3+
Assumptions!$S$8*(Z21/AI21)^2+
Assumptions!$S$9*(Z21/AI21)+
Assumptions!$S$10),"")</f>
        <v/>
      </c>
      <c r="AB21" s="96" t="str">
        <f>IFERROR(X21*Y21*Assumptions!$B$15/3956,"")</f>
        <v/>
      </c>
      <c r="AC21" s="102" t="str">
        <f t="shared" si="10"/>
        <v/>
      </c>
      <c r="AD21" s="95" t="str">
        <f t="shared" si="11"/>
        <v/>
      </c>
      <c r="AE21" s="95" t="str">
        <f t="shared" si="12"/>
        <v/>
      </c>
      <c r="AF21" s="95" t="str">
        <f>IFERROR(AK21*
(Assumptions!$S$7*(AE21/AI21)^3+
Assumptions!$S$8*(AE21/AI21)^2+
Assumptions!$S$9*(AE21/AI21)+
Assumptions!$S$10),"")</f>
        <v/>
      </c>
      <c r="AG21" s="96" t="str">
        <f>IFERROR(AC21*AD21*Assumptions!$B$15/3956,"")</f>
        <v/>
      </c>
      <c r="AH21" s="94" t="str">
        <f t="shared" si="1"/>
        <v/>
      </c>
      <c r="AI21" s="93" t="str">
        <f>IFERROR(
IF(C21="VTS",
INDEX(Assumptions!$I$38:$I$57,MATCH(AH21,Assumptions!$I$38:$I$57,-1)),
INDEX(Assumptions!$I$13:$I$32,MATCH(AH21,Assumptions!$I$13:$I$32,-1))),
"")</f>
        <v/>
      </c>
      <c r="AJ21" s="96" t="str">
        <f>IFERROR(
IF(C21="VTS",
VLOOKUP(AI21,Assumptions!$I$38:$K$57,MATCH(P21,Assumptions!$I$37:$K$37,0),FALSE),
VLOOKUP(AI21,Assumptions!$I$13:$K$32,MATCH(P21,Assumptions!$I$12:$K$12,0),FALSE)),
"")</f>
        <v/>
      </c>
      <c r="AK21" s="99" t="str">
        <f t="shared" si="13"/>
        <v/>
      </c>
      <c r="AL21" s="95" t="str">
        <f>IFERROR(AK21*
(Assumptions!$S$7*(W21/(AO21*Assumptions!$AB$9/100)/AI21)^3+
Assumptions!$S$8*(W21/(AO21*Assumptions!$AB$9/100)/AI21)^2+
Assumptions!$S$9*(W21/(AO21*Assumptions!$AB$9/100)/AI21)+
Assumptions!$S$10),"")</f>
        <v/>
      </c>
      <c r="AM21" s="95" t="str">
        <f>IFERROR(AK21*
(Assumptions!$S$7*(AB21/(AO21*Assumptions!$AB$8/100)/AI21)^3+
Assumptions!$S$8*(AB21/(AO21*Assumptions!$AB$8/100)/AI21)^2+
Assumptions!$S$9*(AB21/(AO21*Assumptions!$AB$8/100)/AI21)+
Assumptions!$S$10),"")</f>
        <v/>
      </c>
      <c r="AN21" s="95" t="str">
        <f>IFERROR(AK21*
(Assumptions!$S$7*(AG21/(AO21*Assumptions!$AB$10/100)/AI21)^3+
Assumptions!$S$8*(AG21/(AO21*Assumptions!$AB$10/100)/AI21)^2+
Assumptions!$S$9*(AG21/(AO21*Assumptions!$AB$10/100)/AI21)+
Assumptions!$S$10),"")</f>
        <v/>
      </c>
      <c r="AO21" s="95" t="str">
        <f>IFERROR(
Assumptions!$AD$8*LN(S21)^2+
Assumptions!$AE$8*LN(R21)*LN(S21)+
Assumptions!$AF$8*LN(R21)^2+
Assumptions!$AG$8*LN(S21)+
Assumptions!$AH$8*LN(R21)-
(IF(Q21=1800,
VLOOKUP(C21,Assumptions!$AA$13:$AC$17,3),
IF(Q21=3600,
VLOOKUP(C21,Assumptions!$AA$18:$AC$22,3),
""))+Assumptions!$AI$8),
"")</f>
        <v/>
      </c>
      <c r="AP21" s="96" t="str">
        <f>IFERROR(
Assumptions!$D$11*(W21/(Assumptions!$AB$9*AO21/100)+AL21)+
Assumptions!$D$10*(AB21/(Assumptions!$AB$8*AO21/100)+AM21)+
Assumptions!$D$12*(AG21/(Assumptions!$AB$10*AO21/100)+AN21),
"")</f>
        <v/>
      </c>
      <c r="AQ21" s="76" t="str">
        <f>IFERROR(
(U21+V21)*Assumptions!$D$11+
(Z21+AA21)*Assumptions!$D$10+
(AE21+AF21)*Assumptions!$D$12,
"")</f>
        <v/>
      </c>
      <c r="AR21" s="104" t="str">
        <f t="shared" si="14"/>
        <v/>
      </c>
      <c r="AS21" s="103" t="str">
        <f t="shared" si="15"/>
        <v/>
      </c>
      <c r="AT21" s="92"/>
    </row>
    <row r="22" spans="1:46" x14ac:dyDescent="0.25">
      <c r="A22" s="264"/>
      <c r="B22" s="265"/>
      <c r="C22" s="265"/>
      <c r="D22" s="265"/>
      <c r="E22" s="266"/>
      <c r="F22" s="270"/>
      <c r="G22" s="271"/>
      <c r="H22" s="271"/>
      <c r="I22" s="272"/>
      <c r="J22" s="270"/>
      <c r="K22" s="271"/>
      <c r="L22" s="272"/>
      <c r="M22" s="270"/>
      <c r="N22" s="271"/>
      <c r="O22" s="272"/>
      <c r="P22" s="97" t="str">
        <f t="shared" si="0"/>
        <v/>
      </c>
      <c r="Q22" s="84" t="str">
        <f t="shared" si="2"/>
        <v/>
      </c>
      <c r="R22" s="101" t="str">
        <f t="shared" si="3"/>
        <v/>
      </c>
      <c r="S22" s="100" t="str">
        <f t="shared" si="4"/>
        <v/>
      </c>
      <c r="T22" s="95" t="str">
        <f t="shared" si="5"/>
        <v/>
      </c>
      <c r="U22" s="95" t="str">
        <f t="shared" si="6"/>
        <v/>
      </c>
      <c r="V22" s="95" t="str">
        <f>IFERROR(AK22*
(Assumptions!$S$7*(U22/AI22)^3+
Assumptions!$S$8*(U22/AI22)^2+
Assumptions!$S$9*(U22/AI22)+
Assumptions!$S$10),"")</f>
        <v/>
      </c>
      <c r="W22" s="96" t="str">
        <f>IFERROR(S22*T22*Assumptions!$B$15/3956,"")</f>
        <v/>
      </c>
      <c r="X22" s="102" t="str">
        <f t="shared" si="7"/>
        <v/>
      </c>
      <c r="Y22" s="95" t="str">
        <f t="shared" si="8"/>
        <v/>
      </c>
      <c r="Z22" s="95" t="str">
        <f t="shared" si="9"/>
        <v/>
      </c>
      <c r="AA22" s="95" t="str">
        <f>IFERROR(AK22*
(Assumptions!$S$7*(Z22/AI22)^3+
Assumptions!$S$8*(Z22/AI22)^2+
Assumptions!$S$9*(Z22/AI22)+
Assumptions!$S$10),"")</f>
        <v/>
      </c>
      <c r="AB22" s="96" t="str">
        <f>IFERROR(X22*Y22*Assumptions!$B$15/3956,"")</f>
        <v/>
      </c>
      <c r="AC22" s="102" t="str">
        <f t="shared" si="10"/>
        <v/>
      </c>
      <c r="AD22" s="95" t="str">
        <f t="shared" si="11"/>
        <v/>
      </c>
      <c r="AE22" s="95" t="str">
        <f t="shared" si="12"/>
        <v/>
      </c>
      <c r="AF22" s="95" t="str">
        <f>IFERROR(AK22*
(Assumptions!$S$7*(AE22/AI22)^3+
Assumptions!$S$8*(AE22/AI22)^2+
Assumptions!$S$9*(AE22/AI22)+
Assumptions!$S$10),"")</f>
        <v/>
      </c>
      <c r="AG22" s="96" t="str">
        <f>IFERROR(AC22*AD22*Assumptions!$B$15/3956,"")</f>
        <v/>
      </c>
      <c r="AH22" s="94" t="str">
        <f t="shared" si="1"/>
        <v/>
      </c>
      <c r="AI22" s="93" t="str">
        <f>IFERROR(
IF(C22="VTS",
INDEX(Assumptions!$I$38:$I$57,MATCH(AH22,Assumptions!$I$38:$I$57,-1)),
INDEX(Assumptions!$I$13:$I$32,MATCH(AH22,Assumptions!$I$13:$I$32,-1))),
"")</f>
        <v/>
      </c>
      <c r="AJ22" s="96" t="str">
        <f>IFERROR(
IF(C22="VTS",
VLOOKUP(AI22,Assumptions!$I$38:$K$57,MATCH(P22,Assumptions!$I$37:$K$37,0),FALSE),
VLOOKUP(AI22,Assumptions!$I$13:$K$32,MATCH(P22,Assumptions!$I$12:$K$12,0),FALSE)),
"")</f>
        <v/>
      </c>
      <c r="AK22" s="99" t="str">
        <f t="shared" si="13"/>
        <v/>
      </c>
      <c r="AL22" s="95" t="str">
        <f>IFERROR(AK22*
(Assumptions!$S$7*(W22/(AO22*Assumptions!$AB$9/100)/AI22)^3+
Assumptions!$S$8*(W22/(AO22*Assumptions!$AB$9/100)/AI22)^2+
Assumptions!$S$9*(W22/(AO22*Assumptions!$AB$9/100)/AI22)+
Assumptions!$S$10),"")</f>
        <v/>
      </c>
      <c r="AM22" s="95" t="str">
        <f>IFERROR(AK22*
(Assumptions!$S$7*(AB22/(AO22*Assumptions!$AB$8/100)/AI22)^3+
Assumptions!$S$8*(AB22/(AO22*Assumptions!$AB$8/100)/AI22)^2+
Assumptions!$S$9*(AB22/(AO22*Assumptions!$AB$8/100)/AI22)+
Assumptions!$S$10),"")</f>
        <v/>
      </c>
      <c r="AN22" s="95" t="str">
        <f>IFERROR(AK22*
(Assumptions!$S$7*(AG22/(AO22*Assumptions!$AB$10/100)/AI22)^3+
Assumptions!$S$8*(AG22/(AO22*Assumptions!$AB$10/100)/AI22)^2+
Assumptions!$S$9*(AG22/(AO22*Assumptions!$AB$10/100)/AI22)+
Assumptions!$S$10),"")</f>
        <v/>
      </c>
      <c r="AO22" s="95" t="str">
        <f>IFERROR(
Assumptions!$AD$8*LN(S22)^2+
Assumptions!$AE$8*LN(R22)*LN(S22)+
Assumptions!$AF$8*LN(R22)^2+
Assumptions!$AG$8*LN(S22)+
Assumptions!$AH$8*LN(R22)-
(IF(Q22=1800,
VLOOKUP(C22,Assumptions!$AA$13:$AC$17,3),
IF(Q22=3600,
VLOOKUP(C22,Assumptions!$AA$18:$AC$22,3),
""))+Assumptions!$AI$8),
"")</f>
        <v/>
      </c>
      <c r="AP22" s="96" t="str">
        <f>IFERROR(
Assumptions!$D$11*(W22/(Assumptions!$AB$9*AO22/100)+AL22)+
Assumptions!$D$10*(AB22/(Assumptions!$AB$8*AO22/100)+AM22)+
Assumptions!$D$12*(AG22/(Assumptions!$AB$10*AO22/100)+AN22),
"")</f>
        <v/>
      </c>
      <c r="AQ22" s="76" t="str">
        <f>IFERROR(
(U22+V22)*Assumptions!$D$11+
(Z22+AA22)*Assumptions!$D$10+
(AE22+AF22)*Assumptions!$D$12,
"")</f>
        <v/>
      </c>
      <c r="AR22" s="104" t="str">
        <f t="shared" si="14"/>
        <v/>
      </c>
      <c r="AS22" s="103" t="str">
        <f t="shared" si="15"/>
        <v/>
      </c>
      <c r="AT22" s="92"/>
    </row>
    <row r="23" spans="1:46" x14ac:dyDescent="0.25">
      <c r="A23" s="264"/>
      <c r="B23" s="265"/>
      <c r="C23" s="265"/>
      <c r="D23" s="265"/>
      <c r="E23" s="266"/>
      <c r="F23" s="270"/>
      <c r="G23" s="271"/>
      <c r="H23" s="271"/>
      <c r="I23" s="272"/>
      <c r="J23" s="270"/>
      <c r="K23" s="271"/>
      <c r="L23" s="272"/>
      <c r="M23" s="270"/>
      <c r="N23" s="271"/>
      <c r="O23" s="272"/>
      <c r="P23" s="97" t="str">
        <f t="shared" si="0"/>
        <v/>
      </c>
      <c r="Q23" s="84" t="str">
        <f t="shared" si="2"/>
        <v/>
      </c>
      <c r="R23" s="101" t="str">
        <f t="shared" si="3"/>
        <v/>
      </c>
      <c r="S23" s="100" t="str">
        <f t="shared" si="4"/>
        <v/>
      </c>
      <c r="T23" s="95" t="str">
        <f t="shared" si="5"/>
        <v/>
      </c>
      <c r="U23" s="95" t="str">
        <f t="shared" si="6"/>
        <v/>
      </c>
      <c r="V23" s="95" t="str">
        <f>IFERROR(AK23*
(Assumptions!$S$7*(U23/AI23)^3+
Assumptions!$S$8*(U23/AI23)^2+
Assumptions!$S$9*(U23/AI23)+
Assumptions!$S$10),"")</f>
        <v/>
      </c>
      <c r="W23" s="96" t="str">
        <f>IFERROR(S23*T23*Assumptions!$B$15/3956,"")</f>
        <v/>
      </c>
      <c r="X23" s="102" t="str">
        <f t="shared" si="7"/>
        <v/>
      </c>
      <c r="Y23" s="95" t="str">
        <f t="shared" si="8"/>
        <v/>
      </c>
      <c r="Z23" s="95" t="str">
        <f t="shared" si="9"/>
        <v/>
      </c>
      <c r="AA23" s="95" t="str">
        <f>IFERROR(AK23*
(Assumptions!$S$7*(Z23/AI23)^3+
Assumptions!$S$8*(Z23/AI23)^2+
Assumptions!$S$9*(Z23/AI23)+
Assumptions!$S$10),"")</f>
        <v/>
      </c>
      <c r="AB23" s="96" t="str">
        <f>IFERROR(X23*Y23*Assumptions!$B$15/3956,"")</f>
        <v/>
      </c>
      <c r="AC23" s="102" t="str">
        <f t="shared" si="10"/>
        <v/>
      </c>
      <c r="AD23" s="95" t="str">
        <f t="shared" si="11"/>
        <v/>
      </c>
      <c r="AE23" s="95" t="str">
        <f t="shared" si="12"/>
        <v/>
      </c>
      <c r="AF23" s="95" t="str">
        <f>IFERROR(AK23*
(Assumptions!$S$7*(AE23/AI23)^3+
Assumptions!$S$8*(AE23/AI23)^2+
Assumptions!$S$9*(AE23/AI23)+
Assumptions!$S$10),"")</f>
        <v/>
      </c>
      <c r="AG23" s="96" t="str">
        <f>IFERROR(AC23*AD23*Assumptions!$B$15/3956,"")</f>
        <v/>
      </c>
      <c r="AH23" s="94" t="str">
        <f t="shared" si="1"/>
        <v/>
      </c>
      <c r="AI23" s="93" t="str">
        <f>IFERROR(
IF(C23="VTS",
INDEX(Assumptions!$I$38:$I$57,MATCH(AH23,Assumptions!$I$38:$I$57,-1)),
INDEX(Assumptions!$I$13:$I$32,MATCH(AH23,Assumptions!$I$13:$I$32,-1))),
"")</f>
        <v/>
      </c>
      <c r="AJ23" s="96" t="str">
        <f>IFERROR(
IF(C23="VTS",
VLOOKUP(AI23,Assumptions!$I$38:$K$57,MATCH(P23,Assumptions!$I$37:$K$37,0),FALSE),
VLOOKUP(AI23,Assumptions!$I$13:$K$32,MATCH(P23,Assumptions!$I$12:$K$12,0),FALSE)),
"")</f>
        <v/>
      </c>
      <c r="AK23" s="99" t="str">
        <f t="shared" si="13"/>
        <v/>
      </c>
      <c r="AL23" s="95" t="str">
        <f>IFERROR(AK23*
(Assumptions!$S$7*(W23/(AO23*Assumptions!$AB$9/100)/AI23)^3+
Assumptions!$S$8*(W23/(AO23*Assumptions!$AB$9/100)/AI23)^2+
Assumptions!$S$9*(W23/(AO23*Assumptions!$AB$9/100)/AI23)+
Assumptions!$S$10),"")</f>
        <v/>
      </c>
      <c r="AM23" s="95" t="str">
        <f>IFERROR(AK23*
(Assumptions!$S$7*(AB23/(AO23*Assumptions!$AB$8/100)/AI23)^3+
Assumptions!$S$8*(AB23/(AO23*Assumptions!$AB$8/100)/AI23)^2+
Assumptions!$S$9*(AB23/(AO23*Assumptions!$AB$8/100)/AI23)+
Assumptions!$S$10),"")</f>
        <v/>
      </c>
      <c r="AN23" s="95" t="str">
        <f>IFERROR(AK23*
(Assumptions!$S$7*(AG23/(AO23*Assumptions!$AB$10/100)/AI23)^3+
Assumptions!$S$8*(AG23/(AO23*Assumptions!$AB$10/100)/AI23)^2+
Assumptions!$S$9*(AG23/(AO23*Assumptions!$AB$10/100)/AI23)+
Assumptions!$S$10),"")</f>
        <v/>
      </c>
      <c r="AO23" s="95" t="str">
        <f>IFERROR(
Assumptions!$AD$8*LN(S23)^2+
Assumptions!$AE$8*LN(R23)*LN(S23)+
Assumptions!$AF$8*LN(R23)^2+
Assumptions!$AG$8*LN(S23)+
Assumptions!$AH$8*LN(R23)-
(IF(Q23=1800,
VLOOKUP(C23,Assumptions!$AA$13:$AC$17,3),
IF(Q23=3600,
VLOOKUP(C23,Assumptions!$AA$18:$AC$22,3),
""))+Assumptions!$AI$8),
"")</f>
        <v/>
      </c>
      <c r="AP23" s="96" t="str">
        <f>IFERROR(
Assumptions!$D$11*(W23/(Assumptions!$AB$9*AO23/100)+AL23)+
Assumptions!$D$10*(AB23/(Assumptions!$AB$8*AO23/100)+AM23)+
Assumptions!$D$12*(AG23/(Assumptions!$AB$10*AO23/100)+AN23),
"")</f>
        <v/>
      </c>
      <c r="AQ23" s="76" t="str">
        <f>IFERROR(
(U23+V23)*Assumptions!$D$11+
(Z23+AA23)*Assumptions!$D$10+
(AE23+AF23)*Assumptions!$D$12,
"")</f>
        <v/>
      </c>
      <c r="AR23" s="104" t="str">
        <f t="shared" si="14"/>
        <v/>
      </c>
      <c r="AS23" s="103" t="str">
        <f t="shared" si="15"/>
        <v/>
      </c>
      <c r="AT23" s="92"/>
    </row>
    <row r="24" spans="1:46" x14ac:dyDescent="0.25">
      <c r="A24" s="264"/>
      <c r="B24" s="265"/>
      <c r="C24" s="265"/>
      <c r="D24" s="265"/>
      <c r="E24" s="266"/>
      <c r="F24" s="270"/>
      <c r="G24" s="271"/>
      <c r="H24" s="271"/>
      <c r="I24" s="272"/>
      <c r="J24" s="270"/>
      <c r="K24" s="271"/>
      <c r="L24" s="272"/>
      <c r="M24" s="270"/>
      <c r="N24" s="271"/>
      <c r="O24" s="272"/>
      <c r="P24" s="97" t="str">
        <f t="shared" si="0"/>
        <v/>
      </c>
      <c r="Q24" s="84" t="str">
        <f t="shared" si="2"/>
        <v/>
      </c>
      <c r="R24" s="101" t="str">
        <f t="shared" si="3"/>
        <v/>
      </c>
      <c r="S24" s="100" t="str">
        <f t="shared" si="4"/>
        <v/>
      </c>
      <c r="T24" s="95" t="str">
        <f t="shared" si="5"/>
        <v/>
      </c>
      <c r="U24" s="95" t="str">
        <f t="shared" si="6"/>
        <v/>
      </c>
      <c r="V24" s="95" t="str">
        <f>IFERROR(AK24*
(Assumptions!$S$7*(U24/AI24)^3+
Assumptions!$S$8*(U24/AI24)^2+
Assumptions!$S$9*(U24/AI24)+
Assumptions!$S$10),"")</f>
        <v/>
      </c>
      <c r="W24" s="96" t="str">
        <f>IFERROR(S24*T24*Assumptions!$B$15/3956,"")</f>
        <v/>
      </c>
      <c r="X24" s="102" t="str">
        <f t="shared" si="7"/>
        <v/>
      </c>
      <c r="Y24" s="95" t="str">
        <f t="shared" si="8"/>
        <v/>
      </c>
      <c r="Z24" s="95" t="str">
        <f t="shared" si="9"/>
        <v/>
      </c>
      <c r="AA24" s="95" t="str">
        <f>IFERROR(AK24*
(Assumptions!$S$7*(Z24/AI24)^3+
Assumptions!$S$8*(Z24/AI24)^2+
Assumptions!$S$9*(Z24/AI24)+
Assumptions!$S$10),"")</f>
        <v/>
      </c>
      <c r="AB24" s="96" t="str">
        <f>IFERROR(X24*Y24*Assumptions!$B$15/3956,"")</f>
        <v/>
      </c>
      <c r="AC24" s="102" t="str">
        <f t="shared" si="10"/>
        <v/>
      </c>
      <c r="AD24" s="95" t="str">
        <f t="shared" si="11"/>
        <v/>
      </c>
      <c r="AE24" s="95" t="str">
        <f t="shared" si="12"/>
        <v/>
      </c>
      <c r="AF24" s="95" t="str">
        <f>IFERROR(AK24*
(Assumptions!$S$7*(AE24/AI24)^3+
Assumptions!$S$8*(AE24/AI24)^2+
Assumptions!$S$9*(AE24/AI24)+
Assumptions!$S$10),"")</f>
        <v/>
      </c>
      <c r="AG24" s="96" t="str">
        <f>IFERROR(AC24*AD24*Assumptions!$B$15/3956,"")</f>
        <v/>
      </c>
      <c r="AH24" s="94" t="str">
        <f t="shared" si="1"/>
        <v/>
      </c>
      <c r="AI24" s="93" t="str">
        <f>IFERROR(
IF(C24="VTS",
INDEX(Assumptions!$I$38:$I$57,MATCH(AH24,Assumptions!$I$38:$I$57,-1)),
INDEX(Assumptions!$I$13:$I$32,MATCH(AH24,Assumptions!$I$13:$I$32,-1))),
"")</f>
        <v/>
      </c>
      <c r="AJ24" s="96" t="str">
        <f>IFERROR(
IF(C24="VTS",
VLOOKUP(AI24,Assumptions!$I$38:$K$57,MATCH(P24,Assumptions!$I$37:$K$37,0),FALSE),
VLOOKUP(AI24,Assumptions!$I$13:$K$32,MATCH(P24,Assumptions!$I$12:$K$12,0),FALSE)),
"")</f>
        <v/>
      </c>
      <c r="AK24" s="99" t="str">
        <f t="shared" si="13"/>
        <v/>
      </c>
      <c r="AL24" s="95" t="str">
        <f>IFERROR(AK24*
(Assumptions!$S$7*(W24/(AO24*Assumptions!$AB$9/100)/AI24)^3+
Assumptions!$S$8*(W24/(AO24*Assumptions!$AB$9/100)/AI24)^2+
Assumptions!$S$9*(W24/(AO24*Assumptions!$AB$9/100)/AI24)+
Assumptions!$S$10),"")</f>
        <v/>
      </c>
      <c r="AM24" s="95" t="str">
        <f>IFERROR(AK24*
(Assumptions!$S$7*(AB24/(AO24*Assumptions!$AB$8/100)/AI24)^3+
Assumptions!$S$8*(AB24/(AO24*Assumptions!$AB$8/100)/AI24)^2+
Assumptions!$S$9*(AB24/(AO24*Assumptions!$AB$8/100)/AI24)+
Assumptions!$S$10),"")</f>
        <v/>
      </c>
      <c r="AN24" s="95" t="str">
        <f>IFERROR(AK24*
(Assumptions!$S$7*(AG24/(AO24*Assumptions!$AB$10/100)/AI24)^3+
Assumptions!$S$8*(AG24/(AO24*Assumptions!$AB$10/100)/AI24)^2+
Assumptions!$S$9*(AG24/(AO24*Assumptions!$AB$10/100)/AI24)+
Assumptions!$S$10),"")</f>
        <v/>
      </c>
      <c r="AO24" s="95" t="str">
        <f>IFERROR(
Assumptions!$AD$8*LN(S24)^2+
Assumptions!$AE$8*LN(R24)*LN(S24)+
Assumptions!$AF$8*LN(R24)^2+
Assumptions!$AG$8*LN(S24)+
Assumptions!$AH$8*LN(R24)-
(IF(Q24=1800,
VLOOKUP(C24,Assumptions!$AA$13:$AC$17,3),
IF(Q24=3600,
VLOOKUP(C24,Assumptions!$AA$18:$AC$22,3),
""))+Assumptions!$AI$8),
"")</f>
        <v/>
      </c>
      <c r="AP24" s="96" t="str">
        <f>IFERROR(
Assumptions!$D$11*(W24/(Assumptions!$AB$9*AO24/100)+AL24)+
Assumptions!$D$10*(AB24/(Assumptions!$AB$8*AO24/100)+AM24)+
Assumptions!$D$12*(AG24/(Assumptions!$AB$10*AO24/100)+AN24),
"")</f>
        <v/>
      </c>
      <c r="AQ24" s="76" t="str">
        <f>IFERROR(
(U24+V24)*Assumptions!$D$11+
(Z24+AA24)*Assumptions!$D$10+
(AE24+AF24)*Assumptions!$D$12,
"")</f>
        <v/>
      </c>
      <c r="AR24" s="104" t="str">
        <f t="shared" si="14"/>
        <v/>
      </c>
      <c r="AS24" s="103" t="str">
        <f t="shared" si="15"/>
        <v/>
      </c>
      <c r="AT24" s="92"/>
    </row>
    <row r="25" spans="1:46" x14ac:dyDescent="0.25">
      <c r="A25" s="264"/>
      <c r="B25" s="265"/>
      <c r="C25" s="265"/>
      <c r="D25" s="265"/>
      <c r="E25" s="266"/>
      <c r="F25" s="270"/>
      <c r="G25" s="271"/>
      <c r="H25" s="271"/>
      <c r="I25" s="272"/>
      <c r="J25" s="270"/>
      <c r="K25" s="271"/>
      <c r="L25" s="272"/>
      <c r="M25" s="270"/>
      <c r="N25" s="271"/>
      <c r="O25" s="272"/>
      <c r="P25" s="97" t="str">
        <f t="shared" si="0"/>
        <v/>
      </c>
      <c r="Q25" s="84" t="str">
        <f t="shared" si="2"/>
        <v/>
      </c>
      <c r="R25" s="101" t="str">
        <f t="shared" si="3"/>
        <v/>
      </c>
      <c r="S25" s="100" t="str">
        <f t="shared" si="4"/>
        <v/>
      </c>
      <c r="T25" s="95" t="str">
        <f t="shared" si="5"/>
        <v/>
      </c>
      <c r="U25" s="95" t="str">
        <f t="shared" si="6"/>
        <v/>
      </c>
      <c r="V25" s="95" t="str">
        <f>IFERROR(AK25*
(Assumptions!$S$7*(U25/AI25)^3+
Assumptions!$S$8*(U25/AI25)^2+
Assumptions!$S$9*(U25/AI25)+
Assumptions!$S$10),"")</f>
        <v/>
      </c>
      <c r="W25" s="96" t="str">
        <f>IFERROR(S25*T25*Assumptions!$B$15/3956,"")</f>
        <v/>
      </c>
      <c r="X25" s="102" t="str">
        <f t="shared" si="7"/>
        <v/>
      </c>
      <c r="Y25" s="95" t="str">
        <f t="shared" si="8"/>
        <v/>
      </c>
      <c r="Z25" s="95" t="str">
        <f t="shared" si="9"/>
        <v/>
      </c>
      <c r="AA25" s="95" t="str">
        <f>IFERROR(AK25*
(Assumptions!$S$7*(Z25/AI25)^3+
Assumptions!$S$8*(Z25/AI25)^2+
Assumptions!$S$9*(Z25/AI25)+
Assumptions!$S$10),"")</f>
        <v/>
      </c>
      <c r="AB25" s="96" t="str">
        <f>IFERROR(X25*Y25*Assumptions!$B$15/3956,"")</f>
        <v/>
      </c>
      <c r="AC25" s="102" t="str">
        <f t="shared" si="10"/>
        <v/>
      </c>
      <c r="AD25" s="95" t="str">
        <f t="shared" si="11"/>
        <v/>
      </c>
      <c r="AE25" s="95" t="str">
        <f t="shared" si="12"/>
        <v/>
      </c>
      <c r="AF25" s="95" t="str">
        <f>IFERROR(AK25*
(Assumptions!$S$7*(AE25/AI25)^3+
Assumptions!$S$8*(AE25/AI25)^2+
Assumptions!$S$9*(AE25/AI25)+
Assumptions!$S$10),"")</f>
        <v/>
      </c>
      <c r="AG25" s="96" t="str">
        <f>IFERROR(AC25*AD25*Assumptions!$B$15/3956,"")</f>
        <v/>
      </c>
      <c r="AH25" s="94" t="str">
        <f t="shared" si="1"/>
        <v/>
      </c>
      <c r="AI25" s="93" t="str">
        <f>IFERROR(
IF(C25="VTS",
INDEX(Assumptions!$I$38:$I$57,MATCH(AH25,Assumptions!$I$38:$I$57,-1)),
INDEX(Assumptions!$I$13:$I$32,MATCH(AH25,Assumptions!$I$13:$I$32,-1))),
"")</f>
        <v/>
      </c>
      <c r="AJ25" s="96" t="str">
        <f>IFERROR(
IF(C25="VTS",
VLOOKUP(AI25,Assumptions!$I$38:$K$57,MATCH(P25,Assumptions!$I$37:$K$37,0),FALSE),
VLOOKUP(AI25,Assumptions!$I$13:$K$32,MATCH(P25,Assumptions!$I$12:$K$12,0),FALSE)),
"")</f>
        <v/>
      </c>
      <c r="AK25" s="99" t="str">
        <f t="shared" si="13"/>
        <v/>
      </c>
      <c r="AL25" s="95" t="str">
        <f>IFERROR(AK25*
(Assumptions!$S$7*(W25/(AO25*Assumptions!$AB$9/100)/AI25)^3+
Assumptions!$S$8*(W25/(AO25*Assumptions!$AB$9/100)/AI25)^2+
Assumptions!$S$9*(W25/(AO25*Assumptions!$AB$9/100)/AI25)+
Assumptions!$S$10),"")</f>
        <v/>
      </c>
      <c r="AM25" s="95" t="str">
        <f>IFERROR(AK25*
(Assumptions!$S$7*(AB25/(AO25*Assumptions!$AB$8/100)/AI25)^3+
Assumptions!$S$8*(AB25/(AO25*Assumptions!$AB$8/100)/AI25)^2+
Assumptions!$S$9*(AB25/(AO25*Assumptions!$AB$8/100)/AI25)+
Assumptions!$S$10),"")</f>
        <v/>
      </c>
      <c r="AN25" s="95" t="str">
        <f>IFERROR(AK25*
(Assumptions!$S$7*(AG25/(AO25*Assumptions!$AB$10/100)/AI25)^3+
Assumptions!$S$8*(AG25/(AO25*Assumptions!$AB$10/100)/AI25)^2+
Assumptions!$S$9*(AG25/(AO25*Assumptions!$AB$10/100)/AI25)+
Assumptions!$S$10),"")</f>
        <v/>
      </c>
      <c r="AO25" s="95" t="str">
        <f>IFERROR(
Assumptions!$AD$8*LN(S25)^2+
Assumptions!$AE$8*LN(R25)*LN(S25)+
Assumptions!$AF$8*LN(R25)^2+
Assumptions!$AG$8*LN(S25)+
Assumptions!$AH$8*LN(R25)-
(IF(Q25=1800,
VLOOKUP(C25,Assumptions!$AA$13:$AC$17,3),
IF(Q25=3600,
VLOOKUP(C25,Assumptions!$AA$18:$AC$22,3),
""))+Assumptions!$AI$8),
"")</f>
        <v/>
      </c>
      <c r="AP25" s="96" t="str">
        <f>IFERROR(
Assumptions!$D$11*(W25/(Assumptions!$AB$9*AO25/100)+AL25)+
Assumptions!$D$10*(AB25/(Assumptions!$AB$8*AO25/100)+AM25)+
Assumptions!$D$12*(AG25/(Assumptions!$AB$10*AO25/100)+AN25),
"")</f>
        <v/>
      </c>
      <c r="AQ25" s="76" t="str">
        <f>IFERROR(
(U25+V25)*Assumptions!$D$11+
(Z25+AA25)*Assumptions!$D$10+
(AE25+AF25)*Assumptions!$D$12,
"")</f>
        <v/>
      </c>
      <c r="AR25" s="104" t="str">
        <f t="shared" si="14"/>
        <v/>
      </c>
      <c r="AS25" s="103" t="str">
        <f t="shared" si="15"/>
        <v/>
      </c>
      <c r="AT25" s="92"/>
    </row>
    <row r="26" spans="1:46" x14ac:dyDescent="0.25">
      <c r="A26" s="264"/>
      <c r="B26" s="265"/>
      <c r="C26" s="265"/>
      <c r="D26" s="265"/>
      <c r="E26" s="266"/>
      <c r="F26" s="270"/>
      <c r="G26" s="271"/>
      <c r="H26" s="271"/>
      <c r="I26" s="272"/>
      <c r="J26" s="270"/>
      <c r="K26" s="271"/>
      <c r="L26" s="272"/>
      <c r="M26" s="270"/>
      <c r="N26" s="271"/>
      <c r="O26" s="272"/>
      <c r="P26" s="97" t="str">
        <f t="shared" si="0"/>
        <v/>
      </c>
      <c r="Q26" s="84" t="str">
        <f t="shared" si="2"/>
        <v/>
      </c>
      <c r="R26" s="101" t="str">
        <f t="shared" si="3"/>
        <v/>
      </c>
      <c r="S26" s="100" t="str">
        <f t="shared" si="4"/>
        <v/>
      </c>
      <c r="T26" s="95" t="str">
        <f t="shared" si="5"/>
        <v/>
      </c>
      <c r="U26" s="95" t="str">
        <f t="shared" si="6"/>
        <v/>
      </c>
      <c r="V26" s="95" t="str">
        <f>IFERROR(AK26*
(Assumptions!$S$7*(U26/AI26)^3+
Assumptions!$S$8*(U26/AI26)^2+
Assumptions!$S$9*(U26/AI26)+
Assumptions!$S$10),"")</f>
        <v/>
      </c>
      <c r="W26" s="96" t="str">
        <f>IFERROR(S26*T26*Assumptions!$B$15/3956,"")</f>
        <v/>
      </c>
      <c r="X26" s="102" t="str">
        <f t="shared" si="7"/>
        <v/>
      </c>
      <c r="Y26" s="95" t="str">
        <f t="shared" si="8"/>
        <v/>
      </c>
      <c r="Z26" s="95" t="str">
        <f t="shared" si="9"/>
        <v/>
      </c>
      <c r="AA26" s="95" t="str">
        <f>IFERROR(AK26*
(Assumptions!$S$7*(Z26/AI26)^3+
Assumptions!$S$8*(Z26/AI26)^2+
Assumptions!$S$9*(Z26/AI26)+
Assumptions!$S$10),"")</f>
        <v/>
      </c>
      <c r="AB26" s="96" t="str">
        <f>IFERROR(X26*Y26*Assumptions!$B$15/3956,"")</f>
        <v/>
      </c>
      <c r="AC26" s="102" t="str">
        <f t="shared" si="10"/>
        <v/>
      </c>
      <c r="AD26" s="95" t="str">
        <f t="shared" si="11"/>
        <v/>
      </c>
      <c r="AE26" s="95" t="str">
        <f t="shared" si="12"/>
        <v/>
      </c>
      <c r="AF26" s="95" t="str">
        <f>IFERROR(AK26*
(Assumptions!$S$7*(AE26/AI26)^3+
Assumptions!$S$8*(AE26/AI26)^2+
Assumptions!$S$9*(AE26/AI26)+
Assumptions!$S$10),"")</f>
        <v/>
      </c>
      <c r="AG26" s="96" t="str">
        <f>IFERROR(AC26*AD26*Assumptions!$B$15/3956,"")</f>
        <v/>
      </c>
      <c r="AH26" s="94" t="str">
        <f t="shared" si="1"/>
        <v/>
      </c>
      <c r="AI26" s="93" t="str">
        <f>IFERROR(
IF(C26="VTS",
INDEX(Assumptions!$I$38:$I$57,MATCH(AH26,Assumptions!$I$38:$I$57,-1)),
INDEX(Assumptions!$I$13:$I$32,MATCH(AH26,Assumptions!$I$13:$I$32,-1))),
"")</f>
        <v/>
      </c>
      <c r="AJ26" s="96" t="str">
        <f>IFERROR(
IF(C26="VTS",
VLOOKUP(AI26,Assumptions!$I$38:$K$57,MATCH(P26,Assumptions!$I$37:$K$37,0),FALSE),
VLOOKUP(AI26,Assumptions!$I$13:$K$32,MATCH(P26,Assumptions!$I$12:$K$12,0),FALSE)),
"")</f>
        <v/>
      </c>
      <c r="AK26" s="99" t="str">
        <f t="shared" si="13"/>
        <v/>
      </c>
      <c r="AL26" s="95" t="str">
        <f>IFERROR(AK26*
(Assumptions!$S$7*(W26/(AO26*Assumptions!$AB$9/100)/AI26)^3+
Assumptions!$S$8*(W26/(AO26*Assumptions!$AB$9/100)/AI26)^2+
Assumptions!$S$9*(W26/(AO26*Assumptions!$AB$9/100)/AI26)+
Assumptions!$S$10),"")</f>
        <v/>
      </c>
      <c r="AM26" s="95" t="str">
        <f>IFERROR(AK26*
(Assumptions!$S$7*(AB26/(AO26*Assumptions!$AB$8/100)/AI26)^3+
Assumptions!$S$8*(AB26/(AO26*Assumptions!$AB$8/100)/AI26)^2+
Assumptions!$S$9*(AB26/(AO26*Assumptions!$AB$8/100)/AI26)+
Assumptions!$S$10),"")</f>
        <v/>
      </c>
      <c r="AN26" s="95" t="str">
        <f>IFERROR(AK26*
(Assumptions!$S$7*(AG26/(AO26*Assumptions!$AB$10/100)/AI26)^3+
Assumptions!$S$8*(AG26/(AO26*Assumptions!$AB$10/100)/AI26)^2+
Assumptions!$S$9*(AG26/(AO26*Assumptions!$AB$10/100)/AI26)+
Assumptions!$S$10),"")</f>
        <v/>
      </c>
      <c r="AO26" s="95" t="str">
        <f>IFERROR(
Assumptions!$AD$8*LN(S26)^2+
Assumptions!$AE$8*LN(R26)*LN(S26)+
Assumptions!$AF$8*LN(R26)^2+
Assumptions!$AG$8*LN(S26)+
Assumptions!$AH$8*LN(R26)-
(IF(Q26=1800,
VLOOKUP(C26,Assumptions!$AA$13:$AC$17,3),
IF(Q26=3600,
VLOOKUP(C26,Assumptions!$AA$18:$AC$22,3),
""))+Assumptions!$AI$8),
"")</f>
        <v/>
      </c>
      <c r="AP26" s="96" t="str">
        <f>IFERROR(
Assumptions!$D$11*(W26/(Assumptions!$AB$9*AO26/100)+AL26)+
Assumptions!$D$10*(AB26/(Assumptions!$AB$8*AO26/100)+AM26)+
Assumptions!$D$12*(AG26/(Assumptions!$AB$10*AO26/100)+AN26),
"")</f>
        <v/>
      </c>
      <c r="AQ26" s="76" t="str">
        <f>IFERROR(
(U26+V26)*Assumptions!$D$11+
(Z26+AA26)*Assumptions!$D$10+
(AE26+AF26)*Assumptions!$D$12,
"")</f>
        <v/>
      </c>
      <c r="AR26" s="104" t="str">
        <f t="shared" si="14"/>
        <v/>
      </c>
      <c r="AS26" s="103" t="str">
        <f t="shared" si="15"/>
        <v/>
      </c>
      <c r="AT26" s="92"/>
    </row>
    <row r="27" spans="1:46" x14ac:dyDescent="0.25">
      <c r="A27" s="264"/>
      <c r="B27" s="265"/>
      <c r="C27" s="265"/>
      <c r="D27" s="265"/>
      <c r="E27" s="266"/>
      <c r="F27" s="270"/>
      <c r="G27" s="271"/>
      <c r="H27" s="271"/>
      <c r="I27" s="272"/>
      <c r="J27" s="270"/>
      <c r="K27" s="271"/>
      <c r="L27" s="272"/>
      <c r="M27" s="270"/>
      <c r="N27" s="271"/>
      <c r="O27" s="272"/>
      <c r="P27" s="97" t="str">
        <f t="shared" si="0"/>
        <v/>
      </c>
      <c r="Q27" s="84" t="str">
        <f t="shared" si="2"/>
        <v/>
      </c>
      <c r="R27" s="101" t="str">
        <f t="shared" si="3"/>
        <v/>
      </c>
      <c r="S27" s="100" t="str">
        <f t="shared" si="4"/>
        <v/>
      </c>
      <c r="T27" s="95" t="str">
        <f t="shared" si="5"/>
        <v/>
      </c>
      <c r="U27" s="95" t="str">
        <f t="shared" si="6"/>
        <v/>
      </c>
      <c r="V27" s="95" t="str">
        <f>IFERROR(AK27*
(Assumptions!$S$7*(U27/AI27)^3+
Assumptions!$S$8*(U27/AI27)^2+
Assumptions!$S$9*(U27/AI27)+
Assumptions!$S$10),"")</f>
        <v/>
      </c>
      <c r="W27" s="96" t="str">
        <f>IFERROR(S27*T27*Assumptions!$B$15/3956,"")</f>
        <v/>
      </c>
      <c r="X27" s="102" t="str">
        <f t="shared" si="7"/>
        <v/>
      </c>
      <c r="Y27" s="95" t="str">
        <f t="shared" si="8"/>
        <v/>
      </c>
      <c r="Z27" s="95" t="str">
        <f t="shared" si="9"/>
        <v/>
      </c>
      <c r="AA27" s="95" t="str">
        <f>IFERROR(AK27*
(Assumptions!$S$7*(Z27/AI27)^3+
Assumptions!$S$8*(Z27/AI27)^2+
Assumptions!$S$9*(Z27/AI27)+
Assumptions!$S$10),"")</f>
        <v/>
      </c>
      <c r="AB27" s="96" t="str">
        <f>IFERROR(X27*Y27*Assumptions!$B$15/3956,"")</f>
        <v/>
      </c>
      <c r="AC27" s="102" t="str">
        <f t="shared" si="10"/>
        <v/>
      </c>
      <c r="AD27" s="95" t="str">
        <f t="shared" si="11"/>
        <v/>
      </c>
      <c r="AE27" s="95" t="str">
        <f t="shared" si="12"/>
        <v/>
      </c>
      <c r="AF27" s="95" t="str">
        <f>IFERROR(AK27*
(Assumptions!$S$7*(AE27/AI27)^3+
Assumptions!$S$8*(AE27/AI27)^2+
Assumptions!$S$9*(AE27/AI27)+
Assumptions!$S$10),"")</f>
        <v/>
      </c>
      <c r="AG27" s="96" t="str">
        <f>IFERROR(AC27*AD27*Assumptions!$B$15/3956,"")</f>
        <v/>
      </c>
      <c r="AH27" s="94" t="str">
        <f t="shared" si="1"/>
        <v/>
      </c>
      <c r="AI27" s="93" t="str">
        <f>IFERROR(
IF(C27="VTS",
INDEX(Assumptions!$I$38:$I$57,MATCH(AH27,Assumptions!$I$38:$I$57,-1)),
INDEX(Assumptions!$I$13:$I$32,MATCH(AH27,Assumptions!$I$13:$I$32,-1))),
"")</f>
        <v/>
      </c>
      <c r="AJ27" s="96" t="str">
        <f>IFERROR(
IF(C27="VTS",
VLOOKUP(AI27,Assumptions!$I$38:$K$57,MATCH(P27,Assumptions!$I$37:$K$37,0),FALSE),
VLOOKUP(AI27,Assumptions!$I$13:$K$32,MATCH(P27,Assumptions!$I$12:$K$12,0),FALSE)),
"")</f>
        <v/>
      </c>
      <c r="AK27" s="99" t="str">
        <f t="shared" si="13"/>
        <v/>
      </c>
      <c r="AL27" s="95" t="str">
        <f>IFERROR(AK27*
(Assumptions!$S$7*(W27/(AO27*Assumptions!$AB$9/100)/AI27)^3+
Assumptions!$S$8*(W27/(AO27*Assumptions!$AB$9/100)/AI27)^2+
Assumptions!$S$9*(W27/(AO27*Assumptions!$AB$9/100)/AI27)+
Assumptions!$S$10),"")</f>
        <v/>
      </c>
      <c r="AM27" s="95" t="str">
        <f>IFERROR(AK27*
(Assumptions!$S$7*(AB27/(AO27*Assumptions!$AB$8/100)/AI27)^3+
Assumptions!$S$8*(AB27/(AO27*Assumptions!$AB$8/100)/AI27)^2+
Assumptions!$S$9*(AB27/(AO27*Assumptions!$AB$8/100)/AI27)+
Assumptions!$S$10),"")</f>
        <v/>
      </c>
      <c r="AN27" s="95" t="str">
        <f>IFERROR(AK27*
(Assumptions!$S$7*(AG27/(AO27*Assumptions!$AB$10/100)/AI27)^3+
Assumptions!$S$8*(AG27/(AO27*Assumptions!$AB$10/100)/AI27)^2+
Assumptions!$S$9*(AG27/(AO27*Assumptions!$AB$10/100)/AI27)+
Assumptions!$S$10),"")</f>
        <v/>
      </c>
      <c r="AO27" s="95" t="str">
        <f>IFERROR(
Assumptions!$AD$8*LN(S27)^2+
Assumptions!$AE$8*LN(R27)*LN(S27)+
Assumptions!$AF$8*LN(R27)^2+
Assumptions!$AG$8*LN(S27)+
Assumptions!$AH$8*LN(R27)-
(IF(Q27=1800,
VLOOKUP(C27,Assumptions!$AA$13:$AC$17,3),
IF(Q27=3600,
VLOOKUP(C27,Assumptions!$AA$18:$AC$22,3),
""))+Assumptions!$AI$8),
"")</f>
        <v/>
      </c>
      <c r="AP27" s="96" t="str">
        <f>IFERROR(
Assumptions!$D$11*(W27/(Assumptions!$AB$9*AO27/100)+AL27)+
Assumptions!$D$10*(AB27/(Assumptions!$AB$8*AO27/100)+AM27)+
Assumptions!$D$12*(AG27/(Assumptions!$AB$10*AO27/100)+AN27),
"")</f>
        <v/>
      </c>
      <c r="AQ27" s="76" t="str">
        <f>IFERROR(
(U27+V27)*Assumptions!$D$11+
(Z27+AA27)*Assumptions!$D$10+
(AE27+AF27)*Assumptions!$D$12,
"")</f>
        <v/>
      </c>
      <c r="AR27" s="104" t="str">
        <f t="shared" si="14"/>
        <v/>
      </c>
      <c r="AS27" s="103" t="str">
        <f t="shared" si="15"/>
        <v/>
      </c>
      <c r="AT27" s="92"/>
    </row>
    <row r="28" spans="1:46" x14ac:dyDescent="0.25">
      <c r="A28" s="264"/>
      <c r="B28" s="265"/>
      <c r="C28" s="265"/>
      <c r="D28" s="265"/>
      <c r="E28" s="266"/>
      <c r="F28" s="270"/>
      <c r="G28" s="271"/>
      <c r="H28" s="271"/>
      <c r="I28" s="272"/>
      <c r="J28" s="270"/>
      <c r="K28" s="271"/>
      <c r="L28" s="272"/>
      <c r="M28" s="270"/>
      <c r="N28" s="271"/>
      <c r="O28" s="272"/>
      <c r="P28" s="97" t="str">
        <f t="shared" si="0"/>
        <v/>
      </c>
      <c r="Q28" s="84" t="str">
        <f t="shared" si="2"/>
        <v/>
      </c>
      <c r="R28" s="101" t="str">
        <f t="shared" si="3"/>
        <v/>
      </c>
      <c r="S28" s="100" t="str">
        <f t="shared" si="4"/>
        <v/>
      </c>
      <c r="T28" s="95" t="str">
        <f t="shared" si="5"/>
        <v/>
      </c>
      <c r="U28" s="95" t="str">
        <f t="shared" si="6"/>
        <v/>
      </c>
      <c r="V28" s="95" t="str">
        <f>IFERROR(AK28*
(Assumptions!$S$7*(U28/AI28)^3+
Assumptions!$S$8*(U28/AI28)^2+
Assumptions!$S$9*(U28/AI28)+
Assumptions!$S$10),"")</f>
        <v/>
      </c>
      <c r="W28" s="96" t="str">
        <f>IFERROR(S28*T28*Assumptions!$B$15/3956,"")</f>
        <v/>
      </c>
      <c r="X28" s="102" t="str">
        <f t="shared" si="7"/>
        <v/>
      </c>
      <c r="Y28" s="95" t="str">
        <f t="shared" si="8"/>
        <v/>
      </c>
      <c r="Z28" s="95" t="str">
        <f t="shared" si="9"/>
        <v/>
      </c>
      <c r="AA28" s="95" t="str">
        <f>IFERROR(AK28*
(Assumptions!$S$7*(Z28/AI28)^3+
Assumptions!$S$8*(Z28/AI28)^2+
Assumptions!$S$9*(Z28/AI28)+
Assumptions!$S$10),"")</f>
        <v/>
      </c>
      <c r="AB28" s="96" t="str">
        <f>IFERROR(X28*Y28*Assumptions!$B$15/3956,"")</f>
        <v/>
      </c>
      <c r="AC28" s="102" t="str">
        <f t="shared" si="10"/>
        <v/>
      </c>
      <c r="AD28" s="95" t="str">
        <f t="shared" si="11"/>
        <v/>
      </c>
      <c r="AE28" s="95" t="str">
        <f t="shared" si="12"/>
        <v/>
      </c>
      <c r="AF28" s="95" t="str">
        <f>IFERROR(AK28*
(Assumptions!$S$7*(AE28/AI28)^3+
Assumptions!$S$8*(AE28/AI28)^2+
Assumptions!$S$9*(AE28/AI28)+
Assumptions!$S$10),"")</f>
        <v/>
      </c>
      <c r="AG28" s="96" t="str">
        <f>IFERROR(AC28*AD28*Assumptions!$B$15/3956,"")</f>
        <v/>
      </c>
      <c r="AH28" s="94" t="str">
        <f t="shared" si="1"/>
        <v/>
      </c>
      <c r="AI28" s="93" t="str">
        <f>IFERROR(
IF(C28="VTS",
INDEX(Assumptions!$I$38:$I$57,MATCH(AH28,Assumptions!$I$38:$I$57,-1)),
INDEX(Assumptions!$I$13:$I$32,MATCH(AH28,Assumptions!$I$13:$I$32,-1))),
"")</f>
        <v/>
      </c>
      <c r="AJ28" s="96" t="str">
        <f>IFERROR(
IF(C28="VTS",
VLOOKUP(AI28,Assumptions!$I$38:$K$57,MATCH(P28,Assumptions!$I$37:$K$37,0),FALSE),
VLOOKUP(AI28,Assumptions!$I$13:$K$32,MATCH(P28,Assumptions!$I$12:$K$12,0),FALSE)),
"")</f>
        <v/>
      </c>
      <c r="AK28" s="99" t="str">
        <f t="shared" si="13"/>
        <v/>
      </c>
      <c r="AL28" s="95" t="str">
        <f>IFERROR(AK28*
(Assumptions!$S$7*(W28/(AO28*Assumptions!$AB$9/100)/AI28)^3+
Assumptions!$S$8*(W28/(AO28*Assumptions!$AB$9/100)/AI28)^2+
Assumptions!$S$9*(W28/(AO28*Assumptions!$AB$9/100)/AI28)+
Assumptions!$S$10),"")</f>
        <v/>
      </c>
      <c r="AM28" s="95" t="str">
        <f>IFERROR(AK28*
(Assumptions!$S$7*(AB28/(AO28*Assumptions!$AB$8/100)/AI28)^3+
Assumptions!$S$8*(AB28/(AO28*Assumptions!$AB$8/100)/AI28)^2+
Assumptions!$S$9*(AB28/(AO28*Assumptions!$AB$8/100)/AI28)+
Assumptions!$S$10),"")</f>
        <v/>
      </c>
      <c r="AN28" s="95" t="str">
        <f>IFERROR(AK28*
(Assumptions!$S$7*(AG28/(AO28*Assumptions!$AB$10/100)/AI28)^3+
Assumptions!$S$8*(AG28/(AO28*Assumptions!$AB$10/100)/AI28)^2+
Assumptions!$S$9*(AG28/(AO28*Assumptions!$AB$10/100)/AI28)+
Assumptions!$S$10),"")</f>
        <v/>
      </c>
      <c r="AO28" s="95" t="str">
        <f>IFERROR(
Assumptions!$AD$8*LN(S28)^2+
Assumptions!$AE$8*LN(R28)*LN(S28)+
Assumptions!$AF$8*LN(R28)^2+
Assumptions!$AG$8*LN(S28)+
Assumptions!$AH$8*LN(R28)-
(IF(Q28=1800,
VLOOKUP(C28,Assumptions!$AA$13:$AC$17,3),
IF(Q28=3600,
VLOOKUP(C28,Assumptions!$AA$18:$AC$22,3),
""))+Assumptions!$AI$8),
"")</f>
        <v/>
      </c>
      <c r="AP28" s="96" t="str">
        <f>IFERROR(
Assumptions!$D$11*(W28/(Assumptions!$AB$9*AO28/100)+AL28)+
Assumptions!$D$10*(AB28/(Assumptions!$AB$8*AO28/100)+AM28)+
Assumptions!$D$12*(AG28/(Assumptions!$AB$10*AO28/100)+AN28),
"")</f>
        <v/>
      </c>
      <c r="AQ28" s="76" t="str">
        <f>IFERROR(
(U28+V28)*Assumptions!$D$11+
(Z28+AA28)*Assumptions!$D$10+
(AE28+AF28)*Assumptions!$D$12,
"")</f>
        <v/>
      </c>
      <c r="AR28" s="104" t="str">
        <f t="shared" si="14"/>
        <v/>
      </c>
      <c r="AS28" s="103" t="str">
        <f t="shared" si="15"/>
        <v/>
      </c>
      <c r="AT28" s="92"/>
    </row>
    <row r="29" spans="1:46" x14ac:dyDescent="0.25">
      <c r="A29" s="264"/>
      <c r="B29" s="265"/>
      <c r="C29" s="265"/>
      <c r="D29" s="265"/>
      <c r="E29" s="266"/>
      <c r="F29" s="270"/>
      <c r="G29" s="271"/>
      <c r="H29" s="271"/>
      <c r="I29" s="272"/>
      <c r="J29" s="270"/>
      <c r="K29" s="271"/>
      <c r="L29" s="272"/>
      <c r="M29" s="270"/>
      <c r="N29" s="271"/>
      <c r="O29" s="272"/>
      <c r="P29" s="97" t="str">
        <f t="shared" si="0"/>
        <v/>
      </c>
      <c r="Q29" s="84" t="str">
        <f t="shared" si="2"/>
        <v/>
      </c>
      <c r="R29" s="101" t="str">
        <f t="shared" si="3"/>
        <v/>
      </c>
      <c r="S29" s="100" t="str">
        <f t="shared" si="4"/>
        <v/>
      </c>
      <c r="T29" s="95" t="str">
        <f t="shared" si="5"/>
        <v/>
      </c>
      <c r="U29" s="95" t="str">
        <f t="shared" si="6"/>
        <v/>
      </c>
      <c r="V29" s="95" t="str">
        <f>IFERROR(AK29*
(Assumptions!$S$7*(U29/AI29)^3+
Assumptions!$S$8*(U29/AI29)^2+
Assumptions!$S$9*(U29/AI29)+
Assumptions!$S$10),"")</f>
        <v/>
      </c>
      <c r="W29" s="96" t="str">
        <f>IFERROR(S29*T29*Assumptions!$B$15/3956,"")</f>
        <v/>
      </c>
      <c r="X29" s="102" t="str">
        <f t="shared" si="7"/>
        <v/>
      </c>
      <c r="Y29" s="95" t="str">
        <f t="shared" si="8"/>
        <v/>
      </c>
      <c r="Z29" s="95" t="str">
        <f t="shared" si="9"/>
        <v/>
      </c>
      <c r="AA29" s="95" t="str">
        <f>IFERROR(AK29*
(Assumptions!$S$7*(Z29/AI29)^3+
Assumptions!$S$8*(Z29/AI29)^2+
Assumptions!$S$9*(Z29/AI29)+
Assumptions!$S$10),"")</f>
        <v/>
      </c>
      <c r="AB29" s="96" t="str">
        <f>IFERROR(X29*Y29*Assumptions!$B$15/3956,"")</f>
        <v/>
      </c>
      <c r="AC29" s="102" t="str">
        <f t="shared" si="10"/>
        <v/>
      </c>
      <c r="AD29" s="95" t="str">
        <f t="shared" si="11"/>
        <v/>
      </c>
      <c r="AE29" s="95" t="str">
        <f t="shared" si="12"/>
        <v/>
      </c>
      <c r="AF29" s="95" t="str">
        <f>IFERROR(AK29*
(Assumptions!$S$7*(AE29/AI29)^3+
Assumptions!$S$8*(AE29/AI29)^2+
Assumptions!$S$9*(AE29/AI29)+
Assumptions!$S$10),"")</f>
        <v/>
      </c>
      <c r="AG29" s="96" t="str">
        <f>IFERROR(AC29*AD29*Assumptions!$B$15/3956,"")</f>
        <v/>
      </c>
      <c r="AH29" s="94" t="str">
        <f t="shared" si="1"/>
        <v/>
      </c>
      <c r="AI29" s="93" t="str">
        <f>IFERROR(
IF(C29="VTS",
INDEX(Assumptions!$I$38:$I$57,MATCH(AH29,Assumptions!$I$38:$I$57,-1)),
INDEX(Assumptions!$I$13:$I$32,MATCH(AH29,Assumptions!$I$13:$I$32,-1))),
"")</f>
        <v/>
      </c>
      <c r="AJ29" s="96" t="str">
        <f>IFERROR(
IF(C29="VTS",
VLOOKUP(AI29,Assumptions!$I$38:$K$57,MATCH(P29,Assumptions!$I$37:$K$37,0),FALSE),
VLOOKUP(AI29,Assumptions!$I$13:$K$32,MATCH(P29,Assumptions!$I$12:$K$12,0),FALSE)),
"")</f>
        <v/>
      </c>
      <c r="AK29" s="99" t="str">
        <f t="shared" si="13"/>
        <v/>
      </c>
      <c r="AL29" s="95" t="str">
        <f>IFERROR(AK29*
(Assumptions!$S$7*(W29/(AO29*Assumptions!$AB$9/100)/AI29)^3+
Assumptions!$S$8*(W29/(AO29*Assumptions!$AB$9/100)/AI29)^2+
Assumptions!$S$9*(W29/(AO29*Assumptions!$AB$9/100)/AI29)+
Assumptions!$S$10),"")</f>
        <v/>
      </c>
      <c r="AM29" s="95" t="str">
        <f>IFERROR(AK29*
(Assumptions!$S$7*(AB29/(AO29*Assumptions!$AB$8/100)/AI29)^3+
Assumptions!$S$8*(AB29/(AO29*Assumptions!$AB$8/100)/AI29)^2+
Assumptions!$S$9*(AB29/(AO29*Assumptions!$AB$8/100)/AI29)+
Assumptions!$S$10),"")</f>
        <v/>
      </c>
      <c r="AN29" s="95" t="str">
        <f>IFERROR(AK29*
(Assumptions!$S$7*(AG29/(AO29*Assumptions!$AB$10/100)/AI29)^3+
Assumptions!$S$8*(AG29/(AO29*Assumptions!$AB$10/100)/AI29)^2+
Assumptions!$S$9*(AG29/(AO29*Assumptions!$AB$10/100)/AI29)+
Assumptions!$S$10),"")</f>
        <v/>
      </c>
      <c r="AO29" s="95" t="str">
        <f>IFERROR(
Assumptions!$AD$8*LN(S29)^2+
Assumptions!$AE$8*LN(R29)*LN(S29)+
Assumptions!$AF$8*LN(R29)^2+
Assumptions!$AG$8*LN(S29)+
Assumptions!$AH$8*LN(R29)-
(IF(Q29=1800,
VLOOKUP(C29,Assumptions!$AA$13:$AC$17,3),
IF(Q29=3600,
VLOOKUP(C29,Assumptions!$AA$18:$AC$22,3),
""))+Assumptions!$AI$8),
"")</f>
        <v/>
      </c>
      <c r="AP29" s="96" t="str">
        <f>IFERROR(
Assumptions!$D$11*(W29/(Assumptions!$AB$9*AO29/100)+AL29)+
Assumptions!$D$10*(AB29/(Assumptions!$AB$8*AO29/100)+AM29)+
Assumptions!$D$12*(AG29/(Assumptions!$AB$10*AO29/100)+AN29),
"")</f>
        <v/>
      </c>
      <c r="AQ29" s="76" t="str">
        <f>IFERROR(
(U29+V29)*Assumptions!$D$11+
(Z29+AA29)*Assumptions!$D$10+
(AE29+AF29)*Assumptions!$D$12,
"")</f>
        <v/>
      </c>
      <c r="AR29" s="104" t="str">
        <f t="shared" si="14"/>
        <v/>
      </c>
      <c r="AS29" s="103" t="str">
        <f t="shared" si="15"/>
        <v/>
      </c>
      <c r="AT29" s="92"/>
    </row>
    <row r="30" spans="1:46" x14ac:dyDescent="0.25">
      <c r="A30" s="264"/>
      <c r="B30" s="265"/>
      <c r="C30" s="265"/>
      <c r="D30" s="265"/>
      <c r="E30" s="266"/>
      <c r="F30" s="270"/>
      <c r="G30" s="271"/>
      <c r="H30" s="271"/>
      <c r="I30" s="272"/>
      <c r="J30" s="270"/>
      <c r="K30" s="271"/>
      <c r="L30" s="272"/>
      <c r="M30" s="270"/>
      <c r="N30" s="271"/>
      <c r="O30" s="272"/>
      <c r="P30" s="97" t="str">
        <f t="shared" si="0"/>
        <v/>
      </c>
      <c r="Q30" s="84" t="str">
        <f t="shared" si="2"/>
        <v/>
      </c>
      <c r="R30" s="101" t="str">
        <f t="shared" si="3"/>
        <v/>
      </c>
      <c r="S30" s="100" t="str">
        <f t="shared" si="4"/>
        <v/>
      </c>
      <c r="T30" s="95" t="str">
        <f t="shared" si="5"/>
        <v/>
      </c>
      <c r="U30" s="95" t="str">
        <f t="shared" si="6"/>
        <v/>
      </c>
      <c r="V30" s="95" t="str">
        <f>IFERROR(AK30*
(Assumptions!$S$7*(U30/AI30)^3+
Assumptions!$S$8*(U30/AI30)^2+
Assumptions!$S$9*(U30/AI30)+
Assumptions!$S$10),"")</f>
        <v/>
      </c>
      <c r="W30" s="96" t="str">
        <f>IFERROR(S30*T30*Assumptions!$B$15/3956,"")</f>
        <v/>
      </c>
      <c r="X30" s="102" t="str">
        <f t="shared" si="7"/>
        <v/>
      </c>
      <c r="Y30" s="95" t="str">
        <f t="shared" si="8"/>
        <v/>
      </c>
      <c r="Z30" s="95" t="str">
        <f t="shared" si="9"/>
        <v/>
      </c>
      <c r="AA30" s="95" t="str">
        <f>IFERROR(AK30*
(Assumptions!$S$7*(Z30/AI30)^3+
Assumptions!$S$8*(Z30/AI30)^2+
Assumptions!$S$9*(Z30/AI30)+
Assumptions!$S$10),"")</f>
        <v/>
      </c>
      <c r="AB30" s="96" t="str">
        <f>IFERROR(X30*Y30*Assumptions!$B$15/3956,"")</f>
        <v/>
      </c>
      <c r="AC30" s="102" t="str">
        <f t="shared" si="10"/>
        <v/>
      </c>
      <c r="AD30" s="95" t="str">
        <f t="shared" si="11"/>
        <v/>
      </c>
      <c r="AE30" s="95" t="str">
        <f t="shared" si="12"/>
        <v/>
      </c>
      <c r="AF30" s="95" t="str">
        <f>IFERROR(AK30*
(Assumptions!$S$7*(AE30/AI30)^3+
Assumptions!$S$8*(AE30/AI30)^2+
Assumptions!$S$9*(AE30/AI30)+
Assumptions!$S$10),"")</f>
        <v/>
      </c>
      <c r="AG30" s="96" t="str">
        <f>IFERROR(AC30*AD30*Assumptions!$B$15/3956,"")</f>
        <v/>
      </c>
      <c r="AH30" s="94" t="str">
        <f t="shared" si="1"/>
        <v/>
      </c>
      <c r="AI30" s="93" t="str">
        <f>IFERROR(
IF(C30="VTS",
INDEX(Assumptions!$I$38:$I$57,MATCH(AH30,Assumptions!$I$38:$I$57,-1)),
INDEX(Assumptions!$I$13:$I$32,MATCH(AH30,Assumptions!$I$13:$I$32,-1))),
"")</f>
        <v/>
      </c>
      <c r="AJ30" s="96" t="str">
        <f>IFERROR(
IF(C30="VTS",
VLOOKUP(AI30,Assumptions!$I$38:$K$57,MATCH(P30,Assumptions!$I$37:$K$37,0),FALSE),
VLOOKUP(AI30,Assumptions!$I$13:$K$32,MATCH(P30,Assumptions!$I$12:$K$12,0),FALSE)),
"")</f>
        <v/>
      </c>
      <c r="AK30" s="99" t="str">
        <f t="shared" si="13"/>
        <v/>
      </c>
      <c r="AL30" s="95" t="str">
        <f>IFERROR(AK30*
(Assumptions!$S$7*(W30/(AO30*Assumptions!$AB$9/100)/AI30)^3+
Assumptions!$S$8*(W30/(AO30*Assumptions!$AB$9/100)/AI30)^2+
Assumptions!$S$9*(W30/(AO30*Assumptions!$AB$9/100)/AI30)+
Assumptions!$S$10),"")</f>
        <v/>
      </c>
      <c r="AM30" s="95" t="str">
        <f>IFERROR(AK30*
(Assumptions!$S$7*(AB30/(AO30*Assumptions!$AB$8/100)/AI30)^3+
Assumptions!$S$8*(AB30/(AO30*Assumptions!$AB$8/100)/AI30)^2+
Assumptions!$S$9*(AB30/(AO30*Assumptions!$AB$8/100)/AI30)+
Assumptions!$S$10),"")</f>
        <v/>
      </c>
      <c r="AN30" s="95" t="str">
        <f>IFERROR(AK30*
(Assumptions!$S$7*(AG30/(AO30*Assumptions!$AB$10/100)/AI30)^3+
Assumptions!$S$8*(AG30/(AO30*Assumptions!$AB$10/100)/AI30)^2+
Assumptions!$S$9*(AG30/(AO30*Assumptions!$AB$10/100)/AI30)+
Assumptions!$S$10),"")</f>
        <v/>
      </c>
      <c r="AO30" s="95" t="str">
        <f>IFERROR(
Assumptions!$AD$8*LN(S30)^2+
Assumptions!$AE$8*LN(R30)*LN(S30)+
Assumptions!$AF$8*LN(R30)^2+
Assumptions!$AG$8*LN(S30)+
Assumptions!$AH$8*LN(R30)-
(IF(Q30=1800,
VLOOKUP(C30,Assumptions!$AA$13:$AC$17,3),
IF(Q30=3600,
VLOOKUP(C30,Assumptions!$AA$18:$AC$22,3),
""))+Assumptions!$AI$8),
"")</f>
        <v/>
      </c>
      <c r="AP30" s="96" t="str">
        <f>IFERROR(
Assumptions!$D$11*(W30/(Assumptions!$AB$9*AO30/100)+AL30)+
Assumptions!$D$10*(AB30/(Assumptions!$AB$8*AO30/100)+AM30)+
Assumptions!$D$12*(AG30/(Assumptions!$AB$10*AO30/100)+AN30),
"")</f>
        <v/>
      </c>
      <c r="AQ30" s="76" t="str">
        <f>IFERROR(
(U30+V30)*Assumptions!$D$11+
(Z30+AA30)*Assumptions!$D$10+
(AE30+AF30)*Assumptions!$D$12,
"")</f>
        <v/>
      </c>
      <c r="AR30" s="104" t="str">
        <f t="shared" si="14"/>
        <v/>
      </c>
      <c r="AS30" s="103" t="str">
        <f t="shared" si="15"/>
        <v/>
      </c>
      <c r="AT30" s="92"/>
    </row>
    <row r="31" spans="1:46" x14ac:dyDescent="0.25">
      <c r="A31" s="264"/>
      <c r="B31" s="265"/>
      <c r="C31" s="265"/>
      <c r="D31" s="265"/>
      <c r="E31" s="266"/>
      <c r="F31" s="270"/>
      <c r="G31" s="271"/>
      <c r="H31" s="271"/>
      <c r="I31" s="272"/>
      <c r="J31" s="270"/>
      <c r="K31" s="271"/>
      <c r="L31" s="272"/>
      <c r="M31" s="270"/>
      <c r="N31" s="271"/>
      <c r="O31" s="272"/>
      <c r="P31" s="97" t="str">
        <f t="shared" si="0"/>
        <v/>
      </c>
      <c r="Q31" s="84" t="str">
        <f t="shared" si="2"/>
        <v/>
      </c>
      <c r="R31" s="101" t="str">
        <f t="shared" si="3"/>
        <v/>
      </c>
      <c r="S31" s="100" t="str">
        <f t="shared" si="4"/>
        <v/>
      </c>
      <c r="T31" s="95" t="str">
        <f t="shared" si="5"/>
        <v/>
      </c>
      <c r="U31" s="95" t="str">
        <f t="shared" si="6"/>
        <v/>
      </c>
      <c r="V31" s="95" t="str">
        <f>IFERROR(AK31*
(Assumptions!$S$7*(U31/AI31)^3+
Assumptions!$S$8*(U31/AI31)^2+
Assumptions!$S$9*(U31/AI31)+
Assumptions!$S$10),"")</f>
        <v/>
      </c>
      <c r="W31" s="96" t="str">
        <f>IFERROR(S31*T31*Assumptions!$B$15/3956,"")</f>
        <v/>
      </c>
      <c r="X31" s="102" t="str">
        <f t="shared" si="7"/>
        <v/>
      </c>
      <c r="Y31" s="95" t="str">
        <f t="shared" si="8"/>
        <v/>
      </c>
      <c r="Z31" s="95" t="str">
        <f t="shared" si="9"/>
        <v/>
      </c>
      <c r="AA31" s="95" t="str">
        <f>IFERROR(AK31*
(Assumptions!$S$7*(Z31/AI31)^3+
Assumptions!$S$8*(Z31/AI31)^2+
Assumptions!$S$9*(Z31/AI31)+
Assumptions!$S$10),"")</f>
        <v/>
      </c>
      <c r="AB31" s="96" t="str">
        <f>IFERROR(X31*Y31*Assumptions!$B$15/3956,"")</f>
        <v/>
      </c>
      <c r="AC31" s="102" t="str">
        <f t="shared" si="10"/>
        <v/>
      </c>
      <c r="AD31" s="95" t="str">
        <f t="shared" si="11"/>
        <v/>
      </c>
      <c r="AE31" s="95" t="str">
        <f t="shared" si="12"/>
        <v/>
      </c>
      <c r="AF31" s="95" t="str">
        <f>IFERROR(AK31*
(Assumptions!$S$7*(AE31/AI31)^3+
Assumptions!$S$8*(AE31/AI31)^2+
Assumptions!$S$9*(AE31/AI31)+
Assumptions!$S$10),"")</f>
        <v/>
      </c>
      <c r="AG31" s="96" t="str">
        <f>IFERROR(AC31*AD31*Assumptions!$B$15/3956,"")</f>
        <v/>
      </c>
      <c r="AH31" s="94" t="str">
        <f t="shared" si="1"/>
        <v/>
      </c>
      <c r="AI31" s="93" t="str">
        <f>IFERROR(
IF(C31="VTS",
INDEX(Assumptions!$I$38:$I$57,MATCH(AH31,Assumptions!$I$38:$I$57,-1)),
INDEX(Assumptions!$I$13:$I$32,MATCH(AH31,Assumptions!$I$13:$I$32,-1))),
"")</f>
        <v/>
      </c>
      <c r="AJ31" s="96" t="str">
        <f>IFERROR(
IF(C31="VTS",
VLOOKUP(AI31,Assumptions!$I$38:$K$57,MATCH(P31,Assumptions!$I$37:$K$37,0),FALSE),
VLOOKUP(AI31,Assumptions!$I$13:$K$32,MATCH(P31,Assumptions!$I$12:$K$12,0),FALSE)),
"")</f>
        <v/>
      </c>
      <c r="AK31" s="99" t="str">
        <f t="shared" si="13"/>
        <v/>
      </c>
      <c r="AL31" s="95" t="str">
        <f>IFERROR(AK31*
(Assumptions!$S$7*(W31/(AO31*Assumptions!$AB$9/100)/AI31)^3+
Assumptions!$S$8*(W31/(AO31*Assumptions!$AB$9/100)/AI31)^2+
Assumptions!$S$9*(W31/(AO31*Assumptions!$AB$9/100)/AI31)+
Assumptions!$S$10),"")</f>
        <v/>
      </c>
      <c r="AM31" s="95" t="str">
        <f>IFERROR(AK31*
(Assumptions!$S$7*(AB31/(AO31*Assumptions!$AB$8/100)/AI31)^3+
Assumptions!$S$8*(AB31/(AO31*Assumptions!$AB$8/100)/AI31)^2+
Assumptions!$S$9*(AB31/(AO31*Assumptions!$AB$8/100)/AI31)+
Assumptions!$S$10),"")</f>
        <v/>
      </c>
      <c r="AN31" s="95" t="str">
        <f>IFERROR(AK31*
(Assumptions!$S$7*(AG31/(AO31*Assumptions!$AB$10/100)/AI31)^3+
Assumptions!$S$8*(AG31/(AO31*Assumptions!$AB$10/100)/AI31)^2+
Assumptions!$S$9*(AG31/(AO31*Assumptions!$AB$10/100)/AI31)+
Assumptions!$S$10),"")</f>
        <v/>
      </c>
      <c r="AO31" s="95" t="str">
        <f>IFERROR(
Assumptions!$AD$8*LN(S31)^2+
Assumptions!$AE$8*LN(R31)*LN(S31)+
Assumptions!$AF$8*LN(R31)^2+
Assumptions!$AG$8*LN(S31)+
Assumptions!$AH$8*LN(R31)-
(IF(Q31=1800,
VLOOKUP(C31,Assumptions!$AA$13:$AC$17,3),
IF(Q31=3600,
VLOOKUP(C31,Assumptions!$AA$18:$AC$22,3),
""))+Assumptions!$AI$8),
"")</f>
        <v/>
      </c>
      <c r="AP31" s="96" t="str">
        <f>IFERROR(
Assumptions!$D$11*(W31/(Assumptions!$AB$9*AO31/100)+AL31)+
Assumptions!$D$10*(AB31/(Assumptions!$AB$8*AO31/100)+AM31)+
Assumptions!$D$12*(AG31/(Assumptions!$AB$10*AO31/100)+AN31),
"")</f>
        <v/>
      </c>
      <c r="AQ31" s="76" t="str">
        <f>IFERROR(
(U31+V31)*Assumptions!$D$11+
(Z31+AA31)*Assumptions!$D$10+
(AE31+AF31)*Assumptions!$D$12,
"")</f>
        <v/>
      </c>
      <c r="AR31" s="104" t="str">
        <f t="shared" si="14"/>
        <v/>
      </c>
      <c r="AS31" s="103" t="str">
        <f t="shared" si="15"/>
        <v/>
      </c>
      <c r="AT31" s="92"/>
    </row>
    <row r="32" spans="1:46" x14ac:dyDescent="0.25">
      <c r="A32" s="264"/>
      <c r="B32" s="265"/>
      <c r="C32" s="265"/>
      <c r="D32" s="265"/>
      <c r="E32" s="266"/>
      <c r="F32" s="270"/>
      <c r="G32" s="271"/>
      <c r="H32" s="271"/>
      <c r="I32" s="272"/>
      <c r="J32" s="270"/>
      <c r="K32" s="271"/>
      <c r="L32" s="272"/>
      <c r="M32" s="270"/>
      <c r="N32" s="271"/>
      <c r="O32" s="272"/>
      <c r="P32" s="97" t="str">
        <f t="shared" si="0"/>
        <v/>
      </c>
      <c r="Q32" s="84" t="str">
        <f t="shared" si="2"/>
        <v/>
      </c>
      <c r="R32" s="101" t="str">
        <f t="shared" si="3"/>
        <v/>
      </c>
      <c r="S32" s="100" t="str">
        <f t="shared" si="4"/>
        <v/>
      </c>
      <c r="T32" s="95" t="str">
        <f t="shared" si="5"/>
        <v/>
      </c>
      <c r="U32" s="95" t="str">
        <f t="shared" si="6"/>
        <v/>
      </c>
      <c r="V32" s="95" t="str">
        <f>IFERROR(AK32*
(Assumptions!$S$7*(U32/AI32)^3+
Assumptions!$S$8*(U32/AI32)^2+
Assumptions!$S$9*(U32/AI32)+
Assumptions!$S$10),"")</f>
        <v/>
      </c>
      <c r="W32" s="96" t="str">
        <f>IFERROR(S32*T32*Assumptions!$B$15/3956,"")</f>
        <v/>
      </c>
      <c r="X32" s="102" t="str">
        <f t="shared" si="7"/>
        <v/>
      </c>
      <c r="Y32" s="95" t="str">
        <f t="shared" si="8"/>
        <v/>
      </c>
      <c r="Z32" s="95" t="str">
        <f t="shared" si="9"/>
        <v/>
      </c>
      <c r="AA32" s="95" t="str">
        <f>IFERROR(AK32*
(Assumptions!$S$7*(Z32/AI32)^3+
Assumptions!$S$8*(Z32/AI32)^2+
Assumptions!$S$9*(Z32/AI32)+
Assumptions!$S$10),"")</f>
        <v/>
      </c>
      <c r="AB32" s="96" t="str">
        <f>IFERROR(X32*Y32*Assumptions!$B$15/3956,"")</f>
        <v/>
      </c>
      <c r="AC32" s="102" t="str">
        <f t="shared" si="10"/>
        <v/>
      </c>
      <c r="AD32" s="95" t="str">
        <f t="shared" si="11"/>
        <v/>
      </c>
      <c r="AE32" s="95" t="str">
        <f t="shared" si="12"/>
        <v/>
      </c>
      <c r="AF32" s="95" t="str">
        <f>IFERROR(AK32*
(Assumptions!$S$7*(AE32/AI32)^3+
Assumptions!$S$8*(AE32/AI32)^2+
Assumptions!$S$9*(AE32/AI32)+
Assumptions!$S$10),"")</f>
        <v/>
      </c>
      <c r="AG32" s="96" t="str">
        <f>IFERROR(AC32*AD32*Assumptions!$B$15/3956,"")</f>
        <v/>
      </c>
      <c r="AH32" s="94" t="str">
        <f t="shared" si="1"/>
        <v/>
      </c>
      <c r="AI32" s="93" t="str">
        <f>IFERROR(
IF(C32="VTS",
INDEX(Assumptions!$I$38:$I$57,MATCH(AH32,Assumptions!$I$38:$I$57,-1)),
INDEX(Assumptions!$I$13:$I$32,MATCH(AH32,Assumptions!$I$13:$I$32,-1))),
"")</f>
        <v/>
      </c>
      <c r="AJ32" s="96" t="str">
        <f>IFERROR(
IF(C32="VTS",
VLOOKUP(AI32,Assumptions!$I$38:$K$57,MATCH(P32,Assumptions!$I$37:$K$37,0),FALSE),
VLOOKUP(AI32,Assumptions!$I$13:$K$32,MATCH(P32,Assumptions!$I$12:$K$12,0),FALSE)),
"")</f>
        <v/>
      </c>
      <c r="AK32" s="99" t="str">
        <f t="shared" si="13"/>
        <v/>
      </c>
      <c r="AL32" s="95" t="str">
        <f>IFERROR(AK32*
(Assumptions!$S$7*(W32/(AO32*Assumptions!$AB$9/100)/AI32)^3+
Assumptions!$S$8*(W32/(AO32*Assumptions!$AB$9/100)/AI32)^2+
Assumptions!$S$9*(W32/(AO32*Assumptions!$AB$9/100)/AI32)+
Assumptions!$S$10),"")</f>
        <v/>
      </c>
      <c r="AM32" s="95" t="str">
        <f>IFERROR(AK32*
(Assumptions!$S$7*(AB32/(AO32*Assumptions!$AB$8/100)/AI32)^3+
Assumptions!$S$8*(AB32/(AO32*Assumptions!$AB$8/100)/AI32)^2+
Assumptions!$S$9*(AB32/(AO32*Assumptions!$AB$8/100)/AI32)+
Assumptions!$S$10),"")</f>
        <v/>
      </c>
      <c r="AN32" s="95" t="str">
        <f>IFERROR(AK32*
(Assumptions!$S$7*(AG32/(AO32*Assumptions!$AB$10/100)/AI32)^3+
Assumptions!$S$8*(AG32/(AO32*Assumptions!$AB$10/100)/AI32)^2+
Assumptions!$S$9*(AG32/(AO32*Assumptions!$AB$10/100)/AI32)+
Assumptions!$S$10),"")</f>
        <v/>
      </c>
      <c r="AO32" s="95" t="str">
        <f>IFERROR(
Assumptions!$AD$8*LN(S32)^2+
Assumptions!$AE$8*LN(R32)*LN(S32)+
Assumptions!$AF$8*LN(R32)^2+
Assumptions!$AG$8*LN(S32)+
Assumptions!$AH$8*LN(R32)-
(IF(Q32=1800,
VLOOKUP(C32,Assumptions!$AA$13:$AC$17,3),
IF(Q32=3600,
VLOOKUP(C32,Assumptions!$AA$18:$AC$22,3),
""))+Assumptions!$AI$8),
"")</f>
        <v/>
      </c>
      <c r="AP32" s="96" t="str">
        <f>IFERROR(
Assumptions!$D$11*(W32/(Assumptions!$AB$9*AO32/100)+AL32)+
Assumptions!$D$10*(AB32/(Assumptions!$AB$8*AO32/100)+AM32)+
Assumptions!$D$12*(AG32/(Assumptions!$AB$10*AO32/100)+AN32),
"")</f>
        <v/>
      </c>
      <c r="AQ32" s="76" t="str">
        <f>IFERROR(
(U32+V32)*Assumptions!$D$11+
(Z32+AA32)*Assumptions!$D$10+
(AE32+AF32)*Assumptions!$D$12,
"")</f>
        <v/>
      </c>
      <c r="AR32" s="104" t="str">
        <f t="shared" si="14"/>
        <v/>
      </c>
      <c r="AS32" s="103" t="str">
        <f t="shared" si="15"/>
        <v/>
      </c>
      <c r="AT32" s="92"/>
    </row>
    <row r="33" spans="1:46" x14ac:dyDescent="0.25">
      <c r="A33" s="264"/>
      <c r="B33" s="265"/>
      <c r="C33" s="265"/>
      <c r="D33" s="265"/>
      <c r="E33" s="266"/>
      <c r="F33" s="270"/>
      <c r="G33" s="271"/>
      <c r="H33" s="271"/>
      <c r="I33" s="272"/>
      <c r="J33" s="270"/>
      <c r="K33" s="271"/>
      <c r="L33" s="272"/>
      <c r="M33" s="270"/>
      <c r="N33" s="271"/>
      <c r="O33" s="272"/>
      <c r="P33" s="97" t="str">
        <f t="shared" si="0"/>
        <v/>
      </c>
      <c r="Q33" s="84" t="str">
        <f t="shared" si="2"/>
        <v/>
      </c>
      <c r="R33" s="101" t="str">
        <f t="shared" si="3"/>
        <v/>
      </c>
      <c r="S33" s="100" t="str">
        <f t="shared" si="4"/>
        <v/>
      </c>
      <c r="T33" s="95" t="str">
        <f t="shared" si="5"/>
        <v/>
      </c>
      <c r="U33" s="95" t="str">
        <f t="shared" si="6"/>
        <v/>
      </c>
      <c r="V33" s="95" t="str">
        <f>IFERROR(AK33*
(Assumptions!$S$7*(U33/AI33)^3+
Assumptions!$S$8*(U33/AI33)^2+
Assumptions!$S$9*(U33/AI33)+
Assumptions!$S$10),"")</f>
        <v/>
      </c>
      <c r="W33" s="96" t="str">
        <f>IFERROR(S33*T33*Assumptions!$B$15/3956,"")</f>
        <v/>
      </c>
      <c r="X33" s="102" t="str">
        <f t="shared" si="7"/>
        <v/>
      </c>
      <c r="Y33" s="95" t="str">
        <f t="shared" si="8"/>
        <v/>
      </c>
      <c r="Z33" s="95" t="str">
        <f t="shared" si="9"/>
        <v/>
      </c>
      <c r="AA33" s="95" t="str">
        <f>IFERROR(AK33*
(Assumptions!$S$7*(Z33/AI33)^3+
Assumptions!$S$8*(Z33/AI33)^2+
Assumptions!$S$9*(Z33/AI33)+
Assumptions!$S$10),"")</f>
        <v/>
      </c>
      <c r="AB33" s="96" t="str">
        <f>IFERROR(X33*Y33*Assumptions!$B$15/3956,"")</f>
        <v/>
      </c>
      <c r="AC33" s="102" t="str">
        <f t="shared" si="10"/>
        <v/>
      </c>
      <c r="AD33" s="95" t="str">
        <f t="shared" si="11"/>
        <v/>
      </c>
      <c r="AE33" s="95" t="str">
        <f t="shared" si="12"/>
        <v/>
      </c>
      <c r="AF33" s="95" t="str">
        <f>IFERROR(AK33*
(Assumptions!$S$7*(AE33/AI33)^3+
Assumptions!$S$8*(AE33/AI33)^2+
Assumptions!$S$9*(AE33/AI33)+
Assumptions!$S$10),"")</f>
        <v/>
      </c>
      <c r="AG33" s="96" t="str">
        <f>IFERROR(AC33*AD33*Assumptions!$B$15/3956,"")</f>
        <v/>
      </c>
      <c r="AH33" s="94" t="str">
        <f t="shared" si="1"/>
        <v/>
      </c>
      <c r="AI33" s="93" t="str">
        <f>IFERROR(
IF(C33="VTS",
INDEX(Assumptions!$I$38:$I$57,MATCH(AH33,Assumptions!$I$38:$I$57,-1)),
INDEX(Assumptions!$I$13:$I$32,MATCH(AH33,Assumptions!$I$13:$I$32,-1))),
"")</f>
        <v/>
      </c>
      <c r="AJ33" s="96" t="str">
        <f>IFERROR(
IF(C33="VTS",
VLOOKUP(AI33,Assumptions!$I$38:$K$57,MATCH(P33,Assumptions!$I$37:$K$37,0),FALSE),
VLOOKUP(AI33,Assumptions!$I$13:$K$32,MATCH(P33,Assumptions!$I$12:$K$12,0),FALSE)),
"")</f>
        <v/>
      </c>
      <c r="AK33" s="99" t="str">
        <f t="shared" si="13"/>
        <v/>
      </c>
      <c r="AL33" s="95" t="str">
        <f>IFERROR(AK33*
(Assumptions!$S$7*(W33/(AO33*Assumptions!$AB$9/100)/AI33)^3+
Assumptions!$S$8*(W33/(AO33*Assumptions!$AB$9/100)/AI33)^2+
Assumptions!$S$9*(W33/(AO33*Assumptions!$AB$9/100)/AI33)+
Assumptions!$S$10),"")</f>
        <v/>
      </c>
      <c r="AM33" s="95" t="str">
        <f>IFERROR(AK33*
(Assumptions!$S$7*(AB33/(AO33*Assumptions!$AB$8/100)/AI33)^3+
Assumptions!$S$8*(AB33/(AO33*Assumptions!$AB$8/100)/AI33)^2+
Assumptions!$S$9*(AB33/(AO33*Assumptions!$AB$8/100)/AI33)+
Assumptions!$S$10),"")</f>
        <v/>
      </c>
      <c r="AN33" s="95" t="str">
        <f>IFERROR(AK33*
(Assumptions!$S$7*(AG33/(AO33*Assumptions!$AB$10/100)/AI33)^3+
Assumptions!$S$8*(AG33/(AO33*Assumptions!$AB$10/100)/AI33)^2+
Assumptions!$S$9*(AG33/(AO33*Assumptions!$AB$10/100)/AI33)+
Assumptions!$S$10),"")</f>
        <v/>
      </c>
      <c r="AO33" s="95" t="str">
        <f>IFERROR(
Assumptions!$AD$8*LN(S33)^2+
Assumptions!$AE$8*LN(R33)*LN(S33)+
Assumptions!$AF$8*LN(R33)^2+
Assumptions!$AG$8*LN(S33)+
Assumptions!$AH$8*LN(R33)-
(IF(Q33=1800,
VLOOKUP(C33,Assumptions!$AA$13:$AC$17,3),
IF(Q33=3600,
VLOOKUP(C33,Assumptions!$AA$18:$AC$22,3),
""))+Assumptions!$AI$8),
"")</f>
        <v/>
      </c>
      <c r="AP33" s="96" t="str">
        <f>IFERROR(
Assumptions!$D$11*(W33/(Assumptions!$AB$9*AO33/100)+AL33)+
Assumptions!$D$10*(AB33/(Assumptions!$AB$8*AO33/100)+AM33)+
Assumptions!$D$12*(AG33/(Assumptions!$AB$10*AO33/100)+AN33),
"")</f>
        <v/>
      </c>
      <c r="AQ33" s="76" t="str">
        <f>IFERROR(
(U33+V33)*Assumptions!$D$11+
(Z33+AA33)*Assumptions!$D$10+
(AE33+AF33)*Assumptions!$D$12,
"")</f>
        <v/>
      </c>
      <c r="AR33" s="104" t="str">
        <f t="shared" si="14"/>
        <v/>
      </c>
      <c r="AS33" s="103" t="str">
        <f t="shared" si="15"/>
        <v/>
      </c>
      <c r="AT33" s="92"/>
    </row>
    <row r="34" spans="1:46" x14ac:dyDescent="0.25">
      <c r="A34" s="264"/>
      <c r="B34" s="265"/>
      <c r="C34" s="265"/>
      <c r="D34" s="265"/>
      <c r="E34" s="266"/>
      <c r="F34" s="270"/>
      <c r="G34" s="271"/>
      <c r="H34" s="271"/>
      <c r="I34" s="272"/>
      <c r="J34" s="270"/>
      <c r="K34" s="271"/>
      <c r="L34" s="272"/>
      <c r="M34" s="270"/>
      <c r="N34" s="271"/>
      <c r="O34" s="272"/>
      <c r="P34" s="97" t="str">
        <f t="shared" si="0"/>
        <v/>
      </c>
      <c r="Q34" s="84" t="str">
        <f t="shared" si="2"/>
        <v/>
      </c>
      <c r="R34" s="101" t="str">
        <f t="shared" si="3"/>
        <v/>
      </c>
      <c r="S34" s="100" t="str">
        <f t="shared" si="4"/>
        <v/>
      </c>
      <c r="T34" s="95" t="str">
        <f t="shared" si="5"/>
        <v/>
      </c>
      <c r="U34" s="95" t="str">
        <f t="shared" si="6"/>
        <v/>
      </c>
      <c r="V34" s="95" t="str">
        <f>IFERROR(AK34*
(Assumptions!$S$7*(U34/AI34)^3+
Assumptions!$S$8*(U34/AI34)^2+
Assumptions!$S$9*(U34/AI34)+
Assumptions!$S$10),"")</f>
        <v/>
      </c>
      <c r="W34" s="96" t="str">
        <f>IFERROR(S34*T34*Assumptions!$B$15/3956,"")</f>
        <v/>
      </c>
      <c r="X34" s="102" t="str">
        <f t="shared" si="7"/>
        <v/>
      </c>
      <c r="Y34" s="95" t="str">
        <f t="shared" si="8"/>
        <v/>
      </c>
      <c r="Z34" s="95" t="str">
        <f t="shared" si="9"/>
        <v/>
      </c>
      <c r="AA34" s="95" t="str">
        <f>IFERROR(AK34*
(Assumptions!$S$7*(Z34/AI34)^3+
Assumptions!$S$8*(Z34/AI34)^2+
Assumptions!$S$9*(Z34/AI34)+
Assumptions!$S$10),"")</f>
        <v/>
      </c>
      <c r="AB34" s="96" t="str">
        <f>IFERROR(X34*Y34*Assumptions!$B$15/3956,"")</f>
        <v/>
      </c>
      <c r="AC34" s="102" t="str">
        <f t="shared" si="10"/>
        <v/>
      </c>
      <c r="AD34" s="95" t="str">
        <f t="shared" si="11"/>
        <v/>
      </c>
      <c r="AE34" s="95" t="str">
        <f t="shared" si="12"/>
        <v/>
      </c>
      <c r="AF34" s="95" t="str">
        <f>IFERROR(AK34*
(Assumptions!$S$7*(AE34/AI34)^3+
Assumptions!$S$8*(AE34/AI34)^2+
Assumptions!$S$9*(AE34/AI34)+
Assumptions!$S$10),"")</f>
        <v/>
      </c>
      <c r="AG34" s="96" t="str">
        <f>IFERROR(AC34*AD34*Assumptions!$B$15/3956,"")</f>
        <v/>
      </c>
      <c r="AH34" s="94" t="str">
        <f t="shared" si="1"/>
        <v/>
      </c>
      <c r="AI34" s="93" t="str">
        <f>IFERROR(
IF(C34="VTS",
INDEX(Assumptions!$I$38:$I$57,MATCH(AH34,Assumptions!$I$38:$I$57,-1)),
INDEX(Assumptions!$I$13:$I$32,MATCH(AH34,Assumptions!$I$13:$I$32,-1))),
"")</f>
        <v/>
      </c>
      <c r="AJ34" s="96" t="str">
        <f>IFERROR(
IF(C34="VTS",
VLOOKUP(AI34,Assumptions!$I$38:$K$57,MATCH(P34,Assumptions!$I$37:$K$37,0),FALSE),
VLOOKUP(AI34,Assumptions!$I$13:$K$32,MATCH(P34,Assumptions!$I$12:$K$12,0),FALSE)),
"")</f>
        <v/>
      </c>
      <c r="AK34" s="99" t="str">
        <f t="shared" si="13"/>
        <v/>
      </c>
      <c r="AL34" s="95" t="str">
        <f>IFERROR(AK34*
(Assumptions!$S$7*(W34/(AO34*Assumptions!$AB$9/100)/AI34)^3+
Assumptions!$S$8*(W34/(AO34*Assumptions!$AB$9/100)/AI34)^2+
Assumptions!$S$9*(W34/(AO34*Assumptions!$AB$9/100)/AI34)+
Assumptions!$S$10),"")</f>
        <v/>
      </c>
      <c r="AM34" s="95" t="str">
        <f>IFERROR(AK34*
(Assumptions!$S$7*(AB34/(AO34*Assumptions!$AB$8/100)/AI34)^3+
Assumptions!$S$8*(AB34/(AO34*Assumptions!$AB$8/100)/AI34)^2+
Assumptions!$S$9*(AB34/(AO34*Assumptions!$AB$8/100)/AI34)+
Assumptions!$S$10),"")</f>
        <v/>
      </c>
      <c r="AN34" s="95" t="str">
        <f>IFERROR(AK34*
(Assumptions!$S$7*(AG34/(AO34*Assumptions!$AB$10/100)/AI34)^3+
Assumptions!$S$8*(AG34/(AO34*Assumptions!$AB$10/100)/AI34)^2+
Assumptions!$S$9*(AG34/(AO34*Assumptions!$AB$10/100)/AI34)+
Assumptions!$S$10),"")</f>
        <v/>
      </c>
      <c r="AO34" s="95" t="str">
        <f>IFERROR(
Assumptions!$AD$8*LN(S34)^2+
Assumptions!$AE$8*LN(R34)*LN(S34)+
Assumptions!$AF$8*LN(R34)^2+
Assumptions!$AG$8*LN(S34)+
Assumptions!$AH$8*LN(R34)-
(IF(Q34=1800,
VLOOKUP(C34,Assumptions!$AA$13:$AC$17,3),
IF(Q34=3600,
VLOOKUP(C34,Assumptions!$AA$18:$AC$22,3),
""))+Assumptions!$AI$8),
"")</f>
        <v/>
      </c>
      <c r="AP34" s="96" t="str">
        <f>IFERROR(
Assumptions!$D$11*(W34/(Assumptions!$AB$9*AO34/100)+AL34)+
Assumptions!$D$10*(AB34/(Assumptions!$AB$8*AO34/100)+AM34)+
Assumptions!$D$12*(AG34/(Assumptions!$AB$10*AO34/100)+AN34),
"")</f>
        <v/>
      </c>
      <c r="AQ34" s="76" t="str">
        <f>IFERROR(
(U34+V34)*Assumptions!$D$11+
(Z34+AA34)*Assumptions!$D$10+
(AE34+AF34)*Assumptions!$D$12,
"")</f>
        <v/>
      </c>
      <c r="AR34" s="104" t="str">
        <f t="shared" si="14"/>
        <v/>
      </c>
      <c r="AS34" s="103" t="str">
        <f t="shared" si="15"/>
        <v/>
      </c>
      <c r="AT34" s="92"/>
    </row>
    <row r="35" spans="1:46" x14ac:dyDescent="0.25">
      <c r="A35" s="264"/>
      <c r="B35" s="265"/>
      <c r="C35" s="265"/>
      <c r="D35" s="265"/>
      <c r="E35" s="266"/>
      <c r="F35" s="270"/>
      <c r="G35" s="271"/>
      <c r="H35" s="271"/>
      <c r="I35" s="272"/>
      <c r="J35" s="270"/>
      <c r="K35" s="271"/>
      <c r="L35" s="272"/>
      <c r="M35" s="270"/>
      <c r="N35" s="271"/>
      <c r="O35" s="272"/>
      <c r="P35" s="97" t="str">
        <f t="shared" si="0"/>
        <v/>
      </c>
      <c r="Q35" s="84" t="str">
        <f t="shared" si="2"/>
        <v/>
      </c>
      <c r="R35" s="101" t="str">
        <f t="shared" si="3"/>
        <v/>
      </c>
      <c r="S35" s="100" t="str">
        <f t="shared" si="4"/>
        <v/>
      </c>
      <c r="T35" s="95" t="str">
        <f t="shared" si="5"/>
        <v/>
      </c>
      <c r="U35" s="95" t="str">
        <f t="shared" si="6"/>
        <v/>
      </c>
      <c r="V35" s="95" t="str">
        <f>IFERROR(AK35*
(Assumptions!$S$7*(U35/AI35)^3+
Assumptions!$S$8*(U35/AI35)^2+
Assumptions!$S$9*(U35/AI35)+
Assumptions!$S$10),"")</f>
        <v/>
      </c>
      <c r="W35" s="96" t="str">
        <f>IFERROR(S35*T35*Assumptions!$B$15/3956,"")</f>
        <v/>
      </c>
      <c r="X35" s="102" t="str">
        <f t="shared" si="7"/>
        <v/>
      </c>
      <c r="Y35" s="95" t="str">
        <f t="shared" si="8"/>
        <v/>
      </c>
      <c r="Z35" s="95" t="str">
        <f t="shared" si="9"/>
        <v/>
      </c>
      <c r="AA35" s="95" t="str">
        <f>IFERROR(AK35*
(Assumptions!$S$7*(Z35/AI35)^3+
Assumptions!$S$8*(Z35/AI35)^2+
Assumptions!$S$9*(Z35/AI35)+
Assumptions!$S$10),"")</f>
        <v/>
      </c>
      <c r="AB35" s="96" t="str">
        <f>IFERROR(X35*Y35*Assumptions!$B$15/3956,"")</f>
        <v/>
      </c>
      <c r="AC35" s="102" t="str">
        <f t="shared" si="10"/>
        <v/>
      </c>
      <c r="AD35" s="95" t="str">
        <f t="shared" si="11"/>
        <v/>
      </c>
      <c r="AE35" s="95" t="str">
        <f t="shared" si="12"/>
        <v/>
      </c>
      <c r="AF35" s="95" t="str">
        <f>IFERROR(AK35*
(Assumptions!$S$7*(AE35/AI35)^3+
Assumptions!$S$8*(AE35/AI35)^2+
Assumptions!$S$9*(AE35/AI35)+
Assumptions!$S$10),"")</f>
        <v/>
      </c>
      <c r="AG35" s="96" t="str">
        <f>IFERROR(AC35*AD35*Assumptions!$B$15/3956,"")</f>
        <v/>
      </c>
      <c r="AH35" s="94" t="str">
        <f t="shared" si="1"/>
        <v/>
      </c>
      <c r="AI35" s="93" t="str">
        <f>IFERROR(
IF(C35="VTS",
INDEX(Assumptions!$I$38:$I$57,MATCH(AH35,Assumptions!$I$38:$I$57,-1)),
INDEX(Assumptions!$I$13:$I$32,MATCH(AH35,Assumptions!$I$13:$I$32,-1))),
"")</f>
        <v/>
      </c>
      <c r="AJ35" s="96" t="str">
        <f>IFERROR(
IF(C35="VTS",
VLOOKUP(AI35,Assumptions!$I$38:$K$57,MATCH(P35,Assumptions!$I$37:$K$37,0),FALSE),
VLOOKUP(AI35,Assumptions!$I$13:$K$32,MATCH(P35,Assumptions!$I$12:$K$12,0),FALSE)),
"")</f>
        <v/>
      </c>
      <c r="AK35" s="99" t="str">
        <f t="shared" si="13"/>
        <v/>
      </c>
      <c r="AL35" s="95" t="str">
        <f>IFERROR(AK35*
(Assumptions!$S$7*(W35/(AO35*Assumptions!$AB$9/100)/AI35)^3+
Assumptions!$S$8*(W35/(AO35*Assumptions!$AB$9/100)/AI35)^2+
Assumptions!$S$9*(W35/(AO35*Assumptions!$AB$9/100)/AI35)+
Assumptions!$S$10),"")</f>
        <v/>
      </c>
      <c r="AM35" s="95" t="str">
        <f>IFERROR(AK35*
(Assumptions!$S$7*(AB35/(AO35*Assumptions!$AB$8/100)/AI35)^3+
Assumptions!$S$8*(AB35/(AO35*Assumptions!$AB$8/100)/AI35)^2+
Assumptions!$S$9*(AB35/(AO35*Assumptions!$AB$8/100)/AI35)+
Assumptions!$S$10),"")</f>
        <v/>
      </c>
      <c r="AN35" s="95" t="str">
        <f>IFERROR(AK35*
(Assumptions!$S$7*(AG35/(AO35*Assumptions!$AB$10/100)/AI35)^3+
Assumptions!$S$8*(AG35/(AO35*Assumptions!$AB$10/100)/AI35)^2+
Assumptions!$S$9*(AG35/(AO35*Assumptions!$AB$10/100)/AI35)+
Assumptions!$S$10),"")</f>
        <v/>
      </c>
      <c r="AO35" s="95" t="str">
        <f>IFERROR(
Assumptions!$AD$8*LN(S35)^2+
Assumptions!$AE$8*LN(R35)*LN(S35)+
Assumptions!$AF$8*LN(R35)^2+
Assumptions!$AG$8*LN(S35)+
Assumptions!$AH$8*LN(R35)-
(IF(Q35=1800,
VLOOKUP(C35,Assumptions!$AA$13:$AC$17,3),
IF(Q35=3600,
VLOOKUP(C35,Assumptions!$AA$18:$AC$22,3),
""))+Assumptions!$AI$8),
"")</f>
        <v/>
      </c>
      <c r="AP35" s="96" t="str">
        <f>IFERROR(
Assumptions!$D$11*(W35/(Assumptions!$AB$9*AO35/100)+AL35)+
Assumptions!$D$10*(AB35/(Assumptions!$AB$8*AO35/100)+AM35)+
Assumptions!$D$12*(AG35/(Assumptions!$AB$10*AO35/100)+AN35),
"")</f>
        <v/>
      </c>
      <c r="AQ35" s="76" t="str">
        <f>IFERROR(
(U35+V35)*Assumptions!$D$11+
(Z35+AA35)*Assumptions!$D$10+
(AE35+AF35)*Assumptions!$D$12,
"")</f>
        <v/>
      </c>
      <c r="AR35" s="104" t="str">
        <f t="shared" si="14"/>
        <v/>
      </c>
      <c r="AS35" s="103" t="str">
        <f t="shared" si="15"/>
        <v/>
      </c>
      <c r="AT35" s="92"/>
    </row>
    <row r="36" spans="1:46" x14ac:dyDescent="0.25">
      <c r="A36" s="264"/>
      <c r="B36" s="265"/>
      <c r="C36" s="265"/>
      <c r="D36" s="265"/>
      <c r="E36" s="266"/>
      <c r="F36" s="270"/>
      <c r="G36" s="271"/>
      <c r="H36" s="271"/>
      <c r="I36" s="272"/>
      <c r="J36" s="270"/>
      <c r="K36" s="271"/>
      <c r="L36" s="272"/>
      <c r="M36" s="270"/>
      <c r="N36" s="271"/>
      <c r="O36" s="272"/>
      <c r="P36" s="97" t="str">
        <f t="shared" si="0"/>
        <v/>
      </c>
      <c r="Q36" s="84" t="str">
        <f t="shared" si="2"/>
        <v/>
      </c>
      <c r="R36" s="101" t="str">
        <f t="shared" si="3"/>
        <v/>
      </c>
      <c r="S36" s="100" t="str">
        <f t="shared" si="4"/>
        <v/>
      </c>
      <c r="T36" s="95" t="str">
        <f t="shared" si="5"/>
        <v/>
      </c>
      <c r="U36" s="95" t="str">
        <f t="shared" si="6"/>
        <v/>
      </c>
      <c r="V36" s="95" t="str">
        <f>IFERROR(AK36*
(Assumptions!$S$7*(U36/AI36)^3+
Assumptions!$S$8*(U36/AI36)^2+
Assumptions!$S$9*(U36/AI36)+
Assumptions!$S$10),"")</f>
        <v/>
      </c>
      <c r="W36" s="96" t="str">
        <f>IFERROR(S36*T36*Assumptions!$B$15/3956,"")</f>
        <v/>
      </c>
      <c r="X36" s="102" t="str">
        <f t="shared" si="7"/>
        <v/>
      </c>
      <c r="Y36" s="95" t="str">
        <f t="shared" si="8"/>
        <v/>
      </c>
      <c r="Z36" s="95" t="str">
        <f t="shared" si="9"/>
        <v/>
      </c>
      <c r="AA36" s="95" t="str">
        <f>IFERROR(AK36*
(Assumptions!$S$7*(Z36/AI36)^3+
Assumptions!$S$8*(Z36/AI36)^2+
Assumptions!$S$9*(Z36/AI36)+
Assumptions!$S$10),"")</f>
        <v/>
      </c>
      <c r="AB36" s="96" t="str">
        <f>IFERROR(X36*Y36*Assumptions!$B$15/3956,"")</f>
        <v/>
      </c>
      <c r="AC36" s="102" t="str">
        <f t="shared" si="10"/>
        <v/>
      </c>
      <c r="AD36" s="95" t="str">
        <f t="shared" si="11"/>
        <v/>
      </c>
      <c r="AE36" s="95" t="str">
        <f t="shared" si="12"/>
        <v/>
      </c>
      <c r="AF36" s="95" t="str">
        <f>IFERROR(AK36*
(Assumptions!$S$7*(AE36/AI36)^3+
Assumptions!$S$8*(AE36/AI36)^2+
Assumptions!$S$9*(AE36/AI36)+
Assumptions!$S$10),"")</f>
        <v/>
      </c>
      <c r="AG36" s="96" t="str">
        <f>IFERROR(AC36*AD36*Assumptions!$B$15/3956,"")</f>
        <v/>
      </c>
      <c r="AH36" s="94" t="str">
        <f t="shared" si="1"/>
        <v/>
      </c>
      <c r="AI36" s="93" t="str">
        <f>IFERROR(
IF(C36="VTS",
INDEX(Assumptions!$I$38:$I$57,MATCH(AH36,Assumptions!$I$38:$I$57,-1)),
INDEX(Assumptions!$I$13:$I$32,MATCH(AH36,Assumptions!$I$13:$I$32,-1))),
"")</f>
        <v/>
      </c>
      <c r="AJ36" s="96" t="str">
        <f>IFERROR(
IF(C36="VTS",
VLOOKUP(AI36,Assumptions!$I$38:$K$57,MATCH(P36,Assumptions!$I$37:$K$37,0),FALSE),
VLOOKUP(AI36,Assumptions!$I$13:$K$32,MATCH(P36,Assumptions!$I$12:$K$12,0),FALSE)),
"")</f>
        <v/>
      </c>
      <c r="AK36" s="99" t="str">
        <f t="shared" si="13"/>
        <v/>
      </c>
      <c r="AL36" s="95" t="str">
        <f>IFERROR(AK36*
(Assumptions!$S$7*(W36/(AO36*Assumptions!$AB$9/100)/AI36)^3+
Assumptions!$S$8*(W36/(AO36*Assumptions!$AB$9/100)/AI36)^2+
Assumptions!$S$9*(W36/(AO36*Assumptions!$AB$9/100)/AI36)+
Assumptions!$S$10),"")</f>
        <v/>
      </c>
      <c r="AM36" s="95" t="str">
        <f>IFERROR(AK36*
(Assumptions!$S$7*(AB36/(AO36*Assumptions!$AB$8/100)/AI36)^3+
Assumptions!$S$8*(AB36/(AO36*Assumptions!$AB$8/100)/AI36)^2+
Assumptions!$S$9*(AB36/(AO36*Assumptions!$AB$8/100)/AI36)+
Assumptions!$S$10),"")</f>
        <v/>
      </c>
      <c r="AN36" s="95" t="str">
        <f>IFERROR(AK36*
(Assumptions!$S$7*(AG36/(AO36*Assumptions!$AB$10/100)/AI36)^3+
Assumptions!$S$8*(AG36/(AO36*Assumptions!$AB$10/100)/AI36)^2+
Assumptions!$S$9*(AG36/(AO36*Assumptions!$AB$10/100)/AI36)+
Assumptions!$S$10),"")</f>
        <v/>
      </c>
      <c r="AO36" s="95" t="str">
        <f>IFERROR(
Assumptions!$AD$8*LN(S36)^2+
Assumptions!$AE$8*LN(R36)*LN(S36)+
Assumptions!$AF$8*LN(R36)^2+
Assumptions!$AG$8*LN(S36)+
Assumptions!$AH$8*LN(R36)-
(IF(Q36=1800,
VLOOKUP(C36,Assumptions!$AA$13:$AC$17,3),
IF(Q36=3600,
VLOOKUP(C36,Assumptions!$AA$18:$AC$22,3),
""))+Assumptions!$AI$8),
"")</f>
        <v/>
      </c>
      <c r="AP36" s="96" t="str">
        <f>IFERROR(
Assumptions!$D$11*(W36/(Assumptions!$AB$9*AO36/100)+AL36)+
Assumptions!$D$10*(AB36/(Assumptions!$AB$8*AO36/100)+AM36)+
Assumptions!$D$12*(AG36/(Assumptions!$AB$10*AO36/100)+AN36),
"")</f>
        <v/>
      </c>
      <c r="AQ36" s="76" t="str">
        <f>IFERROR(
(U36+V36)*Assumptions!$D$11+
(Z36+AA36)*Assumptions!$D$10+
(AE36+AF36)*Assumptions!$D$12,
"")</f>
        <v/>
      </c>
      <c r="AR36" s="104" t="str">
        <f t="shared" si="14"/>
        <v/>
      </c>
      <c r="AS36" s="103" t="str">
        <f t="shared" si="15"/>
        <v/>
      </c>
      <c r="AT36" s="92"/>
    </row>
    <row r="37" spans="1:46" x14ac:dyDescent="0.25">
      <c r="A37" s="264"/>
      <c r="B37" s="265"/>
      <c r="C37" s="265"/>
      <c r="D37" s="265"/>
      <c r="E37" s="266"/>
      <c r="F37" s="270"/>
      <c r="G37" s="271"/>
      <c r="H37" s="271"/>
      <c r="I37" s="272"/>
      <c r="J37" s="270"/>
      <c r="K37" s="271"/>
      <c r="L37" s="272"/>
      <c r="M37" s="270"/>
      <c r="N37" s="271"/>
      <c r="O37" s="272"/>
      <c r="P37" s="97" t="str">
        <f t="shared" si="0"/>
        <v/>
      </c>
      <c r="Q37" s="84" t="str">
        <f t="shared" si="2"/>
        <v/>
      </c>
      <c r="R37" s="101" t="str">
        <f t="shared" si="3"/>
        <v/>
      </c>
      <c r="S37" s="100" t="str">
        <f t="shared" si="4"/>
        <v/>
      </c>
      <c r="T37" s="95" t="str">
        <f t="shared" si="5"/>
        <v/>
      </c>
      <c r="U37" s="95" t="str">
        <f t="shared" si="6"/>
        <v/>
      </c>
      <c r="V37" s="95" t="str">
        <f>IFERROR(AK37*
(Assumptions!$S$7*(U37/AI37)^3+
Assumptions!$S$8*(U37/AI37)^2+
Assumptions!$S$9*(U37/AI37)+
Assumptions!$S$10),"")</f>
        <v/>
      </c>
      <c r="W37" s="96" t="str">
        <f>IFERROR(S37*T37*Assumptions!$B$15/3956,"")</f>
        <v/>
      </c>
      <c r="X37" s="102" t="str">
        <f t="shared" si="7"/>
        <v/>
      </c>
      <c r="Y37" s="95" t="str">
        <f t="shared" si="8"/>
        <v/>
      </c>
      <c r="Z37" s="95" t="str">
        <f t="shared" si="9"/>
        <v/>
      </c>
      <c r="AA37" s="95" t="str">
        <f>IFERROR(AK37*
(Assumptions!$S$7*(Z37/AI37)^3+
Assumptions!$S$8*(Z37/AI37)^2+
Assumptions!$S$9*(Z37/AI37)+
Assumptions!$S$10),"")</f>
        <v/>
      </c>
      <c r="AB37" s="96" t="str">
        <f>IFERROR(X37*Y37*Assumptions!$B$15/3956,"")</f>
        <v/>
      </c>
      <c r="AC37" s="102" t="str">
        <f t="shared" si="10"/>
        <v/>
      </c>
      <c r="AD37" s="95" t="str">
        <f t="shared" si="11"/>
        <v/>
      </c>
      <c r="AE37" s="95" t="str">
        <f t="shared" si="12"/>
        <v/>
      </c>
      <c r="AF37" s="95" t="str">
        <f>IFERROR(AK37*
(Assumptions!$S$7*(AE37/AI37)^3+
Assumptions!$S$8*(AE37/AI37)^2+
Assumptions!$S$9*(AE37/AI37)+
Assumptions!$S$10),"")</f>
        <v/>
      </c>
      <c r="AG37" s="96" t="str">
        <f>IFERROR(AC37*AD37*Assumptions!$B$15/3956,"")</f>
        <v/>
      </c>
      <c r="AH37" s="94" t="str">
        <f t="shared" si="1"/>
        <v/>
      </c>
      <c r="AI37" s="93" t="str">
        <f>IFERROR(
IF(C37="VTS",
INDEX(Assumptions!$I$38:$I$57,MATCH(AH37,Assumptions!$I$38:$I$57,-1)),
INDEX(Assumptions!$I$13:$I$32,MATCH(AH37,Assumptions!$I$13:$I$32,-1))),
"")</f>
        <v/>
      </c>
      <c r="AJ37" s="96" t="str">
        <f>IFERROR(
IF(C37="VTS",
VLOOKUP(AI37,Assumptions!$I$38:$K$57,MATCH(P37,Assumptions!$I$37:$K$37,0),FALSE),
VLOOKUP(AI37,Assumptions!$I$13:$K$32,MATCH(P37,Assumptions!$I$12:$K$12,0),FALSE)),
"")</f>
        <v/>
      </c>
      <c r="AK37" s="99" t="str">
        <f t="shared" si="13"/>
        <v/>
      </c>
      <c r="AL37" s="95" t="str">
        <f>IFERROR(AK37*
(Assumptions!$S$7*(W37/(AO37*Assumptions!$AB$9/100)/AI37)^3+
Assumptions!$S$8*(W37/(AO37*Assumptions!$AB$9/100)/AI37)^2+
Assumptions!$S$9*(W37/(AO37*Assumptions!$AB$9/100)/AI37)+
Assumptions!$S$10),"")</f>
        <v/>
      </c>
      <c r="AM37" s="95" t="str">
        <f>IFERROR(AK37*
(Assumptions!$S$7*(AB37/(AO37*Assumptions!$AB$8/100)/AI37)^3+
Assumptions!$S$8*(AB37/(AO37*Assumptions!$AB$8/100)/AI37)^2+
Assumptions!$S$9*(AB37/(AO37*Assumptions!$AB$8/100)/AI37)+
Assumptions!$S$10),"")</f>
        <v/>
      </c>
      <c r="AN37" s="95" t="str">
        <f>IFERROR(AK37*
(Assumptions!$S$7*(AG37/(AO37*Assumptions!$AB$10/100)/AI37)^3+
Assumptions!$S$8*(AG37/(AO37*Assumptions!$AB$10/100)/AI37)^2+
Assumptions!$S$9*(AG37/(AO37*Assumptions!$AB$10/100)/AI37)+
Assumptions!$S$10),"")</f>
        <v/>
      </c>
      <c r="AO37" s="95" t="str">
        <f>IFERROR(
Assumptions!$AD$8*LN(S37)^2+
Assumptions!$AE$8*LN(R37)*LN(S37)+
Assumptions!$AF$8*LN(R37)^2+
Assumptions!$AG$8*LN(S37)+
Assumptions!$AH$8*LN(R37)-
(IF(Q37=1800,
VLOOKUP(C37,Assumptions!$AA$13:$AC$17,3),
IF(Q37=3600,
VLOOKUP(C37,Assumptions!$AA$18:$AC$22,3),
""))+Assumptions!$AI$8),
"")</f>
        <v/>
      </c>
      <c r="AP37" s="96" t="str">
        <f>IFERROR(
Assumptions!$D$11*(W37/(Assumptions!$AB$9*AO37/100)+AL37)+
Assumptions!$D$10*(AB37/(Assumptions!$AB$8*AO37/100)+AM37)+
Assumptions!$D$12*(AG37/(Assumptions!$AB$10*AO37/100)+AN37),
"")</f>
        <v/>
      </c>
      <c r="AQ37" s="76" t="str">
        <f>IFERROR(
(U37+V37)*Assumptions!$D$11+
(Z37+AA37)*Assumptions!$D$10+
(AE37+AF37)*Assumptions!$D$12,
"")</f>
        <v/>
      </c>
      <c r="AR37" s="104" t="str">
        <f t="shared" si="14"/>
        <v/>
      </c>
      <c r="AS37" s="103" t="str">
        <f t="shared" si="15"/>
        <v/>
      </c>
      <c r="AT37" s="92"/>
    </row>
    <row r="38" spans="1:46" x14ac:dyDescent="0.25">
      <c r="A38" s="264"/>
      <c r="B38" s="265"/>
      <c r="C38" s="265"/>
      <c r="D38" s="265"/>
      <c r="E38" s="266"/>
      <c r="F38" s="270"/>
      <c r="G38" s="271"/>
      <c r="H38" s="271"/>
      <c r="I38" s="272"/>
      <c r="J38" s="270"/>
      <c r="K38" s="271"/>
      <c r="L38" s="272"/>
      <c r="M38" s="270"/>
      <c r="N38" s="271"/>
      <c r="O38" s="272"/>
      <c r="P38" s="97" t="str">
        <f t="shared" si="0"/>
        <v/>
      </c>
      <c r="Q38" s="84" t="str">
        <f t="shared" si="2"/>
        <v/>
      </c>
      <c r="R38" s="101" t="str">
        <f t="shared" si="3"/>
        <v/>
      </c>
      <c r="S38" s="100" t="str">
        <f t="shared" si="4"/>
        <v/>
      </c>
      <c r="T38" s="95" t="str">
        <f t="shared" si="5"/>
        <v/>
      </c>
      <c r="U38" s="95" t="str">
        <f t="shared" si="6"/>
        <v/>
      </c>
      <c r="V38" s="95" t="str">
        <f>IFERROR(AK38*
(Assumptions!$S$7*(U38/AI38)^3+
Assumptions!$S$8*(U38/AI38)^2+
Assumptions!$S$9*(U38/AI38)+
Assumptions!$S$10),"")</f>
        <v/>
      </c>
      <c r="W38" s="96" t="str">
        <f>IFERROR(S38*T38*Assumptions!$B$15/3956,"")</f>
        <v/>
      </c>
      <c r="X38" s="102" t="str">
        <f t="shared" si="7"/>
        <v/>
      </c>
      <c r="Y38" s="95" t="str">
        <f t="shared" si="8"/>
        <v/>
      </c>
      <c r="Z38" s="95" t="str">
        <f t="shared" si="9"/>
        <v/>
      </c>
      <c r="AA38" s="95" t="str">
        <f>IFERROR(AK38*
(Assumptions!$S$7*(Z38/AI38)^3+
Assumptions!$S$8*(Z38/AI38)^2+
Assumptions!$S$9*(Z38/AI38)+
Assumptions!$S$10),"")</f>
        <v/>
      </c>
      <c r="AB38" s="96" t="str">
        <f>IFERROR(X38*Y38*Assumptions!$B$15/3956,"")</f>
        <v/>
      </c>
      <c r="AC38" s="102" t="str">
        <f t="shared" si="10"/>
        <v/>
      </c>
      <c r="AD38" s="95" t="str">
        <f t="shared" si="11"/>
        <v/>
      </c>
      <c r="AE38" s="95" t="str">
        <f t="shared" si="12"/>
        <v/>
      </c>
      <c r="AF38" s="95" t="str">
        <f>IFERROR(AK38*
(Assumptions!$S$7*(AE38/AI38)^3+
Assumptions!$S$8*(AE38/AI38)^2+
Assumptions!$S$9*(AE38/AI38)+
Assumptions!$S$10),"")</f>
        <v/>
      </c>
      <c r="AG38" s="96" t="str">
        <f>IFERROR(AC38*AD38*Assumptions!$B$15/3956,"")</f>
        <v/>
      </c>
      <c r="AH38" s="94" t="str">
        <f t="shared" si="1"/>
        <v/>
      </c>
      <c r="AI38" s="93" t="str">
        <f>IFERROR(
IF(C38="VTS",
INDEX(Assumptions!$I$38:$I$57,MATCH(AH38,Assumptions!$I$38:$I$57,-1)),
INDEX(Assumptions!$I$13:$I$32,MATCH(AH38,Assumptions!$I$13:$I$32,-1))),
"")</f>
        <v/>
      </c>
      <c r="AJ38" s="96" t="str">
        <f>IFERROR(
IF(C38="VTS",
VLOOKUP(AI38,Assumptions!$I$38:$K$57,MATCH(P38,Assumptions!$I$37:$K$37,0),FALSE),
VLOOKUP(AI38,Assumptions!$I$13:$K$32,MATCH(P38,Assumptions!$I$12:$K$12,0),FALSE)),
"")</f>
        <v/>
      </c>
      <c r="AK38" s="99" t="str">
        <f t="shared" si="13"/>
        <v/>
      </c>
      <c r="AL38" s="95" t="str">
        <f>IFERROR(AK38*
(Assumptions!$S$7*(W38/(AO38*Assumptions!$AB$9/100)/AI38)^3+
Assumptions!$S$8*(W38/(AO38*Assumptions!$AB$9/100)/AI38)^2+
Assumptions!$S$9*(W38/(AO38*Assumptions!$AB$9/100)/AI38)+
Assumptions!$S$10),"")</f>
        <v/>
      </c>
      <c r="AM38" s="95" t="str">
        <f>IFERROR(AK38*
(Assumptions!$S$7*(AB38/(AO38*Assumptions!$AB$8/100)/AI38)^3+
Assumptions!$S$8*(AB38/(AO38*Assumptions!$AB$8/100)/AI38)^2+
Assumptions!$S$9*(AB38/(AO38*Assumptions!$AB$8/100)/AI38)+
Assumptions!$S$10),"")</f>
        <v/>
      </c>
      <c r="AN38" s="95" t="str">
        <f>IFERROR(AK38*
(Assumptions!$S$7*(AG38/(AO38*Assumptions!$AB$10/100)/AI38)^3+
Assumptions!$S$8*(AG38/(AO38*Assumptions!$AB$10/100)/AI38)^2+
Assumptions!$S$9*(AG38/(AO38*Assumptions!$AB$10/100)/AI38)+
Assumptions!$S$10),"")</f>
        <v/>
      </c>
      <c r="AO38" s="95" t="str">
        <f>IFERROR(
Assumptions!$AD$8*LN(S38)^2+
Assumptions!$AE$8*LN(R38)*LN(S38)+
Assumptions!$AF$8*LN(R38)^2+
Assumptions!$AG$8*LN(S38)+
Assumptions!$AH$8*LN(R38)-
(IF(Q38=1800,
VLOOKUP(C38,Assumptions!$AA$13:$AC$17,3),
IF(Q38=3600,
VLOOKUP(C38,Assumptions!$AA$18:$AC$22,3),
""))+Assumptions!$AI$8),
"")</f>
        <v/>
      </c>
      <c r="AP38" s="96" t="str">
        <f>IFERROR(
Assumptions!$D$11*(W38/(Assumptions!$AB$9*AO38/100)+AL38)+
Assumptions!$D$10*(AB38/(Assumptions!$AB$8*AO38/100)+AM38)+
Assumptions!$D$12*(AG38/(Assumptions!$AB$10*AO38/100)+AN38),
"")</f>
        <v/>
      </c>
      <c r="AQ38" s="76" t="str">
        <f>IFERROR(
(U38+V38)*Assumptions!$D$11+
(Z38+AA38)*Assumptions!$D$10+
(AE38+AF38)*Assumptions!$D$12,
"")</f>
        <v/>
      </c>
      <c r="AR38" s="104" t="str">
        <f t="shared" si="14"/>
        <v/>
      </c>
      <c r="AS38" s="103" t="str">
        <f t="shared" si="15"/>
        <v/>
      </c>
      <c r="AT38" s="92"/>
    </row>
    <row r="39" spans="1:46" x14ac:dyDescent="0.25">
      <c r="A39" s="264"/>
      <c r="B39" s="265"/>
      <c r="C39" s="265"/>
      <c r="D39" s="265"/>
      <c r="E39" s="266"/>
      <c r="F39" s="270"/>
      <c r="G39" s="271"/>
      <c r="H39" s="271"/>
      <c r="I39" s="272"/>
      <c r="J39" s="270"/>
      <c r="K39" s="271"/>
      <c r="L39" s="272"/>
      <c r="M39" s="270"/>
      <c r="N39" s="271"/>
      <c r="O39" s="272"/>
      <c r="P39" s="97" t="str">
        <f t="shared" si="0"/>
        <v/>
      </c>
      <c r="Q39" s="84" t="str">
        <f t="shared" si="2"/>
        <v/>
      </c>
      <c r="R39" s="101" t="str">
        <f t="shared" si="3"/>
        <v/>
      </c>
      <c r="S39" s="100" t="str">
        <f t="shared" si="4"/>
        <v/>
      </c>
      <c r="T39" s="95" t="str">
        <f t="shared" si="5"/>
        <v/>
      </c>
      <c r="U39" s="95" t="str">
        <f t="shared" si="6"/>
        <v/>
      </c>
      <c r="V39" s="95" t="str">
        <f>IFERROR(AK39*
(Assumptions!$S$7*(U39/AI39)^3+
Assumptions!$S$8*(U39/AI39)^2+
Assumptions!$S$9*(U39/AI39)+
Assumptions!$S$10),"")</f>
        <v/>
      </c>
      <c r="W39" s="96" t="str">
        <f>IFERROR(S39*T39*Assumptions!$B$15/3956,"")</f>
        <v/>
      </c>
      <c r="X39" s="102" t="str">
        <f t="shared" si="7"/>
        <v/>
      </c>
      <c r="Y39" s="95" t="str">
        <f t="shared" si="8"/>
        <v/>
      </c>
      <c r="Z39" s="95" t="str">
        <f t="shared" si="9"/>
        <v/>
      </c>
      <c r="AA39" s="95" t="str">
        <f>IFERROR(AK39*
(Assumptions!$S$7*(Z39/AI39)^3+
Assumptions!$S$8*(Z39/AI39)^2+
Assumptions!$S$9*(Z39/AI39)+
Assumptions!$S$10),"")</f>
        <v/>
      </c>
      <c r="AB39" s="96" t="str">
        <f>IFERROR(X39*Y39*Assumptions!$B$15/3956,"")</f>
        <v/>
      </c>
      <c r="AC39" s="102" t="str">
        <f t="shared" si="10"/>
        <v/>
      </c>
      <c r="AD39" s="95" t="str">
        <f t="shared" si="11"/>
        <v/>
      </c>
      <c r="AE39" s="95" t="str">
        <f t="shared" si="12"/>
        <v/>
      </c>
      <c r="AF39" s="95" t="str">
        <f>IFERROR(AK39*
(Assumptions!$S$7*(AE39/AI39)^3+
Assumptions!$S$8*(AE39/AI39)^2+
Assumptions!$S$9*(AE39/AI39)+
Assumptions!$S$10),"")</f>
        <v/>
      </c>
      <c r="AG39" s="96" t="str">
        <f>IFERROR(AC39*AD39*Assumptions!$B$15/3956,"")</f>
        <v/>
      </c>
      <c r="AH39" s="94" t="str">
        <f t="shared" si="1"/>
        <v/>
      </c>
      <c r="AI39" s="93" t="str">
        <f>IFERROR(
IF(C39="VTS",
INDEX(Assumptions!$I$38:$I$57,MATCH(AH39,Assumptions!$I$38:$I$57,-1)),
INDEX(Assumptions!$I$13:$I$32,MATCH(AH39,Assumptions!$I$13:$I$32,-1))),
"")</f>
        <v/>
      </c>
      <c r="AJ39" s="96" t="str">
        <f>IFERROR(
IF(C39="VTS",
VLOOKUP(AI39,Assumptions!$I$38:$K$57,MATCH(P39,Assumptions!$I$37:$K$37,0),FALSE),
VLOOKUP(AI39,Assumptions!$I$13:$K$32,MATCH(P39,Assumptions!$I$12:$K$12,0),FALSE)),
"")</f>
        <v/>
      </c>
      <c r="AK39" s="99" t="str">
        <f t="shared" si="13"/>
        <v/>
      </c>
      <c r="AL39" s="95" t="str">
        <f>IFERROR(AK39*
(Assumptions!$S$7*(W39/(AO39*Assumptions!$AB$9/100)/AI39)^3+
Assumptions!$S$8*(W39/(AO39*Assumptions!$AB$9/100)/AI39)^2+
Assumptions!$S$9*(W39/(AO39*Assumptions!$AB$9/100)/AI39)+
Assumptions!$S$10),"")</f>
        <v/>
      </c>
      <c r="AM39" s="95" t="str">
        <f>IFERROR(AK39*
(Assumptions!$S$7*(AB39/(AO39*Assumptions!$AB$8/100)/AI39)^3+
Assumptions!$S$8*(AB39/(AO39*Assumptions!$AB$8/100)/AI39)^2+
Assumptions!$S$9*(AB39/(AO39*Assumptions!$AB$8/100)/AI39)+
Assumptions!$S$10),"")</f>
        <v/>
      </c>
      <c r="AN39" s="95" t="str">
        <f>IFERROR(AK39*
(Assumptions!$S$7*(AG39/(AO39*Assumptions!$AB$10/100)/AI39)^3+
Assumptions!$S$8*(AG39/(AO39*Assumptions!$AB$10/100)/AI39)^2+
Assumptions!$S$9*(AG39/(AO39*Assumptions!$AB$10/100)/AI39)+
Assumptions!$S$10),"")</f>
        <v/>
      </c>
      <c r="AO39" s="95" t="str">
        <f>IFERROR(
Assumptions!$AD$8*LN(S39)^2+
Assumptions!$AE$8*LN(R39)*LN(S39)+
Assumptions!$AF$8*LN(R39)^2+
Assumptions!$AG$8*LN(S39)+
Assumptions!$AH$8*LN(R39)-
(IF(Q39=1800,
VLOOKUP(C39,Assumptions!$AA$13:$AC$17,3),
IF(Q39=3600,
VLOOKUP(C39,Assumptions!$AA$18:$AC$22,3),
""))+Assumptions!$AI$8),
"")</f>
        <v/>
      </c>
      <c r="AP39" s="96" t="str">
        <f>IFERROR(
Assumptions!$D$11*(W39/(Assumptions!$AB$9*AO39/100)+AL39)+
Assumptions!$D$10*(AB39/(Assumptions!$AB$8*AO39/100)+AM39)+
Assumptions!$D$12*(AG39/(Assumptions!$AB$10*AO39/100)+AN39),
"")</f>
        <v/>
      </c>
      <c r="AQ39" s="76" t="str">
        <f>IFERROR(
(U39+V39)*Assumptions!$D$11+
(Z39+AA39)*Assumptions!$D$10+
(AE39+AF39)*Assumptions!$D$12,
"")</f>
        <v/>
      </c>
      <c r="AR39" s="104" t="str">
        <f t="shared" si="14"/>
        <v/>
      </c>
      <c r="AS39" s="103" t="str">
        <f t="shared" si="15"/>
        <v/>
      </c>
      <c r="AT39" s="92"/>
    </row>
    <row r="40" spans="1:46" x14ac:dyDescent="0.25">
      <c r="A40" s="264"/>
      <c r="B40" s="265"/>
      <c r="C40" s="265"/>
      <c r="D40" s="265"/>
      <c r="E40" s="266"/>
      <c r="F40" s="270"/>
      <c r="G40" s="271"/>
      <c r="H40" s="271"/>
      <c r="I40" s="272"/>
      <c r="J40" s="270"/>
      <c r="K40" s="271"/>
      <c r="L40" s="272"/>
      <c r="M40" s="270"/>
      <c r="N40" s="271"/>
      <c r="O40" s="272"/>
      <c r="P40" s="97" t="str">
        <f t="shared" si="0"/>
        <v/>
      </c>
      <c r="Q40" s="84" t="str">
        <f t="shared" si="2"/>
        <v/>
      </c>
      <c r="R40" s="101" t="str">
        <f t="shared" si="3"/>
        <v/>
      </c>
      <c r="S40" s="100" t="str">
        <f t="shared" si="4"/>
        <v/>
      </c>
      <c r="T40" s="95" t="str">
        <f t="shared" si="5"/>
        <v/>
      </c>
      <c r="U40" s="95" t="str">
        <f t="shared" si="6"/>
        <v/>
      </c>
      <c r="V40" s="95" t="str">
        <f>IFERROR(AK40*
(Assumptions!$S$7*(U40/AI40)^3+
Assumptions!$S$8*(U40/AI40)^2+
Assumptions!$S$9*(U40/AI40)+
Assumptions!$S$10),"")</f>
        <v/>
      </c>
      <c r="W40" s="96" t="str">
        <f>IFERROR(S40*T40*Assumptions!$B$15/3956,"")</f>
        <v/>
      </c>
      <c r="X40" s="102" t="str">
        <f t="shared" si="7"/>
        <v/>
      </c>
      <c r="Y40" s="95" t="str">
        <f t="shared" si="8"/>
        <v/>
      </c>
      <c r="Z40" s="95" t="str">
        <f t="shared" si="9"/>
        <v/>
      </c>
      <c r="AA40" s="95" t="str">
        <f>IFERROR(AK40*
(Assumptions!$S$7*(Z40/AI40)^3+
Assumptions!$S$8*(Z40/AI40)^2+
Assumptions!$S$9*(Z40/AI40)+
Assumptions!$S$10),"")</f>
        <v/>
      </c>
      <c r="AB40" s="96" t="str">
        <f>IFERROR(X40*Y40*Assumptions!$B$15/3956,"")</f>
        <v/>
      </c>
      <c r="AC40" s="102" t="str">
        <f t="shared" si="10"/>
        <v/>
      </c>
      <c r="AD40" s="95" t="str">
        <f t="shared" si="11"/>
        <v/>
      </c>
      <c r="AE40" s="95" t="str">
        <f t="shared" si="12"/>
        <v/>
      </c>
      <c r="AF40" s="95" t="str">
        <f>IFERROR(AK40*
(Assumptions!$S$7*(AE40/AI40)^3+
Assumptions!$S$8*(AE40/AI40)^2+
Assumptions!$S$9*(AE40/AI40)+
Assumptions!$S$10),"")</f>
        <v/>
      </c>
      <c r="AG40" s="96" t="str">
        <f>IFERROR(AC40*AD40*Assumptions!$B$15/3956,"")</f>
        <v/>
      </c>
      <c r="AH40" s="94" t="str">
        <f t="shared" si="1"/>
        <v/>
      </c>
      <c r="AI40" s="93" t="str">
        <f>IFERROR(
IF(C40="VTS",
INDEX(Assumptions!$I$38:$I$57,MATCH(AH40,Assumptions!$I$38:$I$57,-1)),
INDEX(Assumptions!$I$13:$I$32,MATCH(AH40,Assumptions!$I$13:$I$32,-1))),
"")</f>
        <v/>
      </c>
      <c r="AJ40" s="96" t="str">
        <f>IFERROR(
IF(C40="VTS",
VLOOKUP(AI40,Assumptions!$I$38:$K$57,MATCH(P40,Assumptions!$I$37:$K$37,0),FALSE),
VLOOKUP(AI40,Assumptions!$I$13:$K$32,MATCH(P40,Assumptions!$I$12:$K$12,0),FALSE)),
"")</f>
        <v/>
      </c>
      <c r="AK40" s="99" t="str">
        <f t="shared" si="13"/>
        <v/>
      </c>
      <c r="AL40" s="95" t="str">
        <f>IFERROR(AK40*
(Assumptions!$S$7*(W40/(AO40*Assumptions!$AB$9/100)/AI40)^3+
Assumptions!$S$8*(W40/(AO40*Assumptions!$AB$9/100)/AI40)^2+
Assumptions!$S$9*(W40/(AO40*Assumptions!$AB$9/100)/AI40)+
Assumptions!$S$10),"")</f>
        <v/>
      </c>
      <c r="AM40" s="95" t="str">
        <f>IFERROR(AK40*
(Assumptions!$S$7*(AB40/(AO40*Assumptions!$AB$8/100)/AI40)^3+
Assumptions!$S$8*(AB40/(AO40*Assumptions!$AB$8/100)/AI40)^2+
Assumptions!$S$9*(AB40/(AO40*Assumptions!$AB$8/100)/AI40)+
Assumptions!$S$10),"")</f>
        <v/>
      </c>
      <c r="AN40" s="95" t="str">
        <f>IFERROR(AK40*
(Assumptions!$S$7*(AG40/(AO40*Assumptions!$AB$10/100)/AI40)^3+
Assumptions!$S$8*(AG40/(AO40*Assumptions!$AB$10/100)/AI40)^2+
Assumptions!$S$9*(AG40/(AO40*Assumptions!$AB$10/100)/AI40)+
Assumptions!$S$10),"")</f>
        <v/>
      </c>
      <c r="AO40" s="95" t="str">
        <f>IFERROR(
Assumptions!$AD$8*LN(S40)^2+
Assumptions!$AE$8*LN(R40)*LN(S40)+
Assumptions!$AF$8*LN(R40)^2+
Assumptions!$AG$8*LN(S40)+
Assumptions!$AH$8*LN(R40)-
(IF(Q40=1800,
VLOOKUP(C40,Assumptions!$AA$13:$AC$17,3),
IF(Q40=3600,
VLOOKUP(C40,Assumptions!$AA$18:$AC$22,3),
""))+Assumptions!$AI$8),
"")</f>
        <v/>
      </c>
      <c r="AP40" s="96" t="str">
        <f>IFERROR(
Assumptions!$D$11*(W40/(Assumptions!$AB$9*AO40/100)+AL40)+
Assumptions!$D$10*(AB40/(Assumptions!$AB$8*AO40/100)+AM40)+
Assumptions!$D$12*(AG40/(Assumptions!$AB$10*AO40/100)+AN40),
"")</f>
        <v/>
      </c>
      <c r="AQ40" s="76" t="str">
        <f>IFERROR(
(U40+V40)*Assumptions!$D$11+
(Z40+AA40)*Assumptions!$D$10+
(AE40+AF40)*Assumptions!$D$12,
"")</f>
        <v/>
      </c>
      <c r="AR40" s="104" t="str">
        <f t="shared" si="14"/>
        <v/>
      </c>
      <c r="AS40" s="103" t="str">
        <f t="shared" si="15"/>
        <v/>
      </c>
      <c r="AT40" s="92"/>
    </row>
    <row r="41" spans="1:46" x14ac:dyDescent="0.25">
      <c r="A41" s="264"/>
      <c r="B41" s="265"/>
      <c r="C41" s="265"/>
      <c r="D41" s="265"/>
      <c r="E41" s="266"/>
      <c r="F41" s="270"/>
      <c r="G41" s="271"/>
      <c r="H41" s="271"/>
      <c r="I41" s="272"/>
      <c r="J41" s="270"/>
      <c r="K41" s="271"/>
      <c r="L41" s="272"/>
      <c r="M41" s="270"/>
      <c r="N41" s="271"/>
      <c r="O41" s="272"/>
      <c r="P41" s="97" t="str">
        <f t="shared" si="0"/>
        <v/>
      </c>
      <c r="Q41" s="84" t="str">
        <f t="shared" si="2"/>
        <v/>
      </c>
      <c r="R41" s="101" t="str">
        <f t="shared" si="3"/>
        <v/>
      </c>
      <c r="S41" s="100" t="str">
        <f t="shared" si="4"/>
        <v/>
      </c>
      <c r="T41" s="95" t="str">
        <f t="shared" si="5"/>
        <v/>
      </c>
      <c r="U41" s="95" t="str">
        <f t="shared" si="6"/>
        <v/>
      </c>
      <c r="V41" s="95" t="str">
        <f>IFERROR(AK41*
(Assumptions!$S$7*(U41/AI41)^3+
Assumptions!$S$8*(U41/AI41)^2+
Assumptions!$S$9*(U41/AI41)+
Assumptions!$S$10),"")</f>
        <v/>
      </c>
      <c r="W41" s="96" t="str">
        <f>IFERROR(S41*T41*Assumptions!$B$15/3956,"")</f>
        <v/>
      </c>
      <c r="X41" s="102" t="str">
        <f t="shared" si="7"/>
        <v/>
      </c>
      <c r="Y41" s="95" t="str">
        <f t="shared" si="8"/>
        <v/>
      </c>
      <c r="Z41" s="95" t="str">
        <f t="shared" si="9"/>
        <v/>
      </c>
      <c r="AA41" s="95" t="str">
        <f>IFERROR(AK41*
(Assumptions!$S$7*(Z41/AI41)^3+
Assumptions!$S$8*(Z41/AI41)^2+
Assumptions!$S$9*(Z41/AI41)+
Assumptions!$S$10),"")</f>
        <v/>
      </c>
      <c r="AB41" s="96" t="str">
        <f>IFERROR(X41*Y41*Assumptions!$B$15/3956,"")</f>
        <v/>
      </c>
      <c r="AC41" s="102" t="str">
        <f t="shared" si="10"/>
        <v/>
      </c>
      <c r="AD41" s="95" t="str">
        <f t="shared" si="11"/>
        <v/>
      </c>
      <c r="AE41" s="95" t="str">
        <f t="shared" si="12"/>
        <v/>
      </c>
      <c r="AF41" s="95" t="str">
        <f>IFERROR(AK41*
(Assumptions!$S$7*(AE41/AI41)^3+
Assumptions!$S$8*(AE41/AI41)^2+
Assumptions!$S$9*(AE41/AI41)+
Assumptions!$S$10),"")</f>
        <v/>
      </c>
      <c r="AG41" s="96" t="str">
        <f>IFERROR(AC41*AD41*Assumptions!$B$15/3956,"")</f>
        <v/>
      </c>
      <c r="AH41" s="94" t="str">
        <f t="shared" si="1"/>
        <v/>
      </c>
      <c r="AI41" s="93" t="str">
        <f>IFERROR(
IF(C41="VTS",
INDEX(Assumptions!$I$38:$I$57,MATCH(AH41,Assumptions!$I$38:$I$57,-1)),
INDEX(Assumptions!$I$13:$I$32,MATCH(AH41,Assumptions!$I$13:$I$32,-1))),
"")</f>
        <v/>
      </c>
      <c r="AJ41" s="96" t="str">
        <f>IFERROR(
IF(C41="VTS",
VLOOKUP(AI41,Assumptions!$I$38:$K$57,MATCH(P41,Assumptions!$I$37:$K$37,0),FALSE),
VLOOKUP(AI41,Assumptions!$I$13:$K$32,MATCH(P41,Assumptions!$I$12:$K$12,0),FALSE)),
"")</f>
        <v/>
      </c>
      <c r="AK41" s="99" t="str">
        <f t="shared" si="13"/>
        <v/>
      </c>
      <c r="AL41" s="95" t="str">
        <f>IFERROR(AK41*
(Assumptions!$S$7*(W41/(AO41*Assumptions!$AB$9/100)/AI41)^3+
Assumptions!$S$8*(W41/(AO41*Assumptions!$AB$9/100)/AI41)^2+
Assumptions!$S$9*(W41/(AO41*Assumptions!$AB$9/100)/AI41)+
Assumptions!$S$10),"")</f>
        <v/>
      </c>
      <c r="AM41" s="95" t="str">
        <f>IFERROR(AK41*
(Assumptions!$S$7*(AB41/(AO41*Assumptions!$AB$8/100)/AI41)^3+
Assumptions!$S$8*(AB41/(AO41*Assumptions!$AB$8/100)/AI41)^2+
Assumptions!$S$9*(AB41/(AO41*Assumptions!$AB$8/100)/AI41)+
Assumptions!$S$10),"")</f>
        <v/>
      </c>
      <c r="AN41" s="95" t="str">
        <f>IFERROR(AK41*
(Assumptions!$S$7*(AG41/(AO41*Assumptions!$AB$10/100)/AI41)^3+
Assumptions!$S$8*(AG41/(AO41*Assumptions!$AB$10/100)/AI41)^2+
Assumptions!$S$9*(AG41/(AO41*Assumptions!$AB$10/100)/AI41)+
Assumptions!$S$10),"")</f>
        <v/>
      </c>
      <c r="AO41" s="95" t="str">
        <f>IFERROR(
Assumptions!$AD$8*LN(S41)^2+
Assumptions!$AE$8*LN(R41)*LN(S41)+
Assumptions!$AF$8*LN(R41)^2+
Assumptions!$AG$8*LN(S41)+
Assumptions!$AH$8*LN(R41)-
(IF(Q41=1800,
VLOOKUP(C41,Assumptions!$AA$13:$AC$17,3),
IF(Q41=3600,
VLOOKUP(C41,Assumptions!$AA$18:$AC$22,3),
""))+Assumptions!$AI$8),
"")</f>
        <v/>
      </c>
      <c r="AP41" s="96" t="str">
        <f>IFERROR(
Assumptions!$D$11*(W41/(Assumptions!$AB$9*AO41/100)+AL41)+
Assumptions!$D$10*(AB41/(Assumptions!$AB$8*AO41/100)+AM41)+
Assumptions!$D$12*(AG41/(Assumptions!$AB$10*AO41/100)+AN41),
"")</f>
        <v/>
      </c>
      <c r="AQ41" s="76" t="str">
        <f>IFERROR(
(U41+V41)*Assumptions!$D$11+
(Z41+AA41)*Assumptions!$D$10+
(AE41+AF41)*Assumptions!$D$12,
"")</f>
        <v/>
      </c>
      <c r="AR41" s="104" t="str">
        <f t="shared" si="14"/>
        <v/>
      </c>
      <c r="AS41" s="103" t="str">
        <f t="shared" si="15"/>
        <v/>
      </c>
      <c r="AT41" s="92"/>
    </row>
    <row r="42" spans="1:46" x14ac:dyDescent="0.25">
      <c r="A42" s="264"/>
      <c r="B42" s="265"/>
      <c r="C42" s="265"/>
      <c r="D42" s="265"/>
      <c r="E42" s="266"/>
      <c r="F42" s="270"/>
      <c r="G42" s="271"/>
      <c r="H42" s="271"/>
      <c r="I42" s="272"/>
      <c r="J42" s="270"/>
      <c r="K42" s="271"/>
      <c r="L42" s="272"/>
      <c r="M42" s="270"/>
      <c r="N42" s="271"/>
      <c r="O42" s="272"/>
      <c r="P42" s="97" t="str">
        <f t="shared" si="0"/>
        <v/>
      </c>
      <c r="Q42" s="84" t="str">
        <f t="shared" si="2"/>
        <v/>
      </c>
      <c r="R42" s="101" t="str">
        <f t="shared" si="3"/>
        <v/>
      </c>
      <c r="S42" s="100" t="str">
        <f t="shared" si="4"/>
        <v/>
      </c>
      <c r="T42" s="95" t="str">
        <f t="shared" si="5"/>
        <v/>
      </c>
      <c r="U42" s="95" t="str">
        <f t="shared" si="6"/>
        <v/>
      </c>
      <c r="V42" s="95" t="str">
        <f>IFERROR(AK42*
(Assumptions!$S$7*(U42/AI42)^3+
Assumptions!$S$8*(U42/AI42)^2+
Assumptions!$S$9*(U42/AI42)+
Assumptions!$S$10),"")</f>
        <v/>
      </c>
      <c r="W42" s="96" t="str">
        <f>IFERROR(S42*T42*Assumptions!$B$15/3956,"")</f>
        <v/>
      </c>
      <c r="X42" s="102" t="str">
        <f t="shared" si="7"/>
        <v/>
      </c>
      <c r="Y42" s="95" t="str">
        <f t="shared" si="8"/>
        <v/>
      </c>
      <c r="Z42" s="95" t="str">
        <f t="shared" si="9"/>
        <v/>
      </c>
      <c r="AA42" s="95" t="str">
        <f>IFERROR(AK42*
(Assumptions!$S$7*(Z42/AI42)^3+
Assumptions!$S$8*(Z42/AI42)^2+
Assumptions!$S$9*(Z42/AI42)+
Assumptions!$S$10),"")</f>
        <v/>
      </c>
      <c r="AB42" s="96" t="str">
        <f>IFERROR(X42*Y42*Assumptions!$B$15/3956,"")</f>
        <v/>
      </c>
      <c r="AC42" s="102" t="str">
        <f t="shared" si="10"/>
        <v/>
      </c>
      <c r="AD42" s="95" t="str">
        <f t="shared" si="11"/>
        <v/>
      </c>
      <c r="AE42" s="95" t="str">
        <f t="shared" si="12"/>
        <v/>
      </c>
      <c r="AF42" s="95" t="str">
        <f>IFERROR(AK42*
(Assumptions!$S$7*(AE42/AI42)^3+
Assumptions!$S$8*(AE42/AI42)^2+
Assumptions!$S$9*(AE42/AI42)+
Assumptions!$S$10),"")</f>
        <v/>
      </c>
      <c r="AG42" s="96" t="str">
        <f>IFERROR(AC42*AD42*Assumptions!$B$15/3956,"")</f>
        <v/>
      </c>
      <c r="AH42" s="94" t="str">
        <f t="shared" ref="AH42:AH73" si="16">IFERROR((1.2*S42-X42)*(AE42-Z42)/(AC42-X42)+Z42,"")</f>
        <v/>
      </c>
      <c r="AI42" s="93" t="str">
        <f>IFERROR(
IF(C42="VTS",
INDEX(Assumptions!$I$38:$I$57,MATCH(AH42,Assumptions!$I$38:$I$57,-1)),
INDEX(Assumptions!$I$13:$I$32,MATCH(AH42,Assumptions!$I$13:$I$32,-1))),
"")</f>
        <v/>
      </c>
      <c r="AJ42" s="96" t="str">
        <f>IFERROR(
IF(C42="VTS",
VLOOKUP(AI42,Assumptions!$I$38:$K$57,MATCH(P42,Assumptions!$I$37:$K$37,0),FALSE),
VLOOKUP(AI42,Assumptions!$I$13:$K$32,MATCH(P42,Assumptions!$I$12:$K$12,0),FALSE)),
"")</f>
        <v/>
      </c>
      <c r="AK42" s="99" t="str">
        <f t="shared" si="13"/>
        <v/>
      </c>
      <c r="AL42" s="95" t="str">
        <f>IFERROR(AK42*
(Assumptions!$S$7*(W42/(AO42*Assumptions!$AB$9/100)/AI42)^3+
Assumptions!$S$8*(W42/(AO42*Assumptions!$AB$9/100)/AI42)^2+
Assumptions!$S$9*(W42/(AO42*Assumptions!$AB$9/100)/AI42)+
Assumptions!$S$10),"")</f>
        <v/>
      </c>
      <c r="AM42" s="95" t="str">
        <f>IFERROR(AK42*
(Assumptions!$S$7*(AB42/(AO42*Assumptions!$AB$8/100)/AI42)^3+
Assumptions!$S$8*(AB42/(AO42*Assumptions!$AB$8/100)/AI42)^2+
Assumptions!$S$9*(AB42/(AO42*Assumptions!$AB$8/100)/AI42)+
Assumptions!$S$10),"")</f>
        <v/>
      </c>
      <c r="AN42" s="95" t="str">
        <f>IFERROR(AK42*
(Assumptions!$S$7*(AG42/(AO42*Assumptions!$AB$10/100)/AI42)^3+
Assumptions!$S$8*(AG42/(AO42*Assumptions!$AB$10/100)/AI42)^2+
Assumptions!$S$9*(AG42/(AO42*Assumptions!$AB$10/100)/AI42)+
Assumptions!$S$10),"")</f>
        <v/>
      </c>
      <c r="AO42" s="95" t="str">
        <f>IFERROR(
Assumptions!$AD$8*LN(S42)^2+
Assumptions!$AE$8*LN(R42)*LN(S42)+
Assumptions!$AF$8*LN(R42)^2+
Assumptions!$AG$8*LN(S42)+
Assumptions!$AH$8*LN(R42)-
(IF(Q42=1800,
VLOOKUP(C42,Assumptions!$AA$13:$AC$17,3),
IF(Q42=3600,
VLOOKUP(C42,Assumptions!$AA$18:$AC$22,3),
""))+Assumptions!$AI$8),
"")</f>
        <v/>
      </c>
      <c r="AP42" s="96" t="str">
        <f>IFERROR(
Assumptions!$D$11*(W42/(Assumptions!$AB$9*AO42/100)+AL42)+
Assumptions!$D$10*(AB42/(Assumptions!$AB$8*AO42/100)+AM42)+
Assumptions!$D$12*(AG42/(Assumptions!$AB$10*AO42/100)+AN42),
"")</f>
        <v/>
      </c>
      <c r="AQ42" s="76" t="str">
        <f>IFERROR(
(U42+V42)*Assumptions!$D$11+
(Z42+AA42)*Assumptions!$D$10+
(AE42+AF42)*Assumptions!$D$12,
"")</f>
        <v/>
      </c>
      <c r="AR42" s="104" t="str">
        <f t="shared" si="14"/>
        <v/>
      </c>
      <c r="AS42" s="103" t="str">
        <f t="shared" si="15"/>
        <v/>
      </c>
      <c r="AT42" s="92"/>
    </row>
    <row r="43" spans="1:46" x14ac:dyDescent="0.25">
      <c r="A43" s="264"/>
      <c r="B43" s="265"/>
      <c r="C43" s="265"/>
      <c r="D43" s="265"/>
      <c r="E43" s="266"/>
      <c r="F43" s="270"/>
      <c r="G43" s="271"/>
      <c r="H43" s="271"/>
      <c r="I43" s="272"/>
      <c r="J43" s="270"/>
      <c r="K43" s="271"/>
      <c r="L43" s="272"/>
      <c r="M43" s="270"/>
      <c r="N43" s="271"/>
      <c r="O43" s="272"/>
      <c r="P43" s="97" t="str">
        <f t="shared" si="0"/>
        <v/>
      </c>
      <c r="Q43" s="84" t="str">
        <f t="shared" si="2"/>
        <v/>
      </c>
      <c r="R43" s="101" t="str">
        <f t="shared" si="3"/>
        <v/>
      </c>
      <c r="S43" s="100" t="str">
        <f t="shared" si="4"/>
        <v/>
      </c>
      <c r="T43" s="95" t="str">
        <f t="shared" si="5"/>
        <v/>
      </c>
      <c r="U43" s="95" t="str">
        <f t="shared" si="6"/>
        <v/>
      </c>
      <c r="V43" s="95" t="str">
        <f>IFERROR(AK43*
(Assumptions!$S$7*(U43/AI43)^3+
Assumptions!$S$8*(U43/AI43)^2+
Assumptions!$S$9*(U43/AI43)+
Assumptions!$S$10),"")</f>
        <v/>
      </c>
      <c r="W43" s="96" t="str">
        <f>IFERROR(S43*T43*Assumptions!$B$15/3956,"")</f>
        <v/>
      </c>
      <c r="X43" s="102" t="str">
        <f t="shared" si="7"/>
        <v/>
      </c>
      <c r="Y43" s="95" t="str">
        <f t="shared" si="8"/>
        <v/>
      </c>
      <c r="Z43" s="95" t="str">
        <f t="shared" si="9"/>
        <v/>
      </c>
      <c r="AA43" s="95" t="str">
        <f>IFERROR(AK43*
(Assumptions!$S$7*(Z43/AI43)^3+
Assumptions!$S$8*(Z43/AI43)^2+
Assumptions!$S$9*(Z43/AI43)+
Assumptions!$S$10),"")</f>
        <v/>
      </c>
      <c r="AB43" s="96" t="str">
        <f>IFERROR(X43*Y43*Assumptions!$B$15/3956,"")</f>
        <v/>
      </c>
      <c r="AC43" s="102" t="str">
        <f t="shared" si="10"/>
        <v/>
      </c>
      <c r="AD43" s="95" t="str">
        <f t="shared" si="11"/>
        <v/>
      </c>
      <c r="AE43" s="95" t="str">
        <f t="shared" si="12"/>
        <v/>
      </c>
      <c r="AF43" s="95" t="str">
        <f>IFERROR(AK43*
(Assumptions!$S$7*(AE43/AI43)^3+
Assumptions!$S$8*(AE43/AI43)^2+
Assumptions!$S$9*(AE43/AI43)+
Assumptions!$S$10),"")</f>
        <v/>
      </c>
      <c r="AG43" s="96" t="str">
        <f>IFERROR(AC43*AD43*Assumptions!$B$15/3956,"")</f>
        <v/>
      </c>
      <c r="AH43" s="94" t="str">
        <f t="shared" si="16"/>
        <v/>
      </c>
      <c r="AI43" s="93" t="str">
        <f>IFERROR(
IF(C43="VTS",
INDEX(Assumptions!$I$38:$I$57,MATCH(AH43,Assumptions!$I$38:$I$57,-1)),
INDEX(Assumptions!$I$13:$I$32,MATCH(AH43,Assumptions!$I$13:$I$32,-1))),
"")</f>
        <v/>
      </c>
      <c r="AJ43" s="96" t="str">
        <f>IFERROR(
IF(C43="VTS",
VLOOKUP(AI43,Assumptions!$I$38:$K$57,MATCH(P43,Assumptions!$I$37:$K$37,0),FALSE),
VLOOKUP(AI43,Assumptions!$I$13:$K$32,MATCH(P43,Assumptions!$I$12:$K$12,0),FALSE)),
"")</f>
        <v/>
      </c>
      <c r="AK43" s="99" t="str">
        <f t="shared" si="13"/>
        <v/>
      </c>
      <c r="AL43" s="95" t="str">
        <f>IFERROR(AK43*
(Assumptions!$S$7*(W43/(AO43*Assumptions!$AB$9/100)/AI43)^3+
Assumptions!$S$8*(W43/(AO43*Assumptions!$AB$9/100)/AI43)^2+
Assumptions!$S$9*(W43/(AO43*Assumptions!$AB$9/100)/AI43)+
Assumptions!$S$10),"")</f>
        <v/>
      </c>
      <c r="AM43" s="95" t="str">
        <f>IFERROR(AK43*
(Assumptions!$S$7*(AB43/(AO43*Assumptions!$AB$8/100)/AI43)^3+
Assumptions!$S$8*(AB43/(AO43*Assumptions!$AB$8/100)/AI43)^2+
Assumptions!$S$9*(AB43/(AO43*Assumptions!$AB$8/100)/AI43)+
Assumptions!$S$10),"")</f>
        <v/>
      </c>
      <c r="AN43" s="95" t="str">
        <f>IFERROR(AK43*
(Assumptions!$S$7*(AG43/(AO43*Assumptions!$AB$10/100)/AI43)^3+
Assumptions!$S$8*(AG43/(AO43*Assumptions!$AB$10/100)/AI43)^2+
Assumptions!$S$9*(AG43/(AO43*Assumptions!$AB$10/100)/AI43)+
Assumptions!$S$10),"")</f>
        <v/>
      </c>
      <c r="AO43" s="95" t="str">
        <f>IFERROR(
Assumptions!$AD$8*LN(S43)^2+
Assumptions!$AE$8*LN(R43)*LN(S43)+
Assumptions!$AF$8*LN(R43)^2+
Assumptions!$AG$8*LN(S43)+
Assumptions!$AH$8*LN(R43)-
(IF(Q43=1800,
VLOOKUP(C43,Assumptions!$AA$13:$AC$17,3),
IF(Q43=3600,
VLOOKUP(C43,Assumptions!$AA$18:$AC$22,3),
""))+Assumptions!$AI$8),
"")</f>
        <v/>
      </c>
      <c r="AP43" s="96" t="str">
        <f>IFERROR(
Assumptions!$D$11*(W43/(Assumptions!$AB$9*AO43/100)+AL43)+
Assumptions!$D$10*(AB43/(Assumptions!$AB$8*AO43/100)+AM43)+
Assumptions!$D$12*(AG43/(Assumptions!$AB$10*AO43/100)+AN43),
"")</f>
        <v/>
      </c>
      <c r="AQ43" s="76" t="str">
        <f>IFERROR(
(U43+V43)*Assumptions!$D$11+
(Z43+AA43)*Assumptions!$D$10+
(AE43+AF43)*Assumptions!$D$12,
"")</f>
        <v/>
      </c>
      <c r="AR43" s="104" t="str">
        <f t="shared" si="14"/>
        <v/>
      </c>
      <c r="AS43" s="103" t="str">
        <f t="shared" si="15"/>
        <v/>
      </c>
      <c r="AT43" s="92"/>
    </row>
    <row r="44" spans="1:46" x14ac:dyDescent="0.25">
      <c r="A44" s="264"/>
      <c r="B44" s="265"/>
      <c r="C44" s="265"/>
      <c r="D44" s="265"/>
      <c r="E44" s="266"/>
      <c r="F44" s="270"/>
      <c r="G44" s="271"/>
      <c r="H44" s="271"/>
      <c r="I44" s="272"/>
      <c r="J44" s="270"/>
      <c r="K44" s="271"/>
      <c r="L44" s="272"/>
      <c r="M44" s="270"/>
      <c r="N44" s="271"/>
      <c r="O44" s="272"/>
      <c r="P44" s="97" t="str">
        <f t="shared" si="0"/>
        <v/>
      </c>
      <c r="Q44" s="84" t="str">
        <f t="shared" si="2"/>
        <v/>
      </c>
      <c r="R44" s="101" t="str">
        <f t="shared" si="3"/>
        <v/>
      </c>
      <c r="S44" s="100" t="str">
        <f t="shared" si="4"/>
        <v/>
      </c>
      <c r="T44" s="95" t="str">
        <f t="shared" si="5"/>
        <v/>
      </c>
      <c r="U44" s="95" t="str">
        <f t="shared" si="6"/>
        <v/>
      </c>
      <c r="V44" s="95" t="str">
        <f>IFERROR(AK44*
(Assumptions!$S$7*(U44/AI44)^3+
Assumptions!$S$8*(U44/AI44)^2+
Assumptions!$S$9*(U44/AI44)+
Assumptions!$S$10),"")</f>
        <v/>
      </c>
      <c r="W44" s="96" t="str">
        <f>IFERROR(S44*T44*Assumptions!$B$15/3956,"")</f>
        <v/>
      </c>
      <c r="X44" s="102" t="str">
        <f t="shared" si="7"/>
        <v/>
      </c>
      <c r="Y44" s="95" t="str">
        <f t="shared" si="8"/>
        <v/>
      </c>
      <c r="Z44" s="95" t="str">
        <f t="shared" si="9"/>
        <v/>
      </c>
      <c r="AA44" s="95" t="str">
        <f>IFERROR(AK44*
(Assumptions!$S$7*(Z44/AI44)^3+
Assumptions!$S$8*(Z44/AI44)^2+
Assumptions!$S$9*(Z44/AI44)+
Assumptions!$S$10),"")</f>
        <v/>
      </c>
      <c r="AB44" s="96" t="str">
        <f>IFERROR(X44*Y44*Assumptions!$B$15/3956,"")</f>
        <v/>
      </c>
      <c r="AC44" s="102" t="str">
        <f t="shared" si="10"/>
        <v/>
      </c>
      <c r="AD44" s="95" t="str">
        <f t="shared" si="11"/>
        <v/>
      </c>
      <c r="AE44" s="95" t="str">
        <f t="shared" si="12"/>
        <v/>
      </c>
      <c r="AF44" s="95" t="str">
        <f>IFERROR(AK44*
(Assumptions!$S$7*(AE44/AI44)^3+
Assumptions!$S$8*(AE44/AI44)^2+
Assumptions!$S$9*(AE44/AI44)+
Assumptions!$S$10),"")</f>
        <v/>
      </c>
      <c r="AG44" s="96" t="str">
        <f>IFERROR(AC44*AD44*Assumptions!$B$15/3956,"")</f>
        <v/>
      </c>
      <c r="AH44" s="94" t="str">
        <f t="shared" si="16"/>
        <v/>
      </c>
      <c r="AI44" s="93" t="str">
        <f>IFERROR(
IF(C44="VTS",
INDEX(Assumptions!$I$38:$I$57,MATCH(AH44,Assumptions!$I$38:$I$57,-1)),
INDEX(Assumptions!$I$13:$I$32,MATCH(AH44,Assumptions!$I$13:$I$32,-1))),
"")</f>
        <v/>
      </c>
      <c r="AJ44" s="96" t="str">
        <f>IFERROR(
IF(C44="VTS",
VLOOKUP(AI44,Assumptions!$I$38:$K$57,MATCH(P44,Assumptions!$I$37:$K$37,0),FALSE),
VLOOKUP(AI44,Assumptions!$I$13:$K$32,MATCH(P44,Assumptions!$I$12:$K$12,0),FALSE)),
"")</f>
        <v/>
      </c>
      <c r="AK44" s="99" t="str">
        <f t="shared" si="13"/>
        <v/>
      </c>
      <c r="AL44" s="95" t="str">
        <f>IFERROR(AK44*
(Assumptions!$S$7*(W44/(AO44*Assumptions!$AB$9/100)/AI44)^3+
Assumptions!$S$8*(W44/(AO44*Assumptions!$AB$9/100)/AI44)^2+
Assumptions!$S$9*(W44/(AO44*Assumptions!$AB$9/100)/AI44)+
Assumptions!$S$10),"")</f>
        <v/>
      </c>
      <c r="AM44" s="95" t="str">
        <f>IFERROR(AK44*
(Assumptions!$S$7*(AB44/(AO44*Assumptions!$AB$8/100)/AI44)^3+
Assumptions!$S$8*(AB44/(AO44*Assumptions!$AB$8/100)/AI44)^2+
Assumptions!$S$9*(AB44/(AO44*Assumptions!$AB$8/100)/AI44)+
Assumptions!$S$10),"")</f>
        <v/>
      </c>
      <c r="AN44" s="95" t="str">
        <f>IFERROR(AK44*
(Assumptions!$S$7*(AG44/(AO44*Assumptions!$AB$10/100)/AI44)^3+
Assumptions!$S$8*(AG44/(AO44*Assumptions!$AB$10/100)/AI44)^2+
Assumptions!$S$9*(AG44/(AO44*Assumptions!$AB$10/100)/AI44)+
Assumptions!$S$10),"")</f>
        <v/>
      </c>
      <c r="AO44" s="95" t="str">
        <f>IFERROR(
Assumptions!$AD$8*LN(S44)^2+
Assumptions!$AE$8*LN(R44)*LN(S44)+
Assumptions!$AF$8*LN(R44)^2+
Assumptions!$AG$8*LN(S44)+
Assumptions!$AH$8*LN(R44)-
(IF(Q44=1800,
VLOOKUP(C44,Assumptions!$AA$13:$AC$17,3),
IF(Q44=3600,
VLOOKUP(C44,Assumptions!$AA$18:$AC$22,3),
""))+Assumptions!$AI$8),
"")</f>
        <v/>
      </c>
      <c r="AP44" s="96" t="str">
        <f>IFERROR(
Assumptions!$D$11*(W44/(Assumptions!$AB$9*AO44/100)+AL44)+
Assumptions!$D$10*(AB44/(Assumptions!$AB$8*AO44/100)+AM44)+
Assumptions!$D$12*(AG44/(Assumptions!$AB$10*AO44/100)+AN44),
"")</f>
        <v/>
      </c>
      <c r="AQ44" s="76" t="str">
        <f>IFERROR(
(U44+V44)*Assumptions!$D$11+
(Z44+AA44)*Assumptions!$D$10+
(AE44+AF44)*Assumptions!$D$12,
"")</f>
        <v/>
      </c>
      <c r="AR44" s="104" t="str">
        <f t="shared" si="14"/>
        <v/>
      </c>
      <c r="AS44" s="103" t="str">
        <f t="shared" si="15"/>
        <v/>
      </c>
      <c r="AT44" s="92"/>
    </row>
    <row r="45" spans="1:46" x14ac:dyDescent="0.25">
      <c r="A45" s="264"/>
      <c r="B45" s="265"/>
      <c r="C45" s="265"/>
      <c r="D45" s="265"/>
      <c r="E45" s="266"/>
      <c r="F45" s="270"/>
      <c r="G45" s="271"/>
      <c r="H45" s="271"/>
      <c r="I45" s="272"/>
      <c r="J45" s="270"/>
      <c r="K45" s="271"/>
      <c r="L45" s="272"/>
      <c r="M45" s="270"/>
      <c r="N45" s="271"/>
      <c r="O45" s="272"/>
      <c r="P45" s="97" t="str">
        <f t="shared" si="0"/>
        <v/>
      </c>
      <c r="Q45" s="84" t="str">
        <f t="shared" si="2"/>
        <v/>
      </c>
      <c r="R45" s="101" t="str">
        <f t="shared" si="3"/>
        <v/>
      </c>
      <c r="S45" s="100" t="str">
        <f t="shared" si="4"/>
        <v/>
      </c>
      <c r="T45" s="95" t="str">
        <f t="shared" si="5"/>
        <v/>
      </c>
      <c r="U45" s="95" t="str">
        <f t="shared" si="6"/>
        <v/>
      </c>
      <c r="V45" s="95" t="str">
        <f>IFERROR(AK45*
(Assumptions!$S$7*(U45/AI45)^3+
Assumptions!$S$8*(U45/AI45)^2+
Assumptions!$S$9*(U45/AI45)+
Assumptions!$S$10),"")</f>
        <v/>
      </c>
      <c r="W45" s="96" t="str">
        <f>IFERROR(S45*T45*Assumptions!$B$15/3956,"")</f>
        <v/>
      </c>
      <c r="X45" s="102" t="str">
        <f t="shared" si="7"/>
        <v/>
      </c>
      <c r="Y45" s="95" t="str">
        <f t="shared" si="8"/>
        <v/>
      </c>
      <c r="Z45" s="95" t="str">
        <f t="shared" si="9"/>
        <v/>
      </c>
      <c r="AA45" s="95" t="str">
        <f>IFERROR(AK45*
(Assumptions!$S$7*(Z45/AI45)^3+
Assumptions!$S$8*(Z45/AI45)^2+
Assumptions!$S$9*(Z45/AI45)+
Assumptions!$S$10),"")</f>
        <v/>
      </c>
      <c r="AB45" s="96" t="str">
        <f>IFERROR(X45*Y45*Assumptions!$B$15/3956,"")</f>
        <v/>
      </c>
      <c r="AC45" s="102" t="str">
        <f t="shared" si="10"/>
        <v/>
      </c>
      <c r="AD45" s="95" t="str">
        <f t="shared" si="11"/>
        <v/>
      </c>
      <c r="AE45" s="95" t="str">
        <f t="shared" si="12"/>
        <v/>
      </c>
      <c r="AF45" s="95" t="str">
        <f>IFERROR(AK45*
(Assumptions!$S$7*(AE45/AI45)^3+
Assumptions!$S$8*(AE45/AI45)^2+
Assumptions!$S$9*(AE45/AI45)+
Assumptions!$S$10),"")</f>
        <v/>
      </c>
      <c r="AG45" s="96" t="str">
        <f>IFERROR(AC45*AD45*Assumptions!$B$15/3956,"")</f>
        <v/>
      </c>
      <c r="AH45" s="94" t="str">
        <f t="shared" si="16"/>
        <v/>
      </c>
      <c r="AI45" s="93" t="str">
        <f>IFERROR(
IF(C45="VTS",
INDEX(Assumptions!$I$38:$I$57,MATCH(AH45,Assumptions!$I$38:$I$57,-1)),
INDEX(Assumptions!$I$13:$I$32,MATCH(AH45,Assumptions!$I$13:$I$32,-1))),
"")</f>
        <v/>
      </c>
      <c r="AJ45" s="96" t="str">
        <f>IFERROR(
IF(C45="VTS",
VLOOKUP(AI45,Assumptions!$I$38:$K$57,MATCH(P45,Assumptions!$I$37:$K$37,0),FALSE),
VLOOKUP(AI45,Assumptions!$I$13:$K$32,MATCH(P45,Assumptions!$I$12:$K$12,0),FALSE)),
"")</f>
        <v/>
      </c>
      <c r="AK45" s="99" t="str">
        <f t="shared" si="13"/>
        <v/>
      </c>
      <c r="AL45" s="95" t="str">
        <f>IFERROR(AK45*
(Assumptions!$S$7*(W45/(AO45*Assumptions!$AB$9/100)/AI45)^3+
Assumptions!$S$8*(W45/(AO45*Assumptions!$AB$9/100)/AI45)^2+
Assumptions!$S$9*(W45/(AO45*Assumptions!$AB$9/100)/AI45)+
Assumptions!$S$10),"")</f>
        <v/>
      </c>
      <c r="AM45" s="95" t="str">
        <f>IFERROR(AK45*
(Assumptions!$S$7*(AB45/(AO45*Assumptions!$AB$8/100)/AI45)^3+
Assumptions!$S$8*(AB45/(AO45*Assumptions!$AB$8/100)/AI45)^2+
Assumptions!$S$9*(AB45/(AO45*Assumptions!$AB$8/100)/AI45)+
Assumptions!$S$10),"")</f>
        <v/>
      </c>
      <c r="AN45" s="95" t="str">
        <f>IFERROR(AK45*
(Assumptions!$S$7*(AG45/(AO45*Assumptions!$AB$10/100)/AI45)^3+
Assumptions!$S$8*(AG45/(AO45*Assumptions!$AB$10/100)/AI45)^2+
Assumptions!$S$9*(AG45/(AO45*Assumptions!$AB$10/100)/AI45)+
Assumptions!$S$10),"")</f>
        <v/>
      </c>
      <c r="AO45" s="95" t="str">
        <f>IFERROR(
Assumptions!$AD$8*LN(S45)^2+
Assumptions!$AE$8*LN(R45)*LN(S45)+
Assumptions!$AF$8*LN(R45)^2+
Assumptions!$AG$8*LN(S45)+
Assumptions!$AH$8*LN(R45)-
(IF(Q45=1800,
VLOOKUP(C45,Assumptions!$AA$13:$AC$17,3),
IF(Q45=3600,
VLOOKUP(C45,Assumptions!$AA$18:$AC$22,3),
""))+Assumptions!$AI$8),
"")</f>
        <v/>
      </c>
      <c r="AP45" s="96" t="str">
        <f>IFERROR(
Assumptions!$D$11*(W45/(Assumptions!$AB$9*AO45/100)+AL45)+
Assumptions!$D$10*(AB45/(Assumptions!$AB$8*AO45/100)+AM45)+
Assumptions!$D$12*(AG45/(Assumptions!$AB$10*AO45/100)+AN45),
"")</f>
        <v/>
      </c>
      <c r="AQ45" s="76" t="str">
        <f>IFERROR(
(U45+V45)*Assumptions!$D$11+
(Z45+AA45)*Assumptions!$D$10+
(AE45+AF45)*Assumptions!$D$12,
"")</f>
        <v/>
      </c>
      <c r="AR45" s="104" t="str">
        <f t="shared" si="14"/>
        <v/>
      </c>
      <c r="AS45" s="103" t="str">
        <f t="shared" si="15"/>
        <v/>
      </c>
      <c r="AT45" s="92"/>
    </row>
    <row r="46" spans="1:46" x14ac:dyDescent="0.25">
      <c r="A46" s="264"/>
      <c r="B46" s="265"/>
      <c r="C46" s="265"/>
      <c r="D46" s="265"/>
      <c r="E46" s="266"/>
      <c r="F46" s="270"/>
      <c r="G46" s="271"/>
      <c r="H46" s="271"/>
      <c r="I46" s="272"/>
      <c r="J46" s="270"/>
      <c r="K46" s="271"/>
      <c r="L46" s="272"/>
      <c r="M46" s="270"/>
      <c r="N46" s="271"/>
      <c r="O46" s="272"/>
      <c r="P46" s="97" t="str">
        <f t="shared" si="0"/>
        <v/>
      </c>
      <c r="Q46" s="84" t="str">
        <f t="shared" si="2"/>
        <v/>
      </c>
      <c r="R46" s="101" t="str">
        <f t="shared" si="3"/>
        <v/>
      </c>
      <c r="S46" s="100" t="str">
        <f t="shared" si="4"/>
        <v/>
      </c>
      <c r="T46" s="95" t="str">
        <f t="shared" si="5"/>
        <v/>
      </c>
      <c r="U46" s="95" t="str">
        <f t="shared" si="6"/>
        <v/>
      </c>
      <c r="V46" s="95" t="str">
        <f>IFERROR(AK46*
(Assumptions!$S$7*(U46/AI46)^3+
Assumptions!$S$8*(U46/AI46)^2+
Assumptions!$S$9*(U46/AI46)+
Assumptions!$S$10),"")</f>
        <v/>
      </c>
      <c r="W46" s="96" t="str">
        <f>IFERROR(S46*T46*Assumptions!$B$15/3956,"")</f>
        <v/>
      </c>
      <c r="X46" s="102" t="str">
        <f t="shared" si="7"/>
        <v/>
      </c>
      <c r="Y46" s="95" t="str">
        <f t="shared" si="8"/>
        <v/>
      </c>
      <c r="Z46" s="95" t="str">
        <f t="shared" si="9"/>
        <v/>
      </c>
      <c r="AA46" s="95" t="str">
        <f>IFERROR(AK46*
(Assumptions!$S$7*(Z46/AI46)^3+
Assumptions!$S$8*(Z46/AI46)^2+
Assumptions!$S$9*(Z46/AI46)+
Assumptions!$S$10),"")</f>
        <v/>
      </c>
      <c r="AB46" s="96" t="str">
        <f>IFERROR(X46*Y46*Assumptions!$B$15/3956,"")</f>
        <v/>
      </c>
      <c r="AC46" s="102" t="str">
        <f t="shared" si="10"/>
        <v/>
      </c>
      <c r="AD46" s="95" t="str">
        <f t="shared" si="11"/>
        <v/>
      </c>
      <c r="AE46" s="95" t="str">
        <f t="shared" si="12"/>
        <v/>
      </c>
      <c r="AF46" s="95" t="str">
        <f>IFERROR(AK46*
(Assumptions!$S$7*(AE46/AI46)^3+
Assumptions!$S$8*(AE46/AI46)^2+
Assumptions!$S$9*(AE46/AI46)+
Assumptions!$S$10),"")</f>
        <v/>
      </c>
      <c r="AG46" s="96" t="str">
        <f>IFERROR(AC46*AD46*Assumptions!$B$15/3956,"")</f>
        <v/>
      </c>
      <c r="AH46" s="94" t="str">
        <f t="shared" si="16"/>
        <v/>
      </c>
      <c r="AI46" s="93" t="str">
        <f>IFERROR(
IF(C46="VTS",
INDEX(Assumptions!$I$38:$I$57,MATCH(AH46,Assumptions!$I$38:$I$57,-1)),
INDEX(Assumptions!$I$13:$I$32,MATCH(AH46,Assumptions!$I$13:$I$32,-1))),
"")</f>
        <v/>
      </c>
      <c r="AJ46" s="96" t="str">
        <f>IFERROR(
IF(C46="VTS",
VLOOKUP(AI46,Assumptions!$I$38:$K$57,MATCH(P46,Assumptions!$I$37:$K$37,0),FALSE),
VLOOKUP(AI46,Assumptions!$I$13:$K$32,MATCH(P46,Assumptions!$I$12:$K$12,0),FALSE)),
"")</f>
        <v/>
      </c>
      <c r="AK46" s="99" t="str">
        <f t="shared" si="13"/>
        <v/>
      </c>
      <c r="AL46" s="95" t="str">
        <f>IFERROR(AK46*
(Assumptions!$S$7*(W46/(AO46*Assumptions!$AB$9/100)/AI46)^3+
Assumptions!$S$8*(W46/(AO46*Assumptions!$AB$9/100)/AI46)^2+
Assumptions!$S$9*(W46/(AO46*Assumptions!$AB$9/100)/AI46)+
Assumptions!$S$10),"")</f>
        <v/>
      </c>
      <c r="AM46" s="95" t="str">
        <f>IFERROR(AK46*
(Assumptions!$S$7*(AB46/(AO46*Assumptions!$AB$8/100)/AI46)^3+
Assumptions!$S$8*(AB46/(AO46*Assumptions!$AB$8/100)/AI46)^2+
Assumptions!$S$9*(AB46/(AO46*Assumptions!$AB$8/100)/AI46)+
Assumptions!$S$10),"")</f>
        <v/>
      </c>
      <c r="AN46" s="95" t="str">
        <f>IFERROR(AK46*
(Assumptions!$S$7*(AG46/(AO46*Assumptions!$AB$10/100)/AI46)^3+
Assumptions!$S$8*(AG46/(AO46*Assumptions!$AB$10/100)/AI46)^2+
Assumptions!$S$9*(AG46/(AO46*Assumptions!$AB$10/100)/AI46)+
Assumptions!$S$10),"")</f>
        <v/>
      </c>
      <c r="AO46" s="95" t="str">
        <f>IFERROR(
Assumptions!$AD$8*LN(S46)^2+
Assumptions!$AE$8*LN(R46)*LN(S46)+
Assumptions!$AF$8*LN(R46)^2+
Assumptions!$AG$8*LN(S46)+
Assumptions!$AH$8*LN(R46)-
(IF(Q46=1800,
VLOOKUP(C46,Assumptions!$AA$13:$AC$17,3),
IF(Q46=3600,
VLOOKUP(C46,Assumptions!$AA$18:$AC$22,3),
""))+Assumptions!$AI$8),
"")</f>
        <v/>
      </c>
      <c r="AP46" s="96" t="str">
        <f>IFERROR(
Assumptions!$D$11*(W46/(Assumptions!$AB$9*AO46/100)+AL46)+
Assumptions!$D$10*(AB46/(Assumptions!$AB$8*AO46/100)+AM46)+
Assumptions!$D$12*(AG46/(Assumptions!$AB$10*AO46/100)+AN46),
"")</f>
        <v/>
      </c>
      <c r="AQ46" s="76" t="str">
        <f>IFERROR(
(U46+V46)*Assumptions!$D$11+
(Z46+AA46)*Assumptions!$D$10+
(AE46+AF46)*Assumptions!$D$12,
"")</f>
        <v/>
      </c>
      <c r="AR46" s="104" t="str">
        <f t="shared" si="14"/>
        <v/>
      </c>
      <c r="AS46" s="103" t="str">
        <f t="shared" si="15"/>
        <v/>
      </c>
      <c r="AT46" s="92"/>
    </row>
    <row r="47" spans="1:46" x14ac:dyDescent="0.25">
      <c r="A47" s="264"/>
      <c r="B47" s="265"/>
      <c r="C47" s="265"/>
      <c r="D47" s="265"/>
      <c r="E47" s="266"/>
      <c r="F47" s="270"/>
      <c r="G47" s="271"/>
      <c r="H47" s="271"/>
      <c r="I47" s="272"/>
      <c r="J47" s="270"/>
      <c r="K47" s="271"/>
      <c r="L47" s="272"/>
      <c r="M47" s="270"/>
      <c r="N47" s="271"/>
      <c r="O47" s="272"/>
      <c r="P47" s="97" t="str">
        <f t="shared" si="0"/>
        <v/>
      </c>
      <c r="Q47" s="84" t="str">
        <f t="shared" si="2"/>
        <v/>
      </c>
      <c r="R47" s="101" t="str">
        <f t="shared" si="3"/>
        <v/>
      </c>
      <c r="S47" s="100" t="str">
        <f t="shared" si="4"/>
        <v/>
      </c>
      <c r="T47" s="95" t="str">
        <f t="shared" si="5"/>
        <v/>
      </c>
      <c r="U47" s="95" t="str">
        <f t="shared" si="6"/>
        <v/>
      </c>
      <c r="V47" s="95" t="str">
        <f>IFERROR(AK47*
(Assumptions!$S$7*(U47/AI47)^3+
Assumptions!$S$8*(U47/AI47)^2+
Assumptions!$S$9*(U47/AI47)+
Assumptions!$S$10),"")</f>
        <v/>
      </c>
      <c r="W47" s="96" t="str">
        <f>IFERROR(S47*T47*Assumptions!$B$15/3956,"")</f>
        <v/>
      </c>
      <c r="X47" s="102" t="str">
        <f t="shared" si="7"/>
        <v/>
      </c>
      <c r="Y47" s="95" t="str">
        <f t="shared" si="8"/>
        <v/>
      </c>
      <c r="Z47" s="95" t="str">
        <f t="shared" si="9"/>
        <v/>
      </c>
      <c r="AA47" s="95" t="str">
        <f>IFERROR(AK47*
(Assumptions!$S$7*(Z47/AI47)^3+
Assumptions!$S$8*(Z47/AI47)^2+
Assumptions!$S$9*(Z47/AI47)+
Assumptions!$S$10),"")</f>
        <v/>
      </c>
      <c r="AB47" s="96" t="str">
        <f>IFERROR(X47*Y47*Assumptions!$B$15/3956,"")</f>
        <v/>
      </c>
      <c r="AC47" s="102" t="str">
        <f t="shared" si="10"/>
        <v/>
      </c>
      <c r="AD47" s="95" t="str">
        <f t="shared" si="11"/>
        <v/>
      </c>
      <c r="AE47" s="95" t="str">
        <f t="shared" si="12"/>
        <v/>
      </c>
      <c r="AF47" s="95" t="str">
        <f>IFERROR(AK47*
(Assumptions!$S$7*(AE47/AI47)^3+
Assumptions!$S$8*(AE47/AI47)^2+
Assumptions!$S$9*(AE47/AI47)+
Assumptions!$S$10),"")</f>
        <v/>
      </c>
      <c r="AG47" s="96" t="str">
        <f>IFERROR(AC47*AD47*Assumptions!$B$15/3956,"")</f>
        <v/>
      </c>
      <c r="AH47" s="94" t="str">
        <f t="shared" si="16"/>
        <v/>
      </c>
      <c r="AI47" s="93" t="str">
        <f>IFERROR(
IF(C47="VTS",
INDEX(Assumptions!$I$38:$I$57,MATCH(AH47,Assumptions!$I$38:$I$57,-1)),
INDEX(Assumptions!$I$13:$I$32,MATCH(AH47,Assumptions!$I$13:$I$32,-1))),
"")</f>
        <v/>
      </c>
      <c r="AJ47" s="96" t="str">
        <f>IFERROR(
IF(C47="VTS",
VLOOKUP(AI47,Assumptions!$I$38:$K$57,MATCH(P47,Assumptions!$I$37:$K$37,0),FALSE),
VLOOKUP(AI47,Assumptions!$I$13:$K$32,MATCH(P47,Assumptions!$I$12:$K$12,0),FALSE)),
"")</f>
        <v/>
      </c>
      <c r="AK47" s="99" t="str">
        <f t="shared" si="13"/>
        <v/>
      </c>
      <c r="AL47" s="95" t="str">
        <f>IFERROR(AK47*
(Assumptions!$S$7*(W47/(AO47*Assumptions!$AB$9/100)/AI47)^3+
Assumptions!$S$8*(W47/(AO47*Assumptions!$AB$9/100)/AI47)^2+
Assumptions!$S$9*(W47/(AO47*Assumptions!$AB$9/100)/AI47)+
Assumptions!$S$10),"")</f>
        <v/>
      </c>
      <c r="AM47" s="95" t="str">
        <f>IFERROR(AK47*
(Assumptions!$S$7*(AB47/(AO47*Assumptions!$AB$8/100)/AI47)^3+
Assumptions!$S$8*(AB47/(AO47*Assumptions!$AB$8/100)/AI47)^2+
Assumptions!$S$9*(AB47/(AO47*Assumptions!$AB$8/100)/AI47)+
Assumptions!$S$10),"")</f>
        <v/>
      </c>
      <c r="AN47" s="95" t="str">
        <f>IFERROR(AK47*
(Assumptions!$S$7*(AG47/(AO47*Assumptions!$AB$10/100)/AI47)^3+
Assumptions!$S$8*(AG47/(AO47*Assumptions!$AB$10/100)/AI47)^2+
Assumptions!$S$9*(AG47/(AO47*Assumptions!$AB$10/100)/AI47)+
Assumptions!$S$10),"")</f>
        <v/>
      </c>
      <c r="AO47" s="95" t="str">
        <f>IFERROR(
Assumptions!$AD$8*LN(S47)^2+
Assumptions!$AE$8*LN(R47)*LN(S47)+
Assumptions!$AF$8*LN(R47)^2+
Assumptions!$AG$8*LN(S47)+
Assumptions!$AH$8*LN(R47)-
(IF(Q47=1800,
VLOOKUP(C47,Assumptions!$AA$13:$AC$17,3),
IF(Q47=3600,
VLOOKUP(C47,Assumptions!$AA$18:$AC$22,3),
""))+Assumptions!$AI$8),
"")</f>
        <v/>
      </c>
      <c r="AP47" s="96" t="str">
        <f>IFERROR(
Assumptions!$D$11*(W47/(Assumptions!$AB$9*AO47/100)+AL47)+
Assumptions!$D$10*(AB47/(Assumptions!$AB$8*AO47/100)+AM47)+
Assumptions!$D$12*(AG47/(Assumptions!$AB$10*AO47/100)+AN47),
"")</f>
        <v/>
      </c>
      <c r="AQ47" s="76" t="str">
        <f>IFERROR(
(U47+V47)*Assumptions!$D$11+
(Z47+AA47)*Assumptions!$D$10+
(AE47+AF47)*Assumptions!$D$12,
"")</f>
        <v/>
      </c>
      <c r="AR47" s="104" t="str">
        <f t="shared" si="14"/>
        <v/>
      </c>
      <c r="AS47" s="103" t="str">
        <f t="shared" si="15"/>
        <v/>
      </c>
      <c r="AT47" s="92"/>
    </row>
    <row r="48" spans="1:46" x14ac:dyDescent="0.25">
      <c r="A48" s="264"/>
      <c r="B48" s="265"/>
      <c r="C48" s="265"/>
      <c r="D48" s="265"/>
      <c r="E48" s="266"/>
      <c r="F48" s="270"/>
      <c r="G48" s="271"/>
      <c r="H48" s="271"/>
      <c r="I48" s="272"/>
      <c r="J48" s="270"/>
      <c r="K48" s="271"/>
      <c r="L48" s="272"/>
      <c r="M48" s="270"/>
      <c r="N48" s="271"/>
      <c r="O48" s="272"/>
      <c r="P48" s="97" t="str">
        <f t="shared" si="0"/>
        <v/>
      </c>
      <c r="Q48" s="84" t="str">
        <f t="shared" si="2"/>
        <v/>
      </c>
      <c r="R48" s="101" t="str">
        <f t="shared" si="3"/>
        <v/>
      </c>
      <c r="S48" s="100" t="str">
        <f t="shared" si="4"/>
        <v/>
      </c>
      <c r="T48" s="95" t="str">
        <f t="shared" si="5"/>
        <v/>
      </c>
      <c r="U48" s="95" t="str">
        <f t="shared" si="6"/>
        <v/>
      </c>
      <c r="V48" s="95" t="str">
        <f>IFERROR(AK48*
(Assumptions!$S$7*(U48/AI48)^3+
Assumptions!$S$8*(U48/AI48)^2+
Assumptions!$S$9*(U48/AI48)+
Assumptions!$S$10),"")</f>
        <v/>
      </c>
      <c r="W48" s="96" t="str">
        <f>IFERROR(S48*T48*Assumptions!$B$15/3956,"")</f>
        <v/>
      </c>
      <c r="X48" s="102" t="str">
        <f t="shared" si="7"/>
        <v/>
      </c>
      <c r="Y48" s="95" t="str">
        <f t="shared" si="8"/>
        <v/>
      </c>
      <c r="Z48" s="95" t="str">
        <f t="shared" si="9"/>
        <v/>
      </c>
      <c r="AA48" s="95" t="str">
        <f>IFERROR(AK48*
(Assumptions!$S$7*(Z48/AI48)^3+
Assumptions!$S$8*(Z48/AI48)^2+
Assumptions!$S$9*(Z48/AI48)+
Assumptions!$S$10),"")</f>
        <v/>
      </c>
      <c r="AB48" s="96" t="str">
        <f>IFERROR(X48*Y48*Assumptions!$B$15/3956,"")</f>
        <v/>
      </c>
      <c r="AC48" s="102" t="str">
        <f t="shared" si="10"/>
        <v/>
      </c>
      <c r="AD48" s="95" t="str">
        <f t="shared" si="11"/>
        <v/>
      </c>
      <c r="AE48" s="95" t="str">
        <f t="shared" si="12"/>
        <v/>
      </c>
      <c r="AF48" s="95" t="str">
        <f>IFERROR(AK48*
(Assumptions!$S$7*(AE48/AI48)^3+
Assumptions!$S$8*(AE48/AI48)^2+
Assumptions!$S$9*(AE48/AI48)+
Assumptions!$S$10),"")</f>
        <v/>
      </c>
      <c r="AG48" s="96" t="str">
        <f>IFERROR(AC48*AD48*Assumptions!$B$15/3956,"")</f>
        <v/>
      </c>
      <c r="AH48" s="94" t="str">
        <f t="shared" si="16"/>
        <v/>
      </c>
      <c r="AI48" s="93" t="str">
        <f>IFERROR(
IF(C48="VTS",
INDEX(Assumptions!$I$38:$I$57,MATCH(AH48,Assumptions!$I$38:$I$57,-1)),
INDEX(Assumptions!$I$13:$I$32,MATCH(AH48,Assumptions!$I$13:$I$32,-1))),
"")</f>
        <v/>
      </c>
      <c r="AJ48" s="96" t="str">
        <f>IFERROR(
IF(C48="VTS",
VLOOKUP(AI48,Assumptions!$I$38:$K$57,MATCH(P48,Assumptions!$I$37:$K$37,0),FALSE),
VLOOKUP(AI48,Assumptions!$I$13:$K$32,MATCH(P48,Assumptions!$I$12:$K$12,0),FALSE)),
"")</f>
        <v/>
      </c>
      <c r="AK48" s="99" t="str">
        <f t="shared" si="13"/>
        <v/>
      </c>
      <c r="AL48" s="95" t="str">
        <f>IFERROR(AK48*
(Assumptions!$S$7*(W48/(AO48*Assumptions!$AB$9/100)/AI48)^3+
Assumptions!$S$8*(W48/(AO48*Assumptions!$AB$9/100)/AI48)^2+
Assumptions!$S$9*(W48/(AO48*Assumptions!$AB$9/100)/AI48)+
Assumptions!$S$10),"")</f>
        <v/>
      </c>
      <c r="AM48" s="95" t="str">
        <f>IFERROR(AK48*
(Assumptions!$S$7*(AB48/(AO48*Assumptions!$AB$8/100)/AI48)^3+
Assumptions!$S$8*(AB48/(AO48*Assumptions!$AB$8/100)/AI48)^2+
Assumptions!$S$9*(AB48/(AO48*Assumptions!$AB$8/100)/AI48)+
Assumptions!$S$10),"")</f>
        <v/>
      </c>
      <c r="AN48" s="95" t="str">
        <f>IFERROR(AK48*
(Assumptions!$S$7*(AG48/(AO48*Assumptions!$AB$10/100)/AI48)^3+
Assumptions!$S$8*(AG48/(AO48*Assumptions!$AB$10/100)/AI48)^2+
Assumptions!$S$9*(AG48/(AO48*Assumptions!$AB$10/100)/AI48)+
Assumptions!$S$10),"")</f>
        <v/>
      </c>
      <c r="AO48" s="95" t="str">
        <f>IFERROR(
Assumptions!$AD$8*LN(S48)^2+
Assumptions!$AE$8*LN(R48)*LN(S48)+
Assumptions!$AF$8*LN(R48)^2+
Assumptions!$AG$8*LN(S48)+
Assumptions!$AH$8*LN(R48)-
(IF(Q48=1800,
VLOOKUP(C48,Assumptions!$AA$13:$AC$17,3),
IF(Q48=3600,
VLOOKUP(C48,Assumptions!$AA$18:$AC$22,3),
""))+Assumptions!$AI$8),
"")</f>
        <v/>
      </c>
      <c r="AP48" s="96" t="str">
        <f>IFERROR(
Assumptions!$D$11*(W48/(Assumptions!$AB$9*AO48/100)+AL48)+
Assumptions!$D$10*(AB48/(Assumptions!$AB$8*AO48/100)+AM48)+
Assumptions!$D$12*(AG48/(Assumptions!$AB$10*AO48/100)+AN48),
"")</f>
        <v/>
      </c>
      <c r="AQ48" s="76" t="str">
        <f>IFERROR(
(U48+V48)*Assumptions!$D$11+
(Z48+AA48)*Assumptions!$D$10+
(AE48+AF48)*Assumptions!$D$12,
"")</f>
        <v/>
      </c>
      <c r="AR48" s="104" t="str">
        <f t="shared" si="14"/>
        <v/>
      </c>
      <c r="AS48" s="103" t="str">
        <f t="shared" si="15"/>
        <v/>
      </c>
      <c r="AT48" s="92"/>
    </row>
    <row r="49" spans="1:46" x14ac:dyDescent="0.25">
      <c r="A49" s="264"/>
      <c r="B49" s="265"/>
      <c r="C49" s="265"/>
      <c r="D49" s="265"/>
      <c r="E49" s="266"/>
      <c r="F49" s="270"/>
      <c r="G49" s="271"/>
      <c r="H49" s="271"/>
      <c r="I49" s="272"/>
      <c r="J49" s="270"/>
      <c r="K49" s="271"/>
      <c r="L49" s="272"/>
      <c r="M49" s="270"/>
      <c r="N49" s="271"/>
      <c r="O49" s="272"/>
      <c r="P49" s="97" t="str">
        <f t="shared" si="0"/>
        <v/>
      </c>
      <c r="Q49" s="84" t="str">
        <f t="shared" si="2"/>
        <v/>
      </c>
      <c r="R49" s="101" t="str">
        <f t="shared" si="3"/>
        <v/>
      </c>
      <c r="S49" s="100" t="str">
        <f t="shared" si="4"/>
        <v/>
      </c>
      <c r="T49" s="95" t="str">
        <f t="shared" si="5"/>
        <v/>
      </c>
      <c r="U49" s="95" t="str">
        <f t="shared" si="6"/>
        <v/>
      </c>
      <c r="V49" s="95" t="str">
        <f>IFERROR(AK49*
(Assumptions!$S$7*(U49/AI49)^3+
Assumptions!$S$8*(U49/AI49)^2+
Assumptions!$S$9*(U49/AI49)+
Assumptions!$S$10),"")</f>
        <v/>
      </c>
      <c r="W49" s="96" t="str">
        <f>IFERROR(S49*T49*Assumptions!$B$15/3956,"")</f>
        <v/>
      </c>
      <c r="X49" s="102" t="str">
        <f t="shared" si="7"/>
        <v/>
      </c>
      <c r="Y49" s="95" t="str">
        <f t="shared" si="8"/>
        <v/>
      </c>
      <c r="Z49" s="95" t="str">
        <f t="shared" si="9"/>
        <v/>
      </c>
      <c r="AA49" s="95" t="str">
        <f>IFERROR(AK49*
(Assumptions!$S$7*(Z49/AI49)^3+
Assumptions!$S$8*(Z49/AI49)^2+
Assumptions!$S$9*(Z49/AI49)+
Assumptions!$S$10),"")</f>
        <v/>
      </c>
      <c r="AB49" s="96" t="str">
        <f>IFERROR(X49*Y49*Assumptions!$B$15/3956,"")</f>
        <v/>
      </c>
      <c r="AC49" s="102" t="str">
        <f t="shared" si="10"/>
        <v/>
      </c>
      <c r="AD49" s="95" t="str">
        <f t="shared" si="11"/>
        <v/>
      </c>
      <c r="AE49" s="95" t="str">
        <f t="shared" si="12"/>
        <v/>
      </c>
      <c r="AF49" s="95" t="str">
        <f>IFERROR(AK49*
(Assumptions!$S$7*(AE49/AI49)^3+
Assumptions!$S$8*(AE49/AI49)^2+
Assumptions!$S$9*(AE49/AI49)+
Assumptions!$S$10),"")</f>
        <v/>
      </c>
      <c r="AG49" s="96" t="str">
        <f>IFERROR(AC49*AD49*Assumptions!$B$15/3956,"")</f>
        <v/>
      </c>
      <c r="AH49" s="94" t="str">
        <f t="shared" si="16"/>
        <v/>
      </c>
      <c r="AI49" s="93" t="str">
        <f>IFERROR(
IF(C49="VTS",
INDEX(Assumptions!$I$38:$I$57,MATCH(AH49,Assumptions!$I$38:$I$57,-1)),
INDEX(Assumptions!$I$13:$I$32,MATCH(AH49,Assumptions!$I$13:$I$32,-1))),
"")</f>
        <v/>
      </c>
      <c r="AJ49" s="96" t="str">
        <f>IFERROR(
IF(C49="VTS",
VLOOKUP(AI49,Assumptions!$I$38:$K$57,MATCH(P49,Assumptions!$I$37:$K$37,0),FALSE),
VLOOKUP(AI49,Assumptions!$I$13:$K$32,MATCH(P49,Assumptions!$I$12:$K$12,0),FALSE)),
"")</f>
        <v/>
      </c>
      <c r="AK49" s="99" t="str">
        <f t="shared" si="13"/>
        <v/>
      </c>
      <c r="AL49" s="95" t="str">
        <f>IFERROR(AK49*
(Assumptions!$S$7*(W49/(AO49*Assumptions!$AB$9/100)/AI49)^3+
Assumptions!$S$8*(W49/(AO49*Assumptions!$AB$9/100)/AI49)^2+
Assumptions!$S$9*(W49/(AO49*Assumptions!$AB$9/100)/AI49)+
Assumptions!$S$10),"")</f>
        <v/>
      </c>
      <c r="AM49" s="95" t="str">
        <f>IFERROR(AK49*
(Assumptions!$S$7*(AB49/(AO49*Assumptions!$AB$8/100)/AI49)^3+
Assumptions!$S$8*(AB49/(AO49*Assumptions!$AB$8/100)/AI49)^2+
Assumptions!$S$9*(AB49/(AO49*Assumptions!$AB$8/100)/AI49)+
Assumptions!$S$10),"")</f>
        <v/>
      </c>
      <c r="AN49" s="95" t="str">
        <f>IFERROR(AK49*
(Assumptions!$S$7*(AG49/(AO49*Assumptions!$AB$10/100)/AI49)^3+
Assumptions!$S$8*(AG49/(AO49*Assumptions!$AB$10/100)/AI49)^2+
Assumptions!$S$9*(AG49/(AO49*Assumptions!$AB$10/100)/AI49)+
Assumptions!$S$10),"")</f>
        <v/>
      </c>
      <c r="AO49" s="95" t="str">
        <f>IFERROR(
Assumptions!$AD$8*LN(S49)^2+
Assumptions!$AE$8*LN(R49)*LN(S49)+
Assumptions!$AF$8*LN(R49)^2+
Assumptions!$AG$8*LN(S49)+
Assumptions!$AH$8*LN(R49)-
(IF(Q49=1800,
VLOOKUP(C49,Assumptions!$AA$13:$AC$17,3),
IF(Q49=3600,
VLOOKUP(C49,Assumptions!$AA$18:$AC$22,3),
""))+Assumptions!$AI$8),
"")</f>
        <v/>
      </c>
      <c r="AP49" s="96" t="str">
        <f>IFERROR(
Assumptions!$D$11*(W49/(Assumptions!$AB$9*AO49/100)+AL49)+
Assumptions!$D$10*(AB49/(Assumptions!$AB$8*AO49/100)+AM49)+
Assumptions!$D$12*(AG49/(Assumptions!$AB$10*AO49/100)+AN49),
"")</f>
        <v/>
      </c>
      <c r="AQ49" s="76" t="str">
        <f>IFERROR(
(U49+V49)*Assumptions!$D$11+
(Z49+AA49)*Assumptions!$D$10+
(AE49+AF49)*Assumptions!$D$12,
"")</f>
        <v/>
      </c>
      <c r="AR49" s="104" t="str">
        <f t="shared" si="14"/>
        <v/>
      </c>
      <c r="AS49" s="103" t="str">
        <f t="shared" si="15"/>
        <v/>
      </c>
      <c r="AT49" s="92"/>
    </row>
    <row r="50" spans="1:46" x14ac:dyDescent="0.25">
      <c r="A50" s="264"/>
      <c r="B50" s="265"/>
      <c r="C50" s="265"/>
      <c r="D50" s="265"/>
      <c r="E50" s="266"/>
      <c r="F50" s="270"/>
      <c r="G50" s="271"/>
      <c r="H50" s="271"/>
      <c r="I50" s="272"/>
      <c r="J50" s="270"/>
      <c r="K50" s="271"/>
      <c r="L50" s="272"/>
      <c r="M50" s="270"/>
      <c r="N50" s="271"/>
      <c r="O50" s="272"/>
      <c r="P50" s="97" t="str">
        <f t="shared" si="0"/>
        <v/>
      </c>
      <c r="Q50" s="84" t="str">
        <f t="shared" si="2"/>
        <v/>
      </c>
      <c r="R50" s="101" t="str">
        <f t="shared" si="3"/>
        <v/>
      </c>
      <c r="S50" s="100" t="str">
        <f t="shared" si="4"/>
        <v/>
      </c>
      <c r="T50" s="95" t="str">
        <f t="shared" si="5"/>
        <v/>
      </c>
      <c r="U50" s="95" t="str">
        <f t="shared" si="6"/>
        <v/>
      </c>
      <c r="V50" s="95" t="str">
        <f>IFERROR(AK50*
(Assumptions!$S$7*(U50/AI50)^3+
Assumptions!$S$8*(U50/AI50)^2+
Assumptions!$S$9*(U50/AI50)+
Assumptions!$S$10),"")</f>
        <v/>
      </c>
      <c r="W50" s="96" t="str">
        <f>IFERROR(S50*T50*Assumptions!$B$15/3956,"")</f>
        <v/>
      </c>
      <c r="X50" s="102" t="str">
        <f t="shared" si="7"/>
        <v/>
      </c>
      <c r="Y50" s="95" t="str">
        <f t="shared" si="8"/>
        <v/>
      </c>
      <c r="Z50" s="95" t="str">
        <f t="shared" si="9"/>
        <v/>
      </c>
      <c r="AA50" s="95" t="str">
        <f>IFERROR(AK50*
(Assumptions!$S$7*(Z50/AI50)^3+
Assumptions!$S$8*(Z50/AI50)^2+
Assumptions!$S$9*(Z50/AI50)+
Assumptions!$S$10),"")</f>
        <v/>
      </c>
      <c r="AB50" s="96" t="str">
        <f>IFERROR(X50*Y50*Assumptions!$B$15/3956,"")</f>
        <v/>
      </c>
      <c r="AC50" s="102" t="str">
        <f t="shared" si="10"/>
        <v/>
      </c>
      <c r="AD50" s="95" t="str">
        <f t="shared" si="11"/>
        <v/>
      </c>
      <c r="AE50" s="95" t="str">
        <f t="shared" si="12"/>
        <v/>
      </c>
      <c r="AF50" s="95" t="str">
        <f>IFERROR(AK50*
(Assumptions!$S$7*(AE50/AI50)^3+
Assumptions!$S$8*(AE50/AI50)^2+
Assumptions!$S$9*(AE50/AI50)+
Assumptions!$S$10),"")</f>
        <v/>
      </c>
      <c r="AG50" s="96" t="str">
        <f>IFERROR(AC50*AD50*Assumptions!$B$15/3956,"")</f>
        <v/>
      </c>
      <c r="AH50" s="94" t="str">
        <f t="shared" si="16"/>
        <v/>
      </c>
      <c r="AI50" s="93" t="str">
        <f>IFERROR(
IF(C50="VTS",
INDEX(Assumptions!$I$38:$I$57,MATCH(AH50,Assumptions!$I$38:$I$57,-1)),
INDEX(Assumptions!$I$13:$I$32,MATCH(AH50,Assumptions!$I$13:$I$32,-1))),
"")</f>
        <v/>
      </c>
      <c r="AJ50" s="96" t="str">
        <f>IFERROR(
IF(C50="VTS",
VLOOKUP(AI50,Assumptions!$I$38:$K$57,MATCH(P50,Assumptions!$I$37:$K$37,0),FALSE),
VLOOKUP(AI50,Assumptions!$I$13:$K$32,MATCH(P50,Assumptions!$I$12:$K$12,0),FALSE)),
"")</f>
        <v/>
      </c>
      <c r="AK50" s="99" t="str">
        <f t="shared" si="13"/>
        <v/>
      </c>
      <c r="AL50" s="95" t="str">
        <f>IFERROR(AK50*
(Assumptions!$S$7*(W50/(AO50*Assumptions!$AB$9/100)/AI50)^3+
Assumptions!$S$8*(W50/(AO50*Assumptions!$AB$9/100)/AI50)^2+
Assumptions!$S$9*(W50/(AO50*Assumptions!$AB$9/100)/AI50)+
Assumptions!$S$10),"")</f>
        <v/>
      </c>
      <c r="AM50" s="95" t="str">
        <f>IFERROR(AK50*
(Assumptions!$S$7*(AB50/(AO50*Assumptions!$AB$8/100)/AI50)^3+
Assumptions!$S$8*(AB50/(AO50*Assumptions!$AB$8/100)/AI50)^2+
Assumptions!$S$9*(AB50/(AO50*Assumptions!$AB$8/100)/AI50)+
Assumptions!$S$10),"")</f>
        <v/>
      </c>
      <c r="AN50" s="95" t="str">
        <f>IFERROR(AK50*
(Assumptions!$S$7*(AG50/(AO50*Assumptions!$AB$10/100)/AI50)^3+
Assumptions!$S$8*(AG50/(AO50*Assumptions!$AB$10/100)/AI50)^2+
Assumptions!$S$9*(AG50/(AO50*Assumptions!$AB$10/100)/AI50)+
Assumptions!$S$10),"")</f>
        <v/>
      </c>
      <c r="AO50" s="95" t="str">
        <f>IFERROR(
Assumptions!$AD$8*LN(S50)^2+
Assumptions!$AE$8*LN(R50)*LN(S50)+
Assumptions!$AF$8*LN(R50)^2+
Assumptions!$AG$8*LN(S50)+
Assumptions!$AH$8*LN(R50)-
(IF(Q50=1800,
VLOOKUP(C50,Assumptions!$AA$13:$AC$17,3),
IF(Q50=3600,
VLOOKUP(C50,Assumptions!$AA$18:$AC$22,3),
""))+Assumptions!$AI$8),
"")</f>
        <v/>
      </c>
      <c r="AP50" s="96" t="str">
        <f>IFERROR(
Assumptions!$D$11*(W50/(Assumptions!$AB$9*AO50/100)+AL50)+
Assumptions!$D$10*(AB50/(Assumptions!$AB$8*AO50/100)+AM50)+
Assumptions!$D$12*(AG50/(Assumptions!$AB$10*AO50/100)+AN50),
"")</f>
        <v/>
      </c>
      <c r="AQ50" s="76" t="str">
        <f>IFERROR(
(U50+V50)*Assumptions!$D$11+
(Z50+AA50)*Assumptions!$D$10+
(AE50+AF50)*Assumptions!$D$12,
"")</f>
        <v/>
      </c>
      <c r="AR50" s="104" t="str">
        <f t="shared" si="14"/>
        <v/>
      </c>
      <c r="AS50" s="103" t="str">
        <f t="shared" si="15"/>
        <v/>
      </c>
      <c r="AT50" s="92"/>
    </row>
    <row r="51" spans="1:46" x14ac:dyDescent="0.25">
      <c r="A51" s="264"/>
      <c r="B51" s="265"/>
      <c r="C51" s="265"/>
      <c r="D51" s="265"/>
      <c r="E51" s="266"/>
      <c r="F51" s="270"/>
      <c r="G51" s="271"/>
      <c r="H51" s="271"/>
      <c r="I51" s="272"/>
      <c r="J51" s="270"/>
      <c r="K51" s="271"/>
      <c r="L51" s="272"/>
      <c r="M51" s="270"/>
      <c r="N51" s="271"/>
      <c r="O51" s="272"/>
      <c r="P51" s="97" t="str">
        <f t="shared" si="0"/>
        <v/>
      </c>
      <c r="Q51" s="84" t="str">
        <f t="shared" si="2"/>
        <v/>
      </c>
      <c r="R51" s="101" t="str">
        <f t="shared" si="3"/>
        <v/>
      </c>
      <c r="S51" s="100" t="str">
        <f t="shared" si="4"/>
        <v/>
      </c>
      <c r="T51" s="95" t="str">
        <f t="shared" si="5"/>
        <v/>
      </c>
      <c r="U51" s="95" t="str">
        <f t="shared" si="6"/>
        <v/>
      </c>
      <c r="V51" s="95" t="str">
        <f>IFERROR(AK51*
(Assumptions!$S$7*(U51/AI51)^3+
Assumptions!$S$8*(U51/AI51)^2+
Assumptions!$S$9*(U51/AI51)+
Assumptions!$S$10),"")</f>
        <v/>
      </c>
      <c r="W51" s="96" t="str">
        <f>IFERROR(S51*T51*Assumptions!$B$15/3956,"")</f>
        <v/>
      </c>
      <c r="X51" s="102" t="str">
        <f t="shared" si="7"/>
        <v/>
      </c>
      <c r="Y51" s="95" t="str">
        <f t="shared" si="8"/>
        <v/>
      </c>
      <c r="Z51" s="95" t="str">
        <f t="shared" si="9"/>
        <v/>
      </c>
      <c r="AA51" s="95" t="str">
        <f>IFERROR(AK51*
(Assumptions!$S$7*(Z51/AI51)^3+
Assumptions!$S$8*(Z51/AI51)^2+
Assumptions!$S$9*(Z51/AI51)+
Assumptions!$S$10),"")</f>
        <v/>
      </c>
      <c r="AB51" s="96" t="str">
        <f>IFERROR(X51*Y51*Assumptions!$B$15/3956,"")</f>
        <v/>
      </c>
      <c r="AC51" s="102" t="str">
        <f t="shared" si="10"/>
        <v/>
      </c>
      <c r="AD51" s="95" t="str">
        <f t="shared" si="11"/>
        <v/>
      </c>
      <c r="AE51" s="95" t="str">
        <f t="shared" si="12"/>
        <v/>
      </c>
      <c r="AF51" s="95" t="str">
        <f>IFERROR(AK51*
(Assumptions!$S$7*(AE51/AI51)^3+
Assumptions!$S$8*(AE51/AI51)^2+
Assumptions!$S$9*(AE51/AI51)+
Assumptions!$S$10),"")</f>
        <v/>
      </c>
      <c r="AG51" s="96" t="str">
        <f>IFERROR(AC51*AD51*Assumptions!$B$15/3956,"")</f>
        <v/>
      </c>
      <c r="AH51" s="94" t="str">
        <f t="shared" si="16"/>
        <v/>
      </c>
      <c r="AI51" s="93" t="str">
        <f>IFERROR(
IF(C51="VTS",
INDEX(Assumptions!$I$38:$I$57,MATCH(AH51,Assumptions!$I$38:$I$57,-1)),
INDEX(Assumptions!$I$13:$I$32,MATCH(AH51,Assumptions!$I$13:$I$32,-1))),
"")</f>
        <v/>
      </c>
      <c r="AJ51" s="96" t="str">
        <f>IFERROR(
IF(C51="VTS",
VLOOKUP(AI51,Assumptions!$I$38:$K$57,MATCH(P51,Assumptions!$I$37:$K$37,0),FALSE),
VLOOKUP(AI51,Assumptions!$I$13:$K$32,MATCH(P51,Assumptions!$I$12:$K$12,0),FALSE)),
"")</f>
        <v/>
      </c>
      <c r="AK51" s="99" t="str">
        <f t="shared" si="13"/>
        <v/>
      </c>
      <c r="AL51" s="95" t="str">
        <f>IFERROR(AK51*
(Assumptions!$S$7*(W51/(AO51*Assumptions!$AB$9/100)/AI51)^3+
Assumptions!$S$8*(W51/(AO51*Assumptions!$AB$9/100)/AI51)^2+
Assumptions!$S$9*(W51/(AO51*Assumptions!$AB$9/100)/AI51)+
Assumptions!$S$10),"")</f>
        <v/>
      </c>
      <c r="AM51" s="95" t="str">
        <f>IFERROR(AK51*
(Assumptions!$S$7*(AB51/(AO51*Assumptions!$AB$8/100)/AI51)^3+
Assumptions!$S$8*(AB51/(AO51*Assumptions!$AB$8/100)/AI51)^2+
Assumptions!$S$9*(AB51/(AO51*Assumptions!$AB$8/100)/AI51)+
Assumptions!$S$10),"")</f>
        <v/>
      </c>
      <c r="AN51" s="95" t="str">
        <f>IFERROR(AK51*
(Assumptions!$S$7*(AG51/(AO51*Assumptions!$AB$10/100)/AI51)^3+
Assumptions!$S$8*(AG51/(AO51*Assumptions!$AB$10/100)/AI51)^2+
Assumptions!$S$9*(AG51/(AO51*Assumptions!$AB$10/100)/AI51)+
Assumptions!$S$10),"")</f>
        <v/>
      </c>
      <c r="AO51" s="95" t="str">
        <f>IFERROR(
Assumptions!$AD$8*LN(S51)^2+
Assumptions!$AE$8*LN(R51)*LN(S51)+
Assumptions!$AF$8*LN(R51)^2+
Assumptions!$AG$8*LN(S51)+
Assumptions!$AH$8*LN(R51)-
(IF(Q51=1800,
VLOOKUP(C51,Assumptions!$AA$13:$AC$17,3),
IF(Q51=3600,
VLOOKUP(C51,Assumptions!$AA$18:$AC$22,3),
""))+Assumptions!$AI$8),
"")</f>
        <v/>
      </c>
      <c r="AP51" s="96" t="str">
        <f>IFERROR(
Assumptions!$D$11*(W51/(Assumptions!$AB$9*AO51/100)+AL51)+
Assumptions!$D$10*(AB51/(Assumptions!$AB$8*AO51/100)+AM51)+
Assumptions!$D$12*(AG51/(Assumptions!$AB$10*AO51/100)+AN51),
"")</f>
        <v/>
      </c>
      <c r="AQ51" s="76" t="str">
        <f>IFERROR(
(U51+V51)*Assumptions!$D$11+
(Z51+AA51)*Assumptions!$D$10+
(AE51+AF51)*Assumptions!$D$12,
"")</f>
        <v/>
      </c>
      <c r="AR51" s="104" t="str">
        <f t="shared" si="14"/>
        <v/>
      </c>
      <c r="AS51" s="103" t="str">
        <f t="shared" si="15"/>
        <v/>
      </c>
      <c r="AT51" s="92"/>
    </row>
    <row r="52" spans="1:46" x14ac:dyDescent="0.25">
      <c r="A52" s="264"/>
      <c r="B52" s="265"/>
      <c r="C52" s="265"/>
      <c r="D52" s="265"/>
      <c r="E52" s="266"/>
      <c r="F52" s="270"/>
      <c r="G52" s="271"/>
      <c r="H52" s="271"/>
      <c r="I52" s="272"/>
      <c r="J52" s="270"/>
      <c r="K52" s="271"/>
      <c r="L52" s="272"/>
      <c r="M52" s="270"/>
      <c r="N52" s="271"/>
      <c r="O52" s="272"/>
      <c r="P52" s="97" t="str">
        <f t="shared" si="0"/>
        <v/>
      </c>
      <c r="Q52" s="84" t="str">
        <f t="shared" si="2"/>
        <v/>
      </c>
      <c r="R52" s="101" t="str">
        <f t="shared" si="3"/>
        <v/>
      </c>
      <c r="S52" s="100" t="str">
        <f t="shared" si="4"/>
        <v/>
      </c>
      <c r="T52" s="95" t="str">
        <f t="shared" si="5"/>
        <v/>
      </c>
      <c r="U52" s="95" t="str">
        <f t="shared" si="6"/>
        <v/>
      </c>
      <c r="V52" s="95" t="str">
        <f>IFERROR(AK52*
(Assumptions!$S$7*(U52/AI52)^3+
Assumptions!$S$8*(U52/AI52)^2+
Assumptions!$S$9*(U52/AI52)+
Assumptions!$S$10),"")</f>
        <v/>
      </c>
      <c r="W52" s="96" t="str">
        <f>IFERROR(S52*T52*Assumptions!$B$15/3956,"")</f>
        <v/>
      </c>
      <c r="X52" s="102" t="str">
        <f t="shared" si="7"/>
        <v/>
      </c>
      <c r="Y52" s="95" t="str">
        <f t="shared" si="8"/>
        <v/>
      </c>
      <c r="Z52" s="95" t="str">
        <f t="shared" si="9"/>
        <v/>
      </c>
      <c r="AA52" s="95" t="str">
        <f>IFERROR(AK52*
(Assumptions!$S$7*(Z52/AI52)^3+
Assumptions!$S$8*(Z52/AI52)^2+
Assumptions!$S$9*(Z52/AI52)+
Assumptions!$S$10),"")</f>
        <v/>
      </c>
      <c r="AB52" s="96" t="str">
        <f>IFERROR(X52*Y52*Assumptions!$B$15/3956,"")</f>
        <v/>
      </c>
      <c r="AC52" s="102" t="str">
        <f t="shared" si="10"/>
        <v/>
      </c>
      <c r="AD52" s="95" t="str">
        <f t="shared" si="11"/>
        <v/>
      </c>
      <c r="AE52" s="95" t="str">
        <f t="shared" si="12"/>
        <v/>
      </c>
      <c r="AF52" s="95" t="str">
        <f>IFERROR(AK52*
(Assumptions!$S$7*(AE52/AI52)^3+
Assumptions!$S$8*(AE52/AI52)^2+
Assumptions!$S$9*(AE52/AI52)+
Assumptions!$S$10),"")</f>
        <v/>
      </c>
      <c r="AG52" s="96" t="str">
        <f>IFERROR(AC52*AD52*Assumptions!$B$15/3956,"")</f>
        <v/>
      </c>
      <c r="AH52" s="94" t="str">
        <f t="shared" si="16"/>
        <v/>
      </c>
      <c r="AI52" s="93" t="str">
        <f>IFERROR(
IF(C52="VTS",
INDEX(Assumptions!$I$38:$I$57,MATCH(AH52,Assumptions!$I$38:$I$57,-1)),
INDEX(Assumptions!$I$13:$I$32,MATCH(AH52,Assumptions!$I$13:$I$32,-1))),
"")</f>
        <v/>
      </c>
      <c r="AJ52" s="96" t="str">
        <f>IFERROR(
IF(C52="VTS",
VLOOKUP(AI52,Assumptions!$I$38:$K$57,MATCH(P52,Assumptions!$I$37:$K$37,0),FALSE),
VLOOKUP(AI52,Assumptions!$I$13:$K$32,MATCH(P52,Assumptions!$I$12:$K$12,0),FALSE)),
"")</f>
        <v/>
      </c>
      <c r="AK52" s="99" t="str">
        <f t="shared" si="13"/>
        <v/>
      </c>
      <c r="AL52" s="95" t="str">
        <f>IFERROR(AK52*
(Assumptions!$S$7*(W52/(AO52*Assumptions!$AB$9/100)/AI52)^3+
Assumptions!$S$8*(W52/(AO52*Assumptions!$AB$9/100)/AI52)^2+
Assumptions!$S$9*(W52/(AO52*Assumptions!$AB$9/100)/AI52)+
Assumptions!$S$10),"")</f>
        <v/>
      </c>
      <c r="AM52" s="95" t="str">
        <f>IFERROR(AK52*
(Assumptions!$S$7*(AB52/(AO52*Assumptions!$AB$8/100)/AI52)^3+
Assumptions!$S$8*(AB52/(AO52*Assumptions!$AB$8/100)/AI52)^2+
Assumptions!$S$9*(AB52/(AO52*Assumptions!$AB$8/100)/AI52)+
Assumptions!$S$10),"")</f>
        <v/>
      </c>
      <c r="AN52" s="95" t="str">
        <f>IFERROR(AK52*
(Assumptions!$S$7*(AG52/(AO52*Assumptions!$AB$10/100)/AI52)^3+
Assumptions!$S$8*(AG52/(AO52*Assumptions!$AB$10/100)/AI52)^2+
Assumptions!$S$9*(AG52/(AO52*Assumptions!$AB$10/100)/AI52)+
Assumptions!$S$10),"")</f>
        <v/>
      </c>
      <c r="AO52" s="95" t="str">
        <f>IFERROR(
Assumptions!$AD$8*LN(S52)^2+
Assumptions!$AE$8*LN(R52)*LN(S52)+
Assumptions!$AF$8*LN(R52)^2+
Assumptions!$AG$8*LN(S52)+
Assumptions!$AH$8*LN(R52)-
(IF(Q52=1800,
VLOOKUP(C52,Assumptions!$AA$13:$AC$17,3),
IF(Q52=3600,
VLOOKUP(C52,Assumptions!$AA$18:$AC$22,3),
""))+Assumptions!$AI$8),
"")</f>
        <v/>
      </c>
      <c r="AP52" s="96" t="str">
        <f>IFERROR(
Assumptions!$D$11*(W52/(Assumptions!$AB$9*AO52/100)+AL52)+
Assumptions!$D$10*(AB52/(Assumptions!$AB$8*AO52/100)+AM52)+
Assumptions!$D$12*(AG52/(Assumptions!$AB$10*AO52/100)+AN52),
"")</f>
        <v/>
      </c>
      <c r="AQ52" s="76" t="str">
        <f>IFERROR(
(U52+V52)*Assumptions!$D$11+
(Z52+AA52)*Assumptions!$D$10+
(AE52+AF52)*Assumptions!$D$12,
"")</f>
        <v/>
      </c>
      <c r="AR52" s="104" t="str">
        <f t="shared" si="14"/>
        <v/>
      </c>
      <c r="AS52" s="103" t="str">
        <f t="shared" si="15"/>
        <v/>
      </c>
      <c r="AT52" s="92"/>
    </row>
    <row r="53" spans="1:46" x14ac:dyDescent="0.25">
      <c r="A53" s="264"/>
      <c r="B53" s="265"/>
      <c r="C53" s="265"/>
      <c r="D53" s="265"/>
      <c r="E53" s="266"/>
      <c r="F53" s="270"/>
      <c r="G53" s="271"/>
      <c r="H53" s="271"/>
      <c r="I53" s="272"/>
      <c r="J53" s="270"/>
      <c r="K53" s="271"/>
      <c r="L53" s="272"/>
      <c r="M53" s="270"/>
      <c r="N53" s="271"/>
      <c r="O53" s="272"/>
      <c r="P53" s="97" t="str">
        <f t="shared" si="0"/>
        <v/>
      </c>
      <c r="Q53" s="84" t="str">
        <f t="shared" si="2"/>
        <v/>
      </c>
      <c r="R53" s="101" t="str">
        <f t="shared" si="3"/>
        <v/>
      </c>
      <c r="S53" s="100" t="str">
        <f t="shared" si="4"/>
        <v/>
      </c>
      <c r="T53" s="95" t="str">
        <f t="shared" si="5"/>
        <v/>
      </c>
      <c r="U53" s="95" t="str">
        <f t="shared" si="6"/>
        <v/>
      </c>
      <c r="V53" s="95" t="str">
        <f>IFERROR(AK53*
(Assumptions!$S$7*(U53/AI53)^3+
Assumptions!$S$8*(U53/AI53)^2+
Assumptions!$S$9*(U53/AI53)+
Assumptions!$S$10),"")</f>
        <v/>
      </c>
      <c r="W53" s="96" t="str">
        <f>IFERROR(S53*T53*Assumptions!$B$15/3956,"")</f>
        <v/>
      </c>
      <c r="X53" s="102" t="str">
        <f t="shared" si="7"/>
        <v/>
      </c>
      <c r="Y53" s="95" t="str">
        <f t="shared" si="8"/>
        <v/>
      </c>
      <c r="Z53" s="95" t="str">
        <f t="shared" si="9"/>
        <v/>
      </c>
      <c r="AA53" s="95" t="str">
        <f>IFERROR(AK53*
(Assumptions!$S$7*(Z53/AI53)^3+
Assumptions!$S$8*(Z53/AI53)^2+
Assumptions!$S$9*(Z53/AI53)+
Assumptions!$S$10),"")</f>
        <v/>
      </c>
      <c r="AB53" s="96" t="str">
        <f>IFERROR(X53*Y53*Assumptions!$B$15/3956,"")</f>
        <v/>
      </c>
      <c r="AC53" s="102" t="str">
        <f t="shared" si="10"/>
        <v/>
      </c>
      <c r="AD53" s="95" t="str">
        <f t="shared" si="11"/>
        <v/>
      </c>
      <c r="AE53" s="95" t="str">
        <f t="shared" si="12"/>
        <v/>
      </c>
      <c r="AF53" s="95" t="str">
        <f>IFERROR(AK53*
(Assumptions!$S$7*(AE53/AI53)^3+
Assumptions!$S$8*(AE53/AI53)^2+
Assumptions!$S$9*(AE53/AI53)+
Assumptions!$S$10),"")</f>
        <v/>
      </c>
      <c r="AG53" s="96" t="str">
        <f>IFERROR(AC53*AD53*Assumptions!$B$15/3956,"")</f>
        <v/>
      </c>
      <c r="AH53" s="94" t="str">
        <f t="shared" si="16"/>
        <v/>
      </c>
      <c r="AI53" s="93" t="str">
        <f>IFERROR(
IF(C53="VTS",
INDEX(Assumptions!$I$38:$I$57,MATCH(AH53,Assumptions!$I$38:$I$57,-1)),
INDEX(Assumptions!$I$13:$I$32,MATCH(AH53,Assumptions!$I$13:$I$32,-1))),
"")</f>
        <v/>
      </c>
      <c r="AJ53" s="96" t="str">
        <f>IFERROR(
IF(C53="VTS",
VLOOKUP(AI53,Assumptions!$I$38:$K$57,MATCH(P53,Assumptions!$I$37:$K$37,0),FALSE),
VLOOKUP(AI53,Assumptions!$I$13:$K$32,MATCH(P53,Assumptions!$I$12:$K$12,0),FALSE)),
"")</f>
        <v/>
      </c>
      <c r="AK53" s="99" t="str">
        <f t="shared" si="13"/>
        <v/>
      </c>
      <c r="AL53" s="95" t="str">
        <f>IFERROR(AK53*
(Assumptions!$S$7*(W53/(AO53*Assumptions!$AB$9/100)/AI53)^3+
Assumptions!$S$8*(W53/(AO53*Assumptions!$AB$9/100)/AI53)^2+
Assumptions!$S$9*(W53/(AO53*Assumptions!$AB$9/100)/AI53)+
Assumptions!$S$10),"")</f>
        <v/>
      </c>
      <c r="AM53" s="95" t="str">
        <f>IFERROR(AK53*
(Assumptions!$S$7*(AB53/(AO53*Assumptions!$AB$8/100)/AI53)^3+
Assumptions!$S$8*(AB53/(AO53*Assumptions!$AB$8/100)/AI53)^2+
Assumptions!$S$9*(AB53/(AO53*Assumptions!$AB$8/100)/AI53)+
Assumptions!$S$10),"")</f>
        <v/>
      </c>
      <c r="AN53" s="95" t="str">
        <f>IFERROR(AK53*
(Assumptions!$S$7*(AG53/(AO53*Assumptions!$AB$10/100)/AI53)^3+
Assumptions!$S$8*(AG53/(AO53*Assumptions!$AB$10/100)/AI53)^2+
Assumptions!$S$9*(AG53/(AO53*Assumptions!$AB$10/100)/AI53)+
Assumptions!$S$10),"")</f>
        <v/>
      </c>
      <c r="AO53" s="95" t="str">
        <f>IFERROR(
Assumptions!$AD$8*LN(S53)^2+
Assumptions!$AE$8*LN(R53)*LN(S53)+
Assumptions!$AF$8*LN(R53)^2+
Assumptions!$AG$8*LN(S53)+
Assumptions!$AH$8*LN(R53)-
(IF(Q53=1800,
VLOOKUP(C53,Assumptions!$AA$13:$AC$17,3),
IF(Q53=3600,
VLOOKUP(C53,Assumptions!$AA$18:$AC$22,3),
""))+Assumptions!$AI$8),
"")</f>
        <v/>
      </c>
      <c r="AP53" s="96" t="str">
        <f>IFERROR(
Assumptions!$D$11*(W53/(Assumptions!$AB$9*AO53/100)+AL53)+
Assumptions!$D$10*(AB53/(Assumptions!$AB$8*AO53/100)+AM53)+
Assumptions!$D$12*(AG53/(Assumptions!$AB$10*AO53/100)+AN53),
"")</f>
        <v/>
      </c>
      <c r="AQ53" s="76" t="str">
        <f>IFERROR(
(U53+V53)*Assumptions!$D$11+
(Z53+AA53)*Assumptions!$D$10+
(AE53+AF53)*Assumptions!$D$12,
"")</f>
        <v/>
      </c>
      <c r="AR53" s="104" t="str">
        <f t="shared" si="14"/>
        <v/>
      </c>
      <c r="AS53" s="103" t="str">
        <f t="shared" si="15"/>
        <v/>
      </c>
      <c r="AT53" s="92"/>
    </row>
    <row r="54" spans="1:46" x14ac:dyDescent="0.25">
      <c r="A54" s="264"/>
      <c r="B54" s="265"/>
      <c r="C54" s="265"/>
      <c r="D54" s="265"/>
      <c r="E54" s="266"/>
      <c r="F54" s="270"/>
      <c r="G54" s="271"/>
      <c r="H54" s="271"/>
      <c r="I54" s="272"/>
      <c r="J54" s="270"/>
      <c r="K54" s="271"/>
      <c r="L54" s="272"/>
      <c r="M54" s="270"/>
      <c r="N54" s="271"/>
      <c r="O54" s="272"/>
      <c r="P54" s="97" t="str">
        <f t="shared" si="0"/>
        <v/>
      </c>
      <c r="Q54" s="84" t="str">
        <f t="shared" si="2"/>
        <v/>
      </c>
      <c r="R54" s="101" t="str">
        <f t="shared" si="3"/>
        <v/>
      </c>
      <c r="S54" s="100" t="str">
        <f t="shared" si="4"/>
        <v/>
      </c>
      <c r="T54" s="95" t="str">
        <f t="shared" si="5"/>
        <v/>
      </c>
      <c r="U54" s="95" t="str">
        <f t="shared" si="6"/>
        <v/>
      </c>
      <c r="V54" s="95" t="str">
        <f>IFERROR(AK54*
(Assumptions!$S$7*(U54/AI54)^3+
Assumptions!$S$8*(U54/AI54)^2+
Assumptions!$S$9*(U54/AI54)+
Assumptions!$S$10),"")</f>
        <v/>
      </c>
      <c r="W54" s="96" t="str">
        <f>IFERROR(S54*T54*Assumptions!$B$15/3956,"")</f>
        <v/>
      </c>
      <c r="X54" s="102" t="str">
        <f t="shared" si="7"/>
        <v/>
      </c>
      <c r="Y54" s="95" t="str">
        <f t="shared" si="8"/>
        <v/>
      </c>
      <c r="Z54" s="95" t="str">
        <f t="shared" si="9"/>
        <v/>
      </c>
      <c r="AA54" s="95" t="str">
        <f>IFERROR(AK54*
(Assumptions!$S$7*(Z54/AI54)^3+
Assumptions!$S$8*(Z54/AI54)^2+
Assumptions!$S$9*(Z54/AI54)+
Assumptions!$S$10),"")</f>
        <v/>
      </c>
      <c r="AB54" s="96" t="str">
        <f>IFERROR(X54*Y54*Assumptions!$B$15/3956,"")</f>
        <v/>
      </c>
      <c r="AC54" s="102" t="str">
        <f t="shared" si="10"/>
        <v/>
      </c>
      <c r="AD54" s="95" t="str">
        <f t="shared" si="11"/>
        <v/>
      </c>
      <c r="AE54" s="95" t="str">
        <f t="shared" si="12"/>
        <v/>
      </c>
      <c r="AF54" s="95" t="str">
        <f>IFERROR(AK54*
(Assumptions!$S$7*(AE54/AI54)^3+
Assumptions!$S$8*(AE54/AI54)^2+
Assumptions!$S$9*(AE54/AI54)+
Assumptions!$S$10),"")</f>
        <v/>
      </c>
      <c r="AG54" s="96" t="str">
        <f>IFERROR(AC54*AD54*Assumptions!$B$15/3956,"")</f>
        <v/>
      </c>
      <c r="AH54" s="94" t="str">
        <f t="shared" si="16"/>
        <v/>
      </c>
      <c r="AI54" s="93" t="str">
        <f>IFERROR(
IF(C54="VTS",
INDEX(Assumptions!$I$38:$I$57,MATCH(AH54,Assumptions!$I$38:$I$57,-1)),
INDEX(Assumptions!$I$13:$I$32,MATCH(AH54,Assumptions!$I$13:$I$32,-1))),
"")</f>
        <v/>
      </c>
      <c r="AJ54" s="96" t="str">
        <f>IFERROR(
IF(C54="VTS",
VLOOKUP(AI54,Assumptions!$I$38:$K$57,MATCH(P54,Assumptions!$I$37:$K$37,0),FALSE),
VLOOKUP(AI54,Assumptions!$I$13:$K$32,MATCH(P54,Assumptions!$I$12:$K$12,0),FALSE)),
"")</f>
        <v/>
      </c>
      <c r="AK54" s="99" t="str">
        <f t="shared" si="13"/>
        <v/>
      </c>
      <c r="AL54" s="95" t="str">
        <f>IFERROR(AK54*
(Assumptions!$S$7*(W54/(AO54*Assumptions!$AB$9/100)/AI54)^3+
Assumptions!$S$8*(W54/(AO54*Assumptions!$AB$9/100)/AI54)^2+
Assumptions!$S$9*(W54/(AO54*Assumptions!$AB$9/100)/AI54)+
Assumptions!$S$10),"")</f>
        <v/>
      </c>
      <c r="AM54" s="95" t="str">
        <f>IFERROR(AK54*
(Assumptions!$S$7*(AB54/(AO54*Assumptions!$AB$8/100)/AI54)^3+
Assumptions!$S$8*(AB54/(AO54*Assumptions!$AB$8/100)/AI54)^2+
Assumptions!$S$9*(AB54/(AO54*Assumptions!$AB$8/100)/AI54)+
Assumptions!$S$10),"")</f>
        <v/>
      </c>
      <c r="AN54" s="95" t="str">
        <f>IFERROR(AK54*
(Assumptions!$S$7*(AG54/(AO54*Assumptions!$AB$10/100)/AI54)^3+
Assumptions!$S$8*(AG54/(AO54*Assumptions!$AB$10/100)/AI54)^2+
Assumptions!$S$9*(AG54/(AO54*Assumptions!$AB$10/100)/AI54)+
Assumptions!$S$10),"")</f>
        <v/>
      </c>
      <c r="AO54" s="95" t="str">
        <f>IFERROR(
Assumptions!$AD$8*LN(S54)^2+
Assumptions!$AE$8*LN(R54)*LN(S54)+
Assumptions!$AF$8*LN(R54)^2+
Assumptions!$AG$8*LN(S54)+
Assumptions!$AH$8*LN(R54)-
(IF(Q54=1800,
VLOOKUP(C54,Assumptions!$AA$13:$AC$17,3),
IF(Q54=3600,
VLOOKUP(C54,Assumptions!$AA$18:$AC$22,3),
""))+Assumptions!$AI$8),
"")</f>
        <v/>
      </c>
      <c r="AP54" s="96" t="str">
        <f>IFERROR(
Assumptions!$D$11*(W54/(Assumptions!$AB$9*AO54/100)+AL54)+
Assumptions!$D$10*(AB54/(Assumptions!$AB$8*AO54/100)+AM54)+
Assumptions!$D$12*(AG54/(Assumptions!$AB$10*AO54/100)+AN54),
"")</f>
        <v/>
      </c>
      <c r="AQ54" s="76" t="str">
        <f>IFERROR(
(U54+V54)*Assumptions!$D$11+
(Z54+AA54)*Assumptions!$D$10+
(AE54+AF54)*Assumptions!$D$12,
"")</f>
        <v/>
      </c>
      <c r="AR54" s="104" t="str">
        <f t="shared" si="14"/>
        <v/>
      </c>
      <c r="AS54" s="103" t="str">
        <f t="shared" si="15"/>
        <v/>
      </c>
      <c r="AT54" s="92"/>
    </row>
    <row r="55" spans="1:46" x14ac:dyDescent="0.25">
      <c r="A55" s="264"/>
      <c r="B55" s="265"/>
      <c r="C55" s="265"/>
      <c r="D55" s="265"/>
      <c r="E55" s="266"/>
      <c r="F55" s="270"/>
      <c r="G55" s="271"/>
      <c r="H55" s="271"/>
      <c r="I55" s="272"/>
      <c r="J55" s="270"/>
      <c r="K55" s="271"/>
      <c r="L55" s="272"/>
      <c r="M55" s="270"/>
      <c r="N55" s="271"/>
      <c r="O55" s="272"/>
      <c r="P55" s="97" t="str">
        <f t="shared" si="0"/>
        <v/>
      </c>
      <c r="Q55" s="84" t="str">
        <f t="shared" si="2"/>
        <v/>
      </c>
      <c r="R55" s="101" t="str">
        <f t="shared" si="3"/>
        <v/>
      </c>
      <c r="S55" s="100" t="str">
        <f t="shared" si="4"/>
        <v/>
      </c>
      <c r="T55" s="95" t="str">
        <f t="shared" si="5"/>
        <v/>
      </c>
      <c r="U55" s="95" t="str">
        <f t="shared" si="6"/>
        <v/>
      </c>
      <c r="V55" s="95" t="str">
        <f>IFERROR(AK55*
(Assumptions!$S$7*(U55/AI55)^3+
Assumptions!$S$8*(U55/AI55)^2+
Assumptions!$S$9*(U55/AI55)+
Assumptions!$S$10),"")</f>
        <v/>
      </c>
      <c r="W55" s="96" t="str">
        <f>IFERROR(S55*T55*Assumptions!$B$15/3956,"")</f>
        <v/>
      </c>
      <c r="X55" s="102" t="str">
        <f t="shared" si="7"/>
        <v/>
      </c>
      <c r="Y55" s="95" t="str">
        <f t="shared" si="8"/>
        <v/>
      </c>
      <c r="Z55" s="95" t="str">
        <f t="shared" si="9"/>
        <v/>
      </c>
      <c r="AA55" s="95" t="str">
        <f>IFERROR(AK55*
(Assumptions!$S$7*(Z55/AI55)^3+
Assumptions!$S$8*(Z55/AI55)^2+
Assumptions!$S$9*(Z55/AI55)+
Assumptions!$S$10),"")</f>
        <v/>
      </c>
      <c r="AB55" s="96" t="str">
        <f>IFERROR(X55*Y55*Assumptions!$B$15/3956,"")</f>
        <v/>
      </c>
      <c r="AC55" s="102" t="str">
        <f t="shared" si="10"/>
        <v/>
      </c>
      <c r="AD55" s="95" t="str">
        <f t="shared" si="11"/>
        <v/>
      </c>
      <c r="AE55" s="95" t="str">
        <f t="shared" si="12"/>
        <v/>
      </c>
      <c r="AF55" s="95" t="str">
        <f>IFERROR(AK55*
(Assumptions!$S$7*(AE55/AI55)^3+
Assumptions!$S$8*(AE55/AI55)^2+
Assumptions!$S$9*(AE55/AI55)+
Assumptions!$S$10),"")</f>
        <v/>
      </c>
      <c r="AG55" s="96" t="str">
        <f>IFERROR(AC55*AD55*Assumptions!$B$15/3956,"")</f>
        <v/>
      </c>
      <c r="AH55" s="94" t="str">
        <f t="shared" si="16"/>
        <v/>
      </c>
      <c r="AI55" s="93" t="str">
        <f>IFERROR(
IF(C55="VTS",
INDEX(Assumptions!$I$38:$I$57,MATCH(AH55,Assumptions!$I$38:$I$57,-1)),
INDEX(Assumptions!$I$13:$I$32,MATCH(AH55,Assumptions!$I$13:$I$32,-1))),
"")</f>
        <v/>
      </c>
      <c r="AJ55" s="96" t="str">
        <f>IFERROR(
IF(C55="VTS",
VLOOKUP(AI55,Assumptions!$I$38:$K$57,MATCH(P55,Assumptions!$I$37:$K$37,0),FALSE),
VLOOKUP(AI55,Assumptions!$I$13:$K$32,MATCH(P55,Assumptions!$I$12:$K$12,0),FALSE)),
"")</f>
        <v/>
      </c>
      <c r="AK55" s="99" t="str">
        <f t="shared" si="13"/>
        <v/>
      </c>
      <c r="AL55" s="95" t="str">
        <f>IFERROR(AK55*
(Assumptions!$S$7*(W55/(AO55*Assumptions!$AB$9/100)/AI55)^3+
Assumptions!$S$8*(W55/(AO55*Assumptions!$AB$9/100)/AI55)^2+
Assumptions!$S$9*(W55/(AO55*Assumptions!$AB$9/100)/AI55)+
Assumptions!$S$10),"")</f>
        <v/>
      </c>
      <c r="AM55" s="95" t="str">
        <f>IFERROR(AK55*
(Assumptions!$S$7*(AB55/(AO55*Assumptions!$AB$8/100)/AI55)^3+
Assumptions!$S$8*(AB55/(AO55*Assumptions!$AB$8/100)/AI55)^2+
Assumptions!$S$9*(AB55/(AO55*Assumptions!$AB$8/100)/AI55)+
Assumptions!$S$10),"")</f>
        <v/>
      </c>
      <c r="AN55" s="95" t="str">
        <f>IFERROR(AK55*
(Assumptions!$S$7*(AG55/(AO55*Assumptions!$AB$10/100)/AI55)^3+
Assumptions!$S$8*(AG55/(AO55*Assumptions!$AB$10/100)/AI55)^2+
Assumptions!$S$9*(AG55/(AO55*Assumptions!$AB$10/100)/AI55)+
Assumptions!$S$10),"")</f>
        <v/>
      </c>
      <c r="AO55" s="95" t="str">
        <f>IFERROR(
Assumptions!$AD$8*LN(S55)^2+
Assumptions!$AE$8*LN(R55)*LN(S55)+
Assumptions!$AF$8*LN(R55)^2+
Assumptions!$AG$8*LN(S55)+
Assumptions!$AH$8*LN(R55)-
(IF(Q55=1800,
VLOOKUP(C55,Assumptions!$AA$13:$AC$17,3),
IF(Q55=3600,
VLOOKUP(C55,Assumptions!$AA$18:$AC$22,3),
""))+Assumptions!$AI$8),
"")</f>
        <v/>
      </c>
      <c r="AP55" s="96" t="str">
        <f>IFERROR(
Assumptions!$D$11*(W55/(Assumptions!$AB$9*AO55/100)+AL55)+
Assumptions!$D$10*(AB55/(Assumptions!$AB$8*AO55/100)+AM55)+
Assumptions!$D$12*(AG55/(Assumptions!$AB$10*AO55/100)+AN55),
"")</f>
        <v/>
      </c>
      <c r="AQ55" s="76" t="str">
        <f>IFERROR(
(U55+V55)*Assumptions!$D$11+
(Z55+AA55)*Assumptions!$D$10+
(AE55+AF55)*Assumptions!$D$12,
"")</f>
        <v/>
      </c>
      <c r="AR55" s="104" t="str">
        <f t="shared" si="14"/>
        <v/>
      </c>
      <c r="AS55" s="103" t="str">
        <f t="shared" si="15"/>
        <v/>
      </c>
      <c r="AT55" s="92"/>
    </row>
    <row r="56" spans="1:46" x14ac:dyDescent="0.25">
      <c r="A56" s="264"/>
      <c r="B56" s="265"/>
      <c r="C56" s="265"/>
      <c r="D56" s="265"/>
      <c r="E56" s="266"/>
      <c r="F56" s="270"/>
      <c r="G56" s="271"/>
      <c r="H56" s="271"/>
      <c r="I56" s="272"/>
      <c r="J56" s="270"/>
      <c r="K56" s="271"/>
      <c r="L56" s="272"/>
      <c r="M56" s="270"/>
      <c r="N56" s="271"/>
      <c r="O56" s="272"/>
      <c r="P56" s="97" t="str">
        <f t="shared" si="0"/>
        <v/>
      </c>
      <c r="Q56" s="84" t="str">
        <f t="shared" si="2"/>
        <v/>
      </c>
      <c r="R56" s="101" t="str">
        <f t="shared" si="3"/>
        <v/>
      </c>
      <c r="S56" s="100" t="str">
        <f t="shared" si="4"/>
        <v/>
      </c>
      <c r="T56" s="95" t="str">
        <f t="shared" si="5"/>
        <v/>
      </c>
      <c r="U56" s="95" t="str">
        <f t="shared" si="6"/>
        <v/>
      </c>
      <c r="V56" s="95" t="str">
        <f>IFERROR(AK56*
(Assumptions!$S$7*(U56/AI56)^3+
Assumptions!$S$8*(U56/AI56)^2+
Assumptions!$S$9*(U56/AI56)+
Assumptions!$S$10),"")</f>
        <v/>
      </c>
      <c r="W56" s="96" t="str">
        <f>IFERROR(S56*T56*Assumptions!$B$15/3956,"")</f>
        <v/>
      </c>
      <c r="X56" s="102" t="str">
        <f t="shared" si="7"/>
        <v/>
      </c>
      <c r="Y56" s="95" t="str">
        <f t="shared" si="8"/>
        <v/>
      </c>
      <c r="Z56" s="95" t="str">
        <f t="shared" si="9"/>
        <v/>
      </c>
      <c r="AA56" s="95" t="str">
        <f>IFERROR(AK56*
(Assumptions!$S$7*(Z56/AI56)^3+
Assumptions!$S$8*(Z56/AI56)^2+
Assumptions!$S$9*(Z56/AI56)+
Assumptions!$S$10),"")</f>
        <v/>
      </c>
      <c r="AB56" s="96" t="str">
        <f>IFERROR(X56*Y56*Assumptions!$B$15/3956,"")</f>
        <v/>
      </c>
      <c r="AC56" s="102" t="str">
        <f t="shared" si="10"/>
        <v/>
      </c>
      <c r="AD56" s="95" t="str">
        <f t="shared" si="11"/>
        <v/>
      </c>
      <c r="AE56" s="95" t="str">
        <f t="shared" si="12"/>
        <v/>
      </c>
      <c r="AF56" s="95" t="str">
        <f>IFERROR(AK56*
(Assumptions!$S$7*(AE56/AI56)^3+
Assumptions!$S$8*(AE56/AI56)^2+
Assumptions!$S$9*(AE56/AI56)+
Assumptions!$S$10),"")</f>
        <v/>
      </c>
      <c r="AG56" s="96" t="str">
        <f>IFERROR(AC56*AD56*Assumptions!$B$15/3956,"")</f>
        <v/>
      </c>
      <c r="AH56" s="94" t="str">
        <f t="shared" si="16"/>
        <v/>
      </c>
      <c r="AI56" s="93" t="str">
        <f>IFERROR(
IF(C56="VTS",
INDEX(Assumptions!$I$38:$I$57,MATCH(AH56,Assumptions!$I$38:$I$57,-1)),
INDEX(Assumptions!$I$13:$I$32,MATCH(AH56,Assumptions!$I$13:$I$32,-1))),
"")</f>
        <v/>
      </c>
      <c r="AJ56" s="96" t="str">
        <f>IFERROR(
IF(C56="VTS",
VLOOKUP(AI56,Assumptions!$I$38:$K$57,MATCH(P56,Assumptions!$I$37:$K$37,0),FALSE),
VLOOKUP(AI56,Assumptions!$I$13:$K$32,MATCH(P56,Assumptions!$I$12:$K$12,0),FALSE)),
"")</f>
        <v/>
      </c>
      <c r="AK56" s="99" t="str">
        <f t="shared" si="13"/>
        <v/>
      </c>
      <c r="AL56" s="95" t="str">
        <f>IFERROR(AK56*
(Assumptions!$S$7*(W56/(AO56*Assumptions!$AB$9/100)/AI56)^3+
Assumptions!$S$8*(W56/(AO56*Assumptions!$AB$9/100)/AI56)^2+
Assumptions!$S$9*(W56/(AO56*Assumptions!$AB$9/100)/AI56)+
Assumptions!$S$10),"")</f>
        <v/>
      </c>
      <c r="AM56" s="95" t="str">
        <f>IFERROR(AK56*
(Assumptions!$S$7*(AB56/(AO56*Assumptions!$AB$8/100)/AI56)^3+
Assumptions!$S$8*(AB56/(AO56*Assumptions!$AB$8/100)/AI56)^2+
Assumptions!$S$9*(AB56/(AO56*Assumptions!$AB$8/100)/AI56)+
Assumptions!$S$10),"")</f>
        <v/>
      </c>
      <c r="AN56" s="95" t="str">
        <f>IFERROR(AK56*
(Assumptions!$S$7*(AG56/(AO56*Assumptions!$AB$10/100)/AI56)^3+
Assumptions!$S$8*(AG56/(AO56*Assumptions!$AB$10/100)/AI56)^2+
Assumptions!$S$9*(AG56/(AO56*Assumptions!$AB$10/100)/AI56)+
Assumptions!$S$10),"")</f>
        <v/>
      </c>
      <c r="AO56" s="95" t="str">
        <f>IFERROR(
Assumptions!$AD$8*LN(S56)^2+
Assumptions!$AE$8*LN(R56)*LN(S56)+
Assumptions!$AF$8*LN(R56)^2+
Assumptions!$AG$8*LN(S56)+
Assumptions!$AH$8*LN(R56)-
(IF(Q56=1800,
VLOOKUP(C56,Assumptions!$AA$13:$AC$17,3),
IF(Q56=3600,
VLOOKUP(C56,Assumptions!$AA$18:$AC$22,3),
""))+Assumptions!$AI$8),
"")</f>
        <v/>
      </c>
      <c r="AP56" s="96" t="str">
        <f>IFERROR(
Assumptions!$D$11*(W56/(Assumptions!$AB$9*AO56/100)+AL56)+
Assumptions!$D$10*(AB56/(Assumptions!$AB$8*AO56/100)+AM56)+
Assumptions!$D$12*(AG56/(Assumptions!$AB$10*AO56/100)+AN56),
"")</f>
        <v/>
      </c>
      <c r="AQ56" s="76" t="str">
        <f>IFERROR(
(U56+V56)*Assumptions!$D$11+
(Z56+AA56)*Assumptions!$D$10+
(AE56+AF56)*Assumptions!$D$12,
"")</f>
        <v/>
      </c>
      <c r="AR56" s="104" t="str">
        <f t="shared" si="14"/>
        <v/>
      </c>
      <c r="AS56" s="103" t="str">
        <f t="shared" si="15"/>
        <v/>
      </c>
      <c r="AT56" s="92"/>
    </row>
    <row r="57" spans="1:46" x14ac:dyDescent="0.25">
      <c r="A57" s="264"/>
      <c r="B57" s="265"/>
      <c r="C57" s="265"/>
      <c r="D57" s="265"/>
      <c r="E57" s="266"/>
      <c r="F57" s="270"/>
      <c r="G57" s="271"/>
      <c r="H57" s="271"/>
      <c r="I57" s="272"/>
      <c r="J57" s="270"/>
      <c r="K57" s="271"/>
      <c r="L57" s="272"/>
      <c r="M57" s="270"/>
      <c r="N57" s="271"/>
      <c r="O57" s="272"/>
      <c r="P57" s="97" t="str">
        <f t="shared" si="0"/>
        <v/>
      </c>
      <c r="Q57" s="84" t="str">
        <f t="shared" si="2"/>
        <v/>
      </c>
      <c r="R57" s="101" t="str">
        <f t="shared" si="3"/>
        <v/>
      </c>
      <c r="S57" s="100" t="str">
        <f t="shared" si="4"/>
        <v/>
      </c>
      <c r="T57" s="95" t="str">
        <f t="shared" si="5"/>
        <v/>
      </c>
      <c r="U57" s="95" t="str">
        <f t="shared" si="6"/>
        <v/>
      </c>
      <c r="V57" s="95" t="str">
        <f>IFERROR(AK57*
(Assumptions!$S$7*(U57/AI57)^3+
Assumptions!$S$8*(U57/AI57)^2+
Assumptions!$S$9*(U57/AI57)+
Assumptions!$S$10),"")</f>
        <v/>
      </c>
      <c r="W57" s="96" t="str">
        <f>IFERROR(S57*T57*Assumptions!$B$15/3956,"")</f>
        <v/>
      </c>
      <c r="X57" s="102" t="str">
        <f t="shared" si="7"/>
        <v/>
      </c>
      <c r="Y57" s="95" t="str">
        <f t="shared" si="8"/>
        <v/>
      </c>
      <c r="Z57" s="95" t="str">
        <f t="shared" si="9"/>
        <v/>
      </c>
      <c r="AA57" s="95" t="str">
        <f>IFERROR(AK57*
(Assumptions!$S$7*(Z57/AI57)^3+
Assumptions!$S$8*(Z57/AI57)^2+
Assumptions!$S$9*(Z57/AI57)+
Assumptions!$S$10),"")</f>
        <v/>
      </c>
      <c r="AB57" s="96" t="str">
        <f>IFERROR(X57*Y57*Assumptions!$B$15/3956,"")</f>
        <v/>
      </c>
      <c r="AC57" s="102" t="str">
        <f t="shared" si="10"/>
        <v/>
      </c>
      <c r="AD57" s="95" t="str">
        <f t="shared" si="11"/>
        <v/>
      </c>
      <c r="AE57" s="95" t="str">
        <f t="shared" si="12"/>
        <v/>
      </c>
      <c r="AF57" s="95" t="str">
        <f>IFERROR(AK57*
(Assumptions!$S$7*(AE57/AI57)^3+
Assumptions!$S$8*(AE57/AI57)^2+
Assumptions!$S$9*(AE57/AI57)+
Assumptions!$S$10),"")</f>
        <v/>
      </c>
      <c r="AG57" s="96" t="str">
        <f>IFERROR(AC57*AD57*Assumptions!$B$15/3956,"")</f>
        <v/>
      </c>
      <c r="AH57" s="94" t="str">
        <f t="shared" si="16"/>
        <v/>
      </c>
      <c r="AI57" s="93" t="str">
        <f>IFERROR(
IF(C57="VTS",
INDEX(Assumptions!$I$38:$I$57,MATCH(AH57,Assumptions!$I$38:$I$57,-1)),
INDEX(Assumptions!$I$13:$I$32,MATCH(AH57,Assumptions!$I$13:$I$32,-1))),
"")</f>
        <v/>
      </c>
      <c r="AJ57" s="96" t="str">
        <f>IFERROR(
IF(C57="VTS",
VLOOKUP(AI57,Assumptions!$I$38:$K$57,MATCH(P57,Assumptions!$I$37:$K$37,0),FALSE),
VLOOKUP(AI57,Assumptions!$I$13:$K$32,MATCH(P57,Assumptions!$I$12:$K$12,0),FALSE)),
"")</f>
        <v/>
      </c>
      <c r="AK57" s="99" t="str">
        <f t="shared" si="13"/>
        <v/>
      </c>
      <c r="AL57" s="95" t="str">
        <f>IFERROR(AK57*
(Assumptions!$S$7*(W57/(AO57*Assumptions!$AB$9/100)/AI57)^3+
Assumptions!$S$8*(W57/(AO57*Assumptions!$AB$9/100)/AI57)^2+
Assumptions!$S$9*(W57/(AO57*Assumptions!$AB$9/100)/AI57)+
Assumptions!$S$10),"")</f>
        <v/>
      </c>
      <c r="AM57" s="95" t="str">
        <f>IFERROR(AK57*
(Assumptions!$S$7*(AB57/(AO57*Assumptions!$AB$8/100)/AI57)^3+
Assumptions!$S$8*(AB57/(AO57*Assumptions!$AB$8/100)/AI57)^2+
Assumptions!$S$9*(AB57/(AO57*Assumptions!$AB$8/100)/AI57)+
Assumptions!$S$10),"")</f>
        <v/>
      </c>
      <c r="AN57" s="95" t="str">
        <f>IFERROR(AK57*
(Assumptions!$S$7*(AG57/(AO57*Assumptions!$AB$10/100)/AI57)^3+
Assumptions!$S$8*(AG57/(AO57*Assumptions!$AB$10/100)/AI57)^2+
Assumptions!$S$9*(AG57/(AO57*Assumptions!$AB$10/100)/AI57)+
Assumptions!$S$10),"")</f>
        <v/>
      </c>
      <c r="AO57" s="95" t="str">
        <f>IFERROR(
Assumptions!$AD$8*LN(S57)^2+
Assumptions!$AE$8*LN(R57)*LN(S57)+
Assumptions!$AF$8*LN(R57)^2+
Assumptions!$AG$8*LN(S57)+
Assumptions!$AH$8*LN(R57)-
(IF(Q57=1800,
VLOOKUP(C57,Assumptions!$AA$13:$AC$17,3),
IF(Q57=3600,
VLOOKUP(C57,Assumptions!$AA$18:$AC$22,3),
""))+Assumptions!$AI$8),
"")</f>
        <v/>
      </c>
      <c r="AP57" s="96" t="str">
        <f>IFERROR(
Assumptions!$D$11*(W57/(Assumptions!$AB$9*AO57/100)+AL57)+
Assumptions!$D$10*(AB57/(Assumptions!$AB$8*AO57/100)+AM57)+
Assumptions!$D$12*(AG57/(Assumptions!$AB$10*AO57/100)+AN57),
"")</f>
        <v/>
      </c>
      <c r="AQ57" s="76" t="str">
        <f>IFERROR(
(U57+V57)*Assumptions!$D$11+
(Z57+AA57)*Assumptions!$D$10+
(AE57+AF57)*Assumptions!$D$12,
"")</f>
        <v/>
      </c>
      <c r="AR57" s="104" t="str">
        <f t="shared" si="14"/>
        <v/>
      </c>
      <c r="AS57" s="103" t="str">
        <f t="shared" si="15"/>
        <v/>
      </c>
      <c r="AT57" s="92"/>
    </row>
    <row r="58" spans="1:46" x14ac:dyDescent="0.25">
      <c r="A58" s="264"/>
      <c r="B58" s="265"/>
      <c r="C58" s="265"/>
      <c r="D58" s="265"/>
      <c r="E58" s="266"/>
      <c r="F58" s="270"/>
      <c r="G58" s="271"/>
      <c r="H58" s="271"/>
      <c r="I58" s="272"/>
      <c r="J58" s="270"/>
      <c r="K58" s="271"/>
      <c r="L58" s="272"/>
      <c r="M58" s="270"/>
      <c r="N58" s="271"/>
      <c r="O58" s="272"/>
      <c r="P58" s="97" t="str">
        <f t="shared" si="0"/>
        <v/>
      </c>
      <c r="Q58" s="84" t="str">
        <f t="shared" si="2"/>
        <v/>
      </c>
      <c r="R58" s="101" t="str">
        <f t="shared" si="3"/>
        <v/>
      </c>
      <c r="S58" s="100" t="str">
        <f t="shared" si="4"/>
        <v/>
      </c>
      <c r="T58" s="95" t="str">
        <f t="shared" si="5"/>
        <v/>
      </c>
      <c r="U58" s="95" t="str">
        <f t="shared" si="6"/>
        <v/>
      </c>
      <c r="V58" s="95" t="str">
        <f>IFERROR(AK58*
(Assumptions!$S$7*(U58/AI58)^3+
Assumptions!$S$8*(U58/AI58)^2+
Assumptions!$S$9*(U58/AI58)+
Assumptions!$S$10),"")</f>
        <v/>
      </c>
      <c r="W58" s="96" t="str">
        <f>IFERROR(S58*T58*Assumptions!$B$15/3956,"")</f>
        <v/>
      </c>
      <c r="X58" s="102" t="str">
        <f t="shared" si="7"/>
        <v/>
      </c>
      <c r="Y58" s="95" t="str">
        <f t="shared" si="8"/>
        <v/>
      </c>
      <c r="Z58" s="95" t="str">
        <f t="shared" si="9"/>
        <v/>
      </c>
      <c r="AA58" s="95" t="str">
        <f>IFERROR(AK58*
(Assumptions!$S$7*(Z58/AI58)^3+
Assumptions!$S$8*(Z58/AI58)^2+
Assumptions!$S$9*(Z58/AI58)+
Assumptions!$S$10),"")</f>
        <v/>
      </c>
      <c r="AB58" s="96" t="str">
        <f>IFERROR(X58*Y58*Assumptions!$B$15/3956,"")</f>
        <v/>
      </c>
      <c r="AC58" s="102" t="str">
        <f t="shared" si="10"/>
        <v/>
      </c>
      <c r="AD58" s="95" t="str">
        <f t="shared" si="11"/>
        <v/>
      </c>
      <c r="AE58" s="95" t="str">
        <f t="shared" si="12"/>
        <v/>
      </c>
      <c r="AF58" s="95" t="str">
        <f>IFERROR(AK58*
(Assumptions!$S$7*(AE58/AI58)^3+
Assumptions!$S$8*(AE58/AI58)^2+
Assumptions!$S$9*(AE58/AI58)+
Assumptions!$S$10),"")</f>
        <v/>
      </c>
      <c r="AG58" s="96" t="str">
        <f>IFERROR(AC58*AD58*Assumptions!$B$15/3956,"")</f>
        <v/>
      </c>
      <c r="AH58" s="94" t="str">
        <f t="shared" si="16"/>
        <v/>
      </c>
      <c r="AI58" s="93" t="str">
        <f>IFERROR(
IF(C58="VTS",
INDEX(Assumptions!$I$38:$I$57,MATCH(AH58,Assumptions!$I$38:$I$57,-1)),
INDEX(Assumptions!$I$13:$I$32,MATCH(AH58,Assumptions!$I$13:$I$32,-1))),
"")</f>
        <v/>
      </c>
      <c r="AJ58" s="96" t="str">
        <f>IFERROR(
IF(C58="VTS",
VLOOKUP(AI58,Assumptions!$I$38:$K$57,MATCH(P58,Assumptions!$I$37:$K$37,0),FALSE),
VLOOKUP(AI58,Assumptions!$I$13:$K$32,MATCH(P58,Assumptions!$I$12:$K$12,0),FALSE)),
"")</f>
        <v/>
      </c>
      <c r="AK58" s="99" t="str">
        <f t="shared" si="13"/>
        <v/>
      </c>
      <c r="AL58" s="95" t="str">
        <f>IFERROR(AK58*
(Assumptions!$S$7*(W58/(AO58*Assumptions!$AB$9/100)/AI58)^3+
Assumptions!$S$8*(W58/(AO58*Assumptions!$AB$9/100)/AI58)^2+
Assumptions!$S$9*(W58/(AO58*Assumptions!$AB$9/100)/AI58)+
Assumptions!$S$10),"")</f>
        <v/>
      </c>
      <c r="AM58" s="95" t="str">
        <f>IFERROR(AK58*
(Assumptions!$S$7*(AB58/(AO58*Assumptions!$AB$8/100)/AI58)^3+
Assumptions!$S$8*(AB58/(AO58*Assumptions!$AB$8/100)/AI58)^2+
Assumptions!$S$9*(AB58/(AO58*Assumptions!$AB$8/100)/AI58)+
Assumptions!$S$10),"")</f>
        <v/>
      </c>
      <c r="AN58" s="95" t="str">
        <f>IFERROR(AK58*
(Assumptions!$S$7*(AG58/(AO58*Assumptions!$AB$10/100)/AI58)^3+
Assumptions!$S$8*(AG58/(AO58*Assumptions!$AB$10/100)/AI58)^2+
Assumptions!$S$9*(AG58/(AO58*Assumptions!$AB$10/100)/AI58)+
Assumptions!$S$10),"")</f>
        <v/>
      </c>
      <c r="AO58" s="95" t="str">
        <f>IFERROR(
Assumptions!$AD$8*LN(S58)^2+
Assumptions!$AE$8*LN(R58)*LN(S58)+
Assumptions!$AF$8*LN(R58)^2+
Assumptions!$AG$8*LN(S58)+
Assumptions!$AH$8*LN(R58)-
(IF(Q58=1800,
VLOOKUP(C58,Assumptions!$AA$13:$AC$17,3),
IF(Q58=3600,
VLOOKUP(C58,Assumptions!$AA$18:$AC$22,3),
""))+Assumptions!$AI$8),
"")</f>
        <v/>
      </c>
      <c r="AP58" s="96" t="str">
        <f>IFERROR(
Assumptions!$D$11*(W58/(Assumptions!$AB$9*AO58/100)+AL58)+
Assumptions!$D$10*(AB58/(Assumptions!$AB$8*AO58/100)+AM58)+
Assumptions!$D$12*(AG58/(Assumptions!$AB$10*AO58/100)+AN58),
"")</f>
        <v/>
      </c>
      <c r="AQ58" s="76" t="str">
        <f>IFERROR(
(U58+V58)*Assumptions!$D$11+
(Z58+AA58)*Assumptions!$D$10+
(AE58+AF58)*Assumptions!$D$12,
"")</f>
        <v/>
      </c>
      <c r="AR58" s="104" t="str">
        <f t="shared" si="14"/>
        <v/>
      </c>
      <c r="AS58" s="103" t="str">
        <f t="shared" si="15"/>
        <v/>
      </c>
      <c r="AT58" s="92"/>
    </row>
    <row r="59" spans="1:46" x14ac:dyDescent="0.25">
      <c r="A59" s="264"/>
      <c r="B59" s="265"/>
      <c r="C59" s="265"/>
      <c r="D59" s="265"/>
      <c r="E59" s="266"/>
      <c r="F59" s="270"/>
      <c r="G59" s="271"/>
      <c r="H59" s="271"/>
      <c r="I59" s="272"/>
      <c r="J59" s="270"/>
      <c r="K59" s="271"/>
      <c r="L59" s="272"/>
      <c r="M59" s="270"/>
      <c r="N59" s="271"/>
      <c r="O59" s="272"/>
      <c r="P59" s="97" t="str">
        <f t="shared" si="0"/>
        <v/>
      </c>
      <c r="Q59" s="84" t="str">
        <f t="shared" si="2"/>
        <v/>
      </c>
      <c r="R59" s="101" t="str">
        <f t="shared" si="3"/>
        <v/>
      </c>
      <c r="S59" s="100" t="str">
        <f t="shared" si="4"/>
        <v/>
      </c>
      <c r="T59" s="95" t="str">
        <f t="shared" si="5"/>
        <v/>
      </c>
      <c r="U59" s="95" t="str">
        <f t="shared" si="6"/>
        <v/>
      </c>
      <c r="V59" s="95" t="str">
        <f>IFERROR(AK59*
(Assumptions!$S$7*(U59/AI59)^3+
Assumptions!$S$8*(U59/AI59)^2+
Assumptions!$S$9*(U59/AI59)+
Assumptions!$S$10),"")</f>
        <v/>
      </c>
      <c r="W59" s="96" t="str">
        <f>IFERROR(S59*T59*Assumptions!$B$15/3956,"")</f>
        <v/>
      </c>
      <c r="X59" s="102" t="str">
        <f t="shared" si="7"/>
        <v/>
      </c>
      <c r="Y59" s="95" t="str">
        <f t="shared" si="8"/>
        <v/>
      </c>
      <c r="Z59" s="95" t="str">
        <f t="shared" si="9"/>
        <v/>
      </c>
      <c r="AA59" s="95" t="str">
        <f>IFERROR(AK59*
(Assumptions!$S$7*(Z59/AI59)^3+
Assumptions!$S$8*(Z59/AI59)^2+
Assumptions!$S$9*(Z59/AI59)+
Assumptions!$S$10),"")</f>
        <v/>
      </c>
      <c r="AB59" s="96" t="str">
        <f>IFERROR(X59*Y59*Assumptions!$B$15/3956,"")</f>
        <v/>
      </c>
      <c r="AC59" s="102" t="str">
        <f t="shared" si="10"/>
        <v/>
      </c>
      <c r="AD59" s="95" t="str">
        <f t="shared" si="11"/>
        <v/>
      </c>
      <c r="AE59" s="95" t="str">
        <f t="shared" si="12"/>
        <v/>
      </c>
      <c r="AF59" s="95" t="str">
        <f>IFERROR(AK59*
(Assumptions!$S$7*(AE59/AI59)^3+
Assumptions!$S$8*(AE59/AI59)^2+
Assumptions!$S$9*(AE59/AI59)+
Assumptions!$S$10),"")</f>
        <v/>
      </c>
      <c r="AG59" s="96" t="str">
        <f>IFERROR(AC59*AD59*Assumptions!$B$15/3956,"")</f>
        <v/>
      </c>
      <c r="AH59" s="94" t="str">
        <f t="shared" si="16"/>
        <v/>
      </c>
      <c r="AI59" s="93" t="str">
        <f>IFERROR(
IF(C59="VTS",
INDEX(Assumptions!$I$38:$I$57,MATCH(AH59,Assumptions!$I$38:$I$57,-1)),
INDEX(Assumptions!$I$13:$I$32,MATCH(AH59,Assumptions!$I$13:$I$32,-1))),
"")</f>
        <v/>
      </c>
      <c r="AJ59" s="96" t="str">
        <f>IFERROR(
IF(C59="VTS",
VLOOKUP(AI59,Assumptions!$I$38:$K$57,MATCH(P59,Assumptions!$I$37:$K$37,0),FALSE),
VLOOKUP(AI59,Assumptions!$I$13:$K$32,MATCH(P59,Assumptions!$I$12:$K$12,0),FALSE)),
"")</f>
        <v/>
      </c>
      <c r="AK59" s="99" t="str">
        <f t="shared" si="13"/>
        <v/>
      </c>
      <c r="AL59" s="95" t="str">
        <f>IFERROR(AK59*
(Assumptions!$S$7*(W59/(AO59*Assumptions!$AB$9/100)/AI59)^3+
Assumptions!$S$8*(W59/(AO59*Assumptions!$AB$9/100)/AI59)^2+
Assumptions!$S$9*(W59/(AO59*Assumptions!$AB$9/100)/AI59)+
Assumptions!$S$10),"")</f>
        <v/>
      </c>
      <c r="AM59" s="95" t="str">
        <f>IFERROR(AK59*
(Assumptions!$S$7*(AB59/(AO59*Assumptions!$AB$8/100)/AI59)^3+
Assumptions!$S$8*(AB59/(AO59*Assumptions!$AB$8/100)/AI59)^2+
Assumptions!$S$9*(AB59/(AO59*Assumptions!$AB$8/100)/AI59)+
Assumptions!$S$10),"")</f>
        <v/>
      </c>
      <c r="AN59" s="95" t="str">
        <f>IFERROR(AK59*
(Assumptions!$S$7*(AG59/(AO59*Assumptions!$AB$10/100)/AI59)^3+
Assumptions!$S$8*(AG59/(AO59*Assumptions!$AB$10/100)/AI59)^2+
Assumptions!$S$9*(AG59/(AO59*Assumptions!$AB$10/100)/AI59)+
Assumptions!$S$10),"")</f>
        <v/>
      </c>
      <c r="AO59" s="95" t="str">
        <f>IFERROR(
Assumptions!$AD$8*LN(S59)^2+
Assumptions!$AE$8*LN(R59)*LN(S59)+
Assumptions!$AF$8*LN(R59)^2+
Assumptions!$AG$8*LN(S59)+
Assumptions!$AH$8*LN(R59)-
(IF(Q59=1800,
VLOOKUP(C59,Assumptions!$AA$13:$AC$17,3),
IF(Q59=3600,
VLOOKUP(C59,Assumptions!$AA$18:$AC$22,3),
""))+Assumptions!$AI$8),
"")</f>
        <v/>
      </c>
      <c r="AP59" s="96" t="str">
        <f>IFERROR(
Assumptions!$D$11*(W59/(Assumptions!$AB$9*AO59/100)+AL59)+
Assumptions!$D$10*(AB59/(Assumptions!$AB$8*AO59/100)+AM59)+
Assumptions!$D$12*(AG59/(Assumptions!$AB$10*AO59/100)+AN59),
"")</f>
        <v/>
      </c>
      <c r="AQ59" s="76" t="str">
        <f>IFERROR(
(U59+V59)*Assumptions!$D$11+
(Z59+AA59)*Assumptions!$D$10+
(AE59+AF59)*Assumptions!$D$12,
"")</f>
        <v/>
      </c>
      <c r="AR59" s="104" t="str">
        <f t="shared" si="14"/>
        <v/>
      </c>
      <c r="AS59" s="103" t="str">
        <f t="shared" si="15"/>
        <v/>
      </c>
      <c r="AT59" s="92"/>
    </row>
    <row r="60" spans="1:46" x14ac:dyDescent="0.25">
      <c r="A60" s="264"/>
      <c r="B60" s="265"/>
      <c r="C60" s="265"/>
      <c r="D60" s="265"/>
      <c r="E60" s="266"/>
      <c r="F60" s="270"/>
      <c r="G60" s="271"/>
      <c r="H60" s="271"/>
      <c r="I60" s="272"/>
      <c r="J60" s="270"/>
      <c r="K60" s="271"/>
      <c r="L60" s="272"/>
      <c r="M60" s="270"/>
      <c r="N60" s="271"/>
      <c r="O60" s="272"/>
      <c r="P60" s="97" t="str">
        <f t="shared" si="0"/>
        <v/>
      </c>
      <c r="Q60" s="84" t="str">
        <f t="shared" si="2"/>
        <v/>
      </c>
      <c r="R60" s="101" t="str">
        <f t="shared" si="3"/>
        <v/>
      </c>
      <c r="S60" s="100" t="str">
        <f t="shared" si="4"/>
        <v/>
      </c>
      <c r="T60" s="95" t="str">
        <f t="shared" si="5"/>
        <v/>
      </c>
      <c r="U60" s="95" t="str">
        <f t="shared" si="6"/>
        <v/>
      </c>
      <c r="V60" s="95" t="str">
        <f>IFERROR(AK60*
(Assumptions!$S$7*(U60/AI60)^3+
Assumptions!$S$8*(U60/AI60)^2+
Assumptions!$S$9*(U60/AI60)+
Assumptions!$S$10),"")</f>
        <v/>
      </c>
      <c r="W60" s="96" t="str">
        <f>IFERROR(S60*T60*Assumptions!$B$15/3956,"")</f>
        <v/>
      </c>
      <c r="X60" s="102" t="str">
        <f t="shared" si="7"/>
        <v/>
      </c>
      <c r="Y60" s="95" t="str">
        <f t="shared" si="8"/>
        <v/>
      </c>
      <c r="Z60" s="95" t="str">
        <f t="shared" si="9"/>
        <v/>
      </c>
      <c r="AA60" s="95" t="str">
        <f>IFERROR(AK60*
(Assumptions!$S$7*(Z60/AI60)^3+
Assumptions!$S$8*(Z60/AI60)^2+
Assumptions!$S$9*(Z60/AI60)+
Assumptions!$S$10),"")</f>
        <v/>
      </c>
      <c r="AB60" s="96" t="str">
        <f>IFERROR(X60*Y60*Assumptions!$B$15/3956,"")</f>
        <v/>
      </c>
      <c r="AC60" s="102" t="str">
        <f t="shared" si="10"/>
        <v/>
      </c>
      <c r="AD60" s="95" t="str">
        <f t="shared" si="11"/>
        <v/>
      </c>
      <c r="AE60" s="95" t="str">
        <f t="shared" si="12"/>
        <v/>
      </c>
      <c r="AF60" s="95" t="str">
        <f>IFERROR(AK60*
(Assumptions!$S$7*(AE60/AI60)^3+
Assumptions!$S$8*(AE60/AI60)^2+
Assumptions!$S$9*(AE60/AI60)+
Assumptions!$S$10),"")</f>
        <v/>
      </c>
      <c r="AG60" s="96" t="str">
        <f>IFERROR(AC60*AD60*Assumptions!$B$15/3956,"")</f>
        <v/>
      </c>
      <c r="AH60" s="94" t="str">
        <f t="shared" si="16"/>
        <v/>
      </c>
      <c r="AI60" s="93" t="str">
        <f>IFERROR(
IF(C60="VTS",
INDEX(Assumptions!$I$38:$I$57,MATCH(AH60,Assumptions!$I$38:$I$57,-1)),
INDEX(Assumptions!$I$13:$I$32,MATCH(AH60,Assumptions!$I$13:$I$32,-1))),
"")</f>
        <v/>
      </c>
      <c r="AJ60" s="96" t="str">
        <f>IFERROR(
IF(C60="VTS",
VLOOKUP(AI60,Assumptions!$I$38:$K$57,MATCH(P60,Assumptions!$I$37:$K$37,0),FALSE),
VLOOKUP(AI60,Assumptions!$I$13:$K$32,MATCH(P60,Assumptions!$I$12:$K$12,0),FALSE)),
"")</f>
        <v/>
      </c>
      <c r="AK60" s="99" t="str">
        <f t="shared" si="13"/>
        <v/>
      </c>
      <c r="AL60" s="95" t="str">
        <f>IFERROR(AK60*
(Assumptions!$S$7*(W60/(AO60*Assumptions!$AB$9/100)/AI60)^3+
Assumptions!$S$8*(W60/(AO60*Assumptions!$AB$9/100)/AI60)^2+
Assumptions!$S$9*(W60/(AO60*Assumptions!$AB$9/100)/AI60)+
Assumptions!$S$10),"")</f>
        <v/>
      </c>
      <c r="AM60" s="95" t="str">
        <f>IFERROR(AK60*
(Assumptions!$S$7*(AB60/(AO60*Assumptions!$AB$8/100)/AI60)^3+
Assumptions!$S$8*(AB60/(AO60*Assumptions!$AB$8/100)/AI60)^2+
Assumptions!$S$9*(AB60/(AO60*Assumptions!$AB$8/100)/AI60)+
Assumptions!$S$10),"")</f>
        <v/>
      </c>
      <c r="AN60" s="95" t="str">
        <f>IFERROR(AK60*
(Assumptions!$S$7*(AG60/(AO60*Assumptions!$AB$10/100)/AI60)^3+
Assumptions!$S$8*(AG60/(AO60*Assumptions!$AB$10/100)/AI60)^2+
Assumptions!$S$9*(AG60/(AO60*Assumptions!$AB$10/100)/AI60)+
Assumptions!$S$10),"")</f>
        <v/>
      </c>
      <c r="AO60" s="95" t="str">
        <f>IFERROR(
Assumptions!$AD$8*LN(S60)^2+
Assumptions!$AE$8*LN(R60)*LN(S60)+
Assumptions!$AF$8*LN(R60)^2+
Assumptions!$AG$8*LN(S60)+
Assumptions!$AH$8*LN(R60)-
(IF(Q60=1800,
VLOOKUP(C60,Assumptions!$AA$13:$AC$17,3),
IF(Q60=3600,
VLOOKUP(C60,Assumptions!$AA$18:$AC$22,3),
""))+Assumptions!$AI$8),
"")</f>
        <v/>
      </c>
      <c r="AP60" s="96" t="str">
        <f>IFERROR(
Assumptions!$D$11*(W60/(Assumptions!$AB$9*AO60/100)+AL60)+
Assumptions!$D$10*(AB60/(Assumptions!$AB$8*AO60/100)+AM60)+
Assumptions!$D$12*(AG60/(Assumptions!$AB$10*AO60/100)+AN60),
"")</f>
        <v/>
      </c>
      <c r="AQ60" s="76" t="str">
        <f>IFERROR(
(U60+V60)*Assumptions!$D$11+
(Z60+AA60)*Assumptions!$D$10+
(AE60+AF60)*Assumptions!$D$12,
"")</f>
        <v/>
      </c>
      <c r="AR60" s="104" t="str">
        <f t="shared" si="14"/>
        <v/>
      </c>
      <c r="AS60" s="103" t="str">
        <f t="shared" si="15"/>
        <v/>
      </c>
      <c r="AT60" s="92"/>
    </row>
    <row r="61" spans="1:46" x14ac:dyDescent="0.25">
      <c r="A61" s="264"/>
      <c r="B61" s="265"/>
      <c r="C61" s="265"/>
      <c r="D61" s="265"/>
      <c r="E61" s="266"/>
      <c r="F61" s="270"/>
      <c r="G61" s="271"/>
      <c r="H61" s="271"/>
      <c r="I61" s="272"/>
      <c r="J61" s="270"/>
      <c r="K61" s="271"/>
      <c r="L61" s="272"/>
      <c r="M61" s="270"/>
      <c r="N61" s="271"/>
      <c r="O61" s="272"/>
      <c r="P61" s="97" t="str">
        <f t="shared" si="0"/>
        <v/>
      </c>
      <c r="Q61" s="84" t="str">
        <f t="shared" si="2"/>
        <v/>
      </c>
      <c r="R61" s="101" t="str">
        <f t="shared" si="3"/>
        <v/>
      </c>
      <c r="S61" s="100" t="str">
        <f t="shared" si="4"/>
        <v/>
      </c>
      <c r="T61" s="95" t="str">
        <f t="shared" si="5"/>
        <v/>
      </c>
      <c r="U61" s="95" t="str">
        <f t="shared" si="6"/>
        <v/>
      </c>
      <c r="V61" s="95" t="str">
        <f>IFERROR(AK61*
(Assumptions!$S$7*(U61/AI61)^3+
Assumptions!$S$8*(U61/AI61)^2+
Assumptions!$S$9*(U61/AI61)+
Assumptions!$S$10),"")</f>
        <v/>
      </c>
      <c r="W61" s="96" t="str">
        <f>IFERROR(S61*T61*Assumptions!$B$15/3956,"")</f>
        <v/>
      </c>
      <c r="X61" s="102" t="str">
        <f t="shared" si="7"/>
        <v/>
      </c>
      <c r="Y61" s="95" t="str">
        <f t="shared" si="8"/>
        <v/>
      </c>
      <c r="Z61" s="95" t="str">
        <f t="shared" si="9"/>
        <v/>
      </c>
      <c r="AA61" s="95" t="str">
        <f>IFERROR(AK61*
(Assumptions!$S$7*(Z61/AI61)^3+
Assumptions!$S$8*(Z61/AI61)^2+
Assumptions!$S$9*(Z61/AI61)+
Assumptions!$S$10),"")</f>
        <v/>
      </c>
      <c r="AB61" s="96" t="str">
        <f>IFERROR(X61*Y61*Assumptions!$B$15/3956,"")</f>
        <v/>
      </c>
      <c r="AC61" s="102" t="str">
        <f t="shared" si="10"/>
        <v/>
      </c>
      <c r="AD61" s="95" t="str">
        <f t="shared" si="11"/>
        <v/>
      </c>
      <c r="AE61" s="95" t="str">
        <f t="shared" si="12"/>
        <v/>
      </c>
      <c r="AF61" s="95" t="str">
        <f>IFERROR(AK61*
(Assumptions!$S$7*(AE61/AI61)^3+
Assumptions!$S$8*(AE61/AI61)^2+
Assumptions!$S$9*(AE61/AI61)+
Assumptions!$S$10),"")</f>
        <v/>
      </c>
      <c r="AG61" s="96" t="str">
        <f>IFERROR(AC61*AD61*Assumptions!$B$15/3956,"")</f>
        <v/>
      </c>
      <c r="AH61" s="94" t="str">
        <f t="shared" si="16"/>
        <v/>
      </c>
      <c r="AI61" s="93" t="str">
        <f>IFERROR(
IF(C61="VTS",
INDEX(Assumptions!$I$38:$I$57,MATCH(AH61,Assumptions!$I$38:$I$57,-1)),
INDEX(Assumptions!$I$13:$I$32,MATCH(AH61,Assumptions!$I$13:$I$32,-1))),
"")</f>
        <v/>
      </c>
      <c r="AJ61" s="96" t="str">
        <f>IFERROR(
IF(C61="VTS",
VLOOKUP(AI61,Assumptions!$I$38:$K$57,MATCH(P61,Assumptions!$I$37:$K$37,0),FALSE),
VLOOKUP(AI61,Assumptions!$I$13:$K$32,MATCH(P61,Assumptions!$I$12:$K$12,0),FALSE)),
"")</f>
        <v/>
      </c>
      <c r="AK61" s="99" t="str">
        <f t="shared" si="13"/>
        <v/>
      </c>
      <c r="AL61" s="95" t="str">
        <f>IFERROR(AK61*
(Assumptions!$S$7*(W61/(AO61*Assumptions!$AB$9/100)/AI61)^3+
Assumptions!$S$8*(W61/(AO61*Assumptions!$AB$9/100)/AI61)^2+
Assumptions!$S$9*(W61/(AO61*Assumptions!$AB$9/100)/AI61)+
Assumptions!$S$10),"")</f>
        <v/>
      </c>
      <c r="AM61" s="95" t="str">
        <f>IFERROR(AK61*
(Assumptions!$S$7*(AB61/(AO61*Assumptions!$AB$8/100)/AI61)^3+
Assumptions!$S$8*(AB61/(AO61*Assumptions!$AB$8/100)/AI61)^2+
Assumptions!$S$9*(AB61/(AO61*Assumptions!$AB$8/100)/AI61)+
Assumptions!$S$10),"")</f>
        <v/>
      </c>
      <c r="AN61" s="95" t="str">
        <f>IFERROR(AK61*
(Assumptions!$S$7*(AG61/(AO61*Assumptions!$AB$10/100)/AI61)^3+
Assumptions!$S$8*(AG61/(AO61*Assumptions!$AB$10/100)/AI61)^2+
Assumptions!$S$9*(AG61/(AO61*Assumptions!$AB$10/100)/AI61)+
Assumptions!$S$10),"")</f>
        <v/>
      </c>
      <c r="AO61" s="95" t="str">
        <f>IFERROR(
Assumptions!$AD$8*LN(S61)^2+
Assumptions!$AE$8*LN(R61)*LN(S61)+
Assumptions!$AF$8*LN(R61)^2+
Assumptions!$AG$8*LN(S61)+
Assumptions!$AH$8*LN(R61)-
(IF(Q61=1800,
VLOOKUP(C61,Assumptions!$AA$13:$AC$17,3),
IF(Q61=3600,
VLOOKUP(C61,Assumptions!$AA$18:$AC$22,3),
""))+Assumptions!$AI$8),
"")</f>
        <v/>
      </c>
      <c r="AP61" s="96" t="str">
        <f>IFERROR(
Assumptions!$D$11*(W61/(Assumptions!$AB$9*AO61/100)+AL61)+
Assumptions!$D$10*(AB61/(Assumptions!$AB$8*AO61/100)+AM61)+
Assumptions!$D$12*(AG61/(Assumptions!$AB$10*AO61/100)+AN61),
"")</f>
        <v/>
      </c>
      <c r="AQ61" s="76" t="str">
        <f>IFERROR(
(U61+V61)*Assumptions!$D$11+
(Z61+AA61)*Assumptions!$D$10+
(AE61+AF61)*Assumptions!$D$12,
"")</f>
        <v/>
      </c>
      <c r="AR61" s="104" t="str">
        <f t="shared" si="14"/>
        <v/>
      </c>
      <c r="AS61" s="103" t="str">
        <f t="shared" si="15"/>
        <v/>
      </c>
      <c r="AT61" s="92"/>
    </row>
    <row r="62" spans="1:46" x14ac:dyDescent="0.25">
      <c r="A62" s="264"/>
      <c r="B62" s="265"/>
      <c r="C62" s="265"/>
      <c r="D62" s="265"/>
      <c r="E62" s="266"/>
      <c r="F62" s="270"/>
      <c r="G62" s="271"/>
      <c r="H62" s="271"/>
      <c r="I62" s="272"/>
      <c r="J62" s="270"/>
      <c r="K62" s="271"/>
      <c r="L62" s="272"/>
      <c r="M62" s="270"/>
      <c r="N62" s="271"/>
      <c r="O62" s="272"/>
      <c r="P62" s="97" t="str">
        <f t="shared" si="0"/>
        <v/>
      </c>
      <c r="Q62" s="84" t="str">
        <f t="shared" si="2"/>
        <v/>
      </c>
      <c r="R62" s="101" t="str">
        <f t="shared" si="3"/>
        <v/>
      </c>
      <c r="S62" s="100" t="str">
        <f t="shared" si="4"/>
        <v/>
      </c>
      <c r="T62" s="95" t="str">
        <f t="shared" si="5"/>
        <v/>
      </c>
      <c r="U62" s="95" t="str">
        <f t="shared" si="6"/>
        <v/>
      </c>
      <c r="V62" s="95" t="str">
        <f>IFERROR(AK62*
(Assumptions!$S$7*(U62/AI62)^3+
Assumptions!$S$8*(U62/AI62)^2+
Assumptions!$S$9*(U62/AI62)+
Assumptions!$S$10),"")</f>
        <v/>
      </c>
      <c r="W62" s="96" t="str">
        <f>IFERROR(S62*T62*Assumptions!$B$15/3956,"")</f>
        <v/>
      </c>
      <c r="X62" s="102" t="str">
        <f t="shared" si="7"/>
        <v/>
      </c>
      <c r="Y62" s="95" t="str">
        <f t="shared" si="8"/>
        <v/>
      </c>
      <c r="Z62" s="95" t="str">
        <f t="shared" si="9"/>
        <v/>
      </c>
      <c r="AA62" s="95" t="str">
        <f>IFERROR(AK62*
(Assumptions!$S$7*(Z62/AI62)^3+
Assumptions!$S$8*(Z62/AI62)^2+
Assumptions!$S$9*(Z62/AI62)+
Assumptions!$S$10),"")</f>
        <v/>
      </c>
      <c r="AB62" s="96" t="str">
        <f>IFERROR(X62*Y62*Assumptions!$B$15/3956,"")</f>
        <v/>
      </c>
      <c r="AC62" s="102" t="str">
        <f t="shared" si="10"/>
        <v/>
      </c>
      <c r="AD62" s="95" t="str">
        <f t="shared" si="11"/>
        <v/>
      </c>
      <c r="AE62" s="95" t="str">
        <f t="shared" si="12"/>
        <v/>
      </c>
      <c r="AF62" s="95" t="str">
        <f>IFERROR(AK62*
(Assumptions!$S$7*(AE62/AI62)^3+
Assumptions!$S$8*(AE62/AI62)^2+
Assumptions!$S$9*(AE62/AI62)+
Assumptions!$S$10),"")</f>
        <v/>
      </c>
      <c r="AG62" s="96" t="str">
        <f>IFERROR(AC62*AD62*Assumptions!$B$15/3956,"")</f>
        <v/>
      </c>
      <c r="AH62" s="94" t="str">
        <f t="shared" si="16"/>
        <v/>
      </c>
      <c r="AI62" s="93" t="str">
        <f>IFERROR(
IF(C62="VTS",
INDEX(Assumptions!$I$38:$I$57,MATCH(AH62,Assumptions!$I$38:$I$57,-1)),
INDEX(Assumptions!$I$13:$I$32,MATCH(AH62,Assumptions!$I$13:$I$32,-1))),
"")</f>
        <v/>
      </c>
      <c r="AJ62" s="96" t="str">
        <f>IFERROR(
IF(C62="VTS",
VLOOKUP(AI62,Assumptions!$I$38:$K$57,MATCH(P62,Assumptions!$I$37:$K$37,0),FALSE),
VLOOKUP(AI62,Assumptions!$I$13:$K$32,MATCH(P62,Assumptions!$I$12:$K$12,0),FALSE)),
"")</f>
        <v/>
      </c>
      <c r="AK62" s="99" t="str">
        <f t="shared" si="13"/>
        <v/>
      </c>
      <c r="AL62" s="95" t="str">
        <f>IFERROR(AK62*
(Assumptions!$S$7*(W62/(AO62*Assumptions!$AB$9/100)/AI62)^3+
Assumptions!$S$8*(W62/(AO62*Assumptions!$AB$9/100)/AI62)^2+
Assumptions!$S$9*(W62/(AO62*Assumptions!$AB$9/100)/AI62)+
Assumptions!$S$10),"")</f>
        <v/>
      </c>
      <c r="AM62" s="95" t="str">
        <f>IFERROR(AK62*
(Assumptions!$S$7*(AB62/(AO62*Assumptions!$AB$8/100)/AI62)^3+
Assumptions!$S$8*(AB62/(AO62*Assumptions!$AB$8/100)/AI62)^2+
Assumptions!$S$9*(AB62/(AO62*Assumptions!$AB$8/100)/AI62)+
Assumptions!$S$10),"")</f>
        <v/>
      </c>
      <c r="AN62" s="95" t="str">
        <f>IFERROR(AK62*
(Assumptions!$S$7*(AG62/(AO62*Assumptions!$AB$10/100)/AI62)^3+
Assumptions!$S$8*(AG62/(AO62*Assumptions!$AB$10/100)/AI62)^2+
Assumptions!$S$9*(AG62/(AO62*Assumptions!$AB$10/100)/AI62)+
Assumptions!$S$10),"")</f>
        <v/>
      </c>
      <c r="AO62" s="95" t="str">
        <f>IFERROR(
Assumptions!$AD$8*LN(S62)^2+
Assumptions!$AE$8*LN(R62)*LN(S62)+
Assumptions!$AF$8*LN(R62)^2+
Assumptions!$AG$8*LN(S62)+
Assumptions!$AH$8*LN(R62)-
(IF(Q62=1800,
VLOOKUP(C62,Assumptions!$AA$13:$AC$17,3),
IF(Q62=3600,
VLOOKUP(C62,Assumptions!$AA$18:$AC$22,3),
""))+Assumptions!$AI$8),
"")</f>
        <v/>
      </c>
      <c r="AP62" s="96" t="str">
        <f>IFERROR(
Assumptions!$D$11*(W62/(Assumptions!$AB$9*AO62/100)+AL62)+
Assumptions!$D$10*(AB62/(Assumptions!$AB$8*AO62/100)+AM62)+
Assumptions!$D$12*(AG62/(Assumptions!$AB$10*AO62/100)+AN62),
"")</f>
        <v/>
      </c>
      <c r="AQ62" s="76" t="str">
        <f>IFERROR(
(U62+V62)*Assumptions!$D$11+
(Z62+AA62)*Assumptions!$D$10+
(AE62+AF62)*Assumptions!$D$12,
"")</f>
        <v/>
      </c>
      <c r="AR62" s="104" t="str">
        <f t="shared" si="14"/>
        <v/>
      </c>
      <c r="AS62" s="103" t="str">
        <f t="shared" si="15"/>
        <v/>
      </c>
      <c r="AT62" s="92"/>
    </row>
    <row r="63" spans="1:46" x14ac:dyDescent="0.25">
      <c r="A63" s="264"/>
      <c r="B63" s="265"/>
      <c r="C63" s="265"/>
      <c r="D63" s="265"/>
      <c r="E63" s="266"/>
      <c r="F63" s="270"/>
      <c r="G63" s="271"/>
      <c r="H63" s="271"/>
      <c r="I63" s="272"/>
      <c r="J63" s="270"/>
      <c r="K63" s="271"/>
      <c r="L63" s="272"/>
      <c r="M63" s="270"/>
      <c r="N63" s="271"/>
      <c r="O63" s="272"/>
      <c r="P63" s="97" t="str">
        <f t="shared" si="0"/>
        <v/>
      </c>
      <c r="Q63" s="84" t="str">
        <f t="shared" si="2"/>
        <v/>
      </c>
      <c r="R63" s="101" t="str">
        <f t="shared" si="3"/>
        <v/>
      </c>
      <c r="S63" s="100" t="str">
        <f t="shared" si="4"/>
        <v/>
      </c>
      <c r="T63" s="95" t="str">
        <f t="shared" si="5"/>
        <v/>
      </c>
      <c r="U63" s="95" t="str">
        <f t="shared" si="6"/>
        <v/>
      </c>
      <c r="V63" s="95" t="str">
        <f>IFERROR(AK63*
(Assumptions!$S$7*(U63/AI63)^3+
Assumptions!$S$8*(U63/AI63)^2+
Assumptions!$S$9*(U63/AI63)+
Assumptions!$S$10),"")</f>
        <v/>
      </c>
      <c r="W63" s="96" t="str">
        <f>IFERROR(S63*T63*Assumptions!$B$15/3956,"")</f>
        <v/>
      </c>
      <c r="X63" s="102" t="str">
        <f t="shared" si="7"/>
        <v/>
      </c>
      <c r="Y63" s="95" t="str">
        <f t="shared" si="8"/>
        <v/>
      </c>
      <c r="Z63" s="95" t="str">
        <f t="shared" si="9"/>
        <v/>
      </c>
      <c r="AA63" s="95" t="str">
        <f>IFERROR(AK63*
(Assumptions!$S$7*(Z63/AI63)^3+
Assumptions!$S$8*(Z63/AI63)^2+
Assumptions!$S$9*(Z63/AI63)+
Assumptions!$S$10),"")</f>
        <v/>
      </c>
      <c r="AB63" s="96" t="str">
        <f>IFERROR(X63*Y63*Assumptions!$B$15/3956,"")</f>
        <v/>
      </c>
      <c r="AC63" s="102" t="str">
        <f t="shared" si="10"/>
        <v/>
      </c>
      <c r="AD63" s="95" t="str">
        <f t="shared" si="11"/>
        <v/>
      </c>
      <c r="AE63" s="95" t="str">
        <f t="shared" si="12"/>
        <v/>
      </c>
      <c r="AF63" s="95" t="str">
        <f>IFERROR(AK63*
(Assumptions!$S$7*(AE63/AI63)^3+
Assumptions!$S$8*(AE63/AI63)^2+
Assumptions!$S$9*(AE63/AI63)+
Assumptions!$S$10),"")</f>
        <v/>
      </c>
      <c r="AG63" s="96" t="str">
        <f>IFERROR(AC63*AD63*Assumptions!$B$15/3956,"")</f>
        <v/>
      </c>
      <c r="AH63" s="94" t="str">
        <f t="shared" si="16"/>
        <v/>
      </c>
      <c r="AI63" s="93" t="str">
        <f>IFERROR(
IF(C63="VTS",
INDEX(Assumptions!$I$38:$I$57,MATCH(AH63,Assumptions!$I$38:$I$57,-1)),
INDEX(Assumptions!$I$13:$I$32,MATCH(AH63,Assumptions!$I$13:$I$32,-1))),
"")</f>
        <v/>
      </c>
      <c r="AJ63" s="96" t="str">
        <f>IFERROR(
IF(C63="VTS",
VLOOKUP(AI63,Assumptions!$I$38:$K$57,MATCH(P63,Assumptions!$I$37:$K$37,0),FALSE),
VLOOKUP(AI63,Assumptions!$I$13:$K$32,MATCH(P63,Assumptions!$I$12:$K$12,0),FALSE)),
"")</f>
        <v/>
      </c>
      <c r="AK63" s="99" t="str">
        <f t="shared" si="13"/>
        <v/>
      </c>
      <c r="AL63" s="95" t="str">
        <f>IFERROR(AK63*
(Assumptions!$S$7*(W63/(AO63*Assumptions!$AB$9/100)/AI63)^3+
Assumptions!$S$8*(W63/(AO63*Assumptions!$AB$9/100)/AI63)^2+
Assumptions!$S$9*(W63/(AO63*Assumptions!$AB$9/100)/AI63)+
Assumptions!$S$10),"")</f>
        <v/>
      </c>
      <c r="AM63" s="95" t="str">
        <f>IFERROR(AK63*
(Assumptions!$S$7*(AB63/(AO63*Assumptions!$AB$8/100)/AI63)^3+
Assumptions!$S$8*(AB63/(AO63*Assumptions!$AB$8/100)/AI63)^2+
Assumptions!$S$9*(AB63/(AO63*Assumptions!$AB$8/100)/AI63)+
Assumptions!$S$10),"")</f>
        <v/>
      </c>
      <c r="AN63" s="95" t="str">
        <f>IFERROR(AK63*
(Assumptions!$S$7*(AG63/(AO63*Assumptions!$AB$10/100)/AI63)^3+
Assumptions!$S$8*(AG63/(AO63*Assumptions!$AB$10/100)/AI63)^2+
Assumptions!$S$9*(AG63/(AO63*Assumptions!$AB$10/100)/AI63)+
Assumptions!$S$10),"")</f>
        <v/>
      </c>
      <c r="AO63" s="95" t="str">
        <f>IFERROR(
Assumptions!$AD$8*LN(S63)^2+
Assumptions!$AE$8*LN(R63)*LN(S63)+
Assumptions!$AF$8*LN(R63)^2+
Assumptions!$AG$8*LN(S63)+
Assumptions!$AH$8*LN(R63)-
(IF(Q63=1800,
VLOOKUP(C63,Assumptions!$AA$13:$AC$17,3),
IF(Q63=3600,
VLOOKUP(C63,Assumptions!$AA$18:$AC$22,3),
""))+Assumptions!$AI$8),
"")</f>
        <v/>
      </c>
      <c r="AP63" s="96" t="str">
        <f>IFERROR(
Assumptions!$D$11*(W63/(Assumptions!$AB$9*AO63/100)+AL63)+
Assumptions!$D$10*(AB63/(Assumptions!$AB$8*AO63/100)+AM63)+
Assumptions!$D$12*(AG63/(Assumptions!$AB$10*AO63/100)+AN63),
"")</f>
        <v/>
      </c>
      <c r="AQ63" s="76" t="str">
        <f>IFERROR(
(U63+V63)*Assumptions!$D$11+
(Z63+AA63)*Assumptions!$D$10+
(AE63+AF63)*Assumptions!$D$12,
"")</f>
        <v/>
      </c>
      <c r="AR63" s="104" t="str">
        <f t="shared" si="14"/>
        <v/>
      </c>
      <c r="AS63" s="103" t="str">
        <f t="shared" si="15"/>
        <v/>
      </c>
      <c r="AT63" s="92"/>
    </row>
    <row r="64" spans="1:46" x14ac:dyDescent="0.25">
      <c r="A64" s="264"/>
      <c r="B64" s="265"/>
      <c r="C64" s="265"/>
      <c r="D64" s="265"/>
      <c r="E64" s="266"/>
      <c r="F64" s="270"/>
      <c r="G64" s="271"/>
      <c r="H64" s="271"/>
      <c r="I64" s="272"/>
      <c r="J64" s="270"/>
      <c r="K64" s="271"/>
      <c r="L64" s="272"/>
      <c r="M64" s="270"/>
      <c r="N64" s="271"/>
      <c r="O64" s="272"/>
      <c r="P64" s="97" t="str">
        <f t="shared" si="0"/>
        <v/>
      </c>
      <c r="Q64" s="84" t="str">
        <f t="shared" si="2"/>
        <v/>
      </c>
      <c r="R64" s="101" t="str">
        <f t="shared" si="3"/>
        <v/>
      </c>
      <c r="S64" s="100" t="str">
        <f t="shared" si="4"/>
        <v/>
      </c>
      <c r="T64" s="95" t="str">
        <f t="shared" si="5"/>
        <v/>
      </c>
      <c r="U64" s="95" t="str">
        <f t="shared" si="6"/>
        <v/>
      </c>
      <c r="V64" s="95" t="str">
        <f>IFERROR(AK64*
(Assumptions!$S$7*(U64/AI64)^3+
Assumptions!$S$8*(U64/AI64)^2+
Assumptions!$S$9*(U64/AI64)+
Assumptions!$S$10),"")</f>
        <v/>
      </c>
      <c r="W64" s="96" t="str">
        <f>IFERROR(S64*T64*Assumptions!$B$15/3956,"")</f>
        <v/>
      </c>
      <c r="X64" s="102" t="str">
        <f t="shared" si="7"/>
        <v/>
      </c>
      <c r="Y64" s="95" t="str">
        <f t="shared" si="8"/>
        <v/>
      </c>
      <c r="Z64" s="95" t="str">
        <f t="shared" si="9"/>
        <v/>
      </c>
      <c r="AA64" s="95" t="str">
        <f>IFERROR(AK64*
(Assumptions!$S$7*(Z64/AI64)^3+
Assumptions!$S$8*(Z64/AI64)^2+
Assumptions!$S$9*(Z64/AI64)+
Assumptions!$S$10),"")</f>
        <v/>
      </c>
      <c r="AB64" s="96" t="str">
        <f>IFERROR(X64*Y64*Assumptions!$B$15/3956,"")</f>
        <v/>
      </c>
      <c r="AC64" s="102" t="str">
        <f t="shared" si="10"/>
        <v/>
      </c>
      <c r="AD64" s="95" t="str">
        <f t="shared" si="11"/>
        <v/>
      </c>
      <c r="AE64" s="95" t="str">
        <f t="shared" si="12"/>
        <v/>
      </c>
      <c r="AF64" s="95" t="str">
        <f>IFERROR(AK64*
(Assumptions!$S$7*(AE64/AI64)^3+
Assumptions!$S$8*(AE64/AI64)^2+
Assumptions!$S$9*(AE64/AI64)+
Assumptions!$S$10),"")</f>
        <v/>
      </c>
      <c r="AG64" s="96" t="str">
        <f>IFERROR(AC64*AD64*Assumptions!$B$15/3956,"")</f>
        <v/>
      </c>
      <c r="AH64" s="94" t="str">
        <f t="shared" si="16"/>
        <v/>
      </c>
      <c r="AI64" s="93" t="str">
        <f>IFERROR(
IF(C64="VTS",
INDEX(Assumptions!$I$38:$I$57,MATCH(AH64,Assumptions!$I$38:$I$57,-1)),
INDEX(Assumptions!$I$13:$I$32,MATCH(AH64,Assumptions!$I$13:$I$32,-1))),
"")</f>
        <v/>
      </c>
      <c r="AJ64" s="96" t="str">
        <f>IFERROR(
IF(C64="VTS",
VLOOKUP(AI64,Assumptions!$I$38:$K$57,MATCH(P64,Assumptions!$I$37:$K$37,0),FALSE),
VLOOKUP(AI64,Assumptions!$I$13:$K$32,MATCH(P64,Assumptions!$I$12:$K$12,0),FALSE)),
"")</f>
        <v/>
      </c>
      <c r="AK64" s="99" t="str">
        <f t="shared" si="13"/>
        <v/>
      </c>
      <c r="AL64" s="95" t="str">
        <f>IFERROR(AK64*
(Assumptions!$S$7*(W64/(AO64*Assumptions!$AB$9/100)/AI64)^3+
Assumptions!$S$8*(W64/(AO64*Assumptions!$AB$9/100)/AI64)^2+
Assumptions!$S$9*(W64/(AO64*Assumptions!$AB$9/100)/AI64)+
Assumptions!$S$10),"")</f>
        <v/>
      </c>
      <c r="AM64" s="95" t="str">
        <f>IFERROR(AK64*
(Assumptions!$S$7*(AB64/(AO64*Assumptions!$AB$8/100)/AI64)^3+
Assumptions!$S$8*(AB64/(AO64*Assumptions!$AB$8/100)/AI64)^2+
Assumptions!$S$9*(AB64/(AO64*Assumptions!$AB$8/100)/AI64)+
Assumptions!$S$10),"")</f>
        <v/>
      </c>
      <c r="AN64" s="95" t="str">
        <f>IFERROR(AK64*
(Assumptions!$S$7*(AG64/(AO64*Assumptions!$AB$10/100)/AI64)^3+
Assumptions!$S$8*(AG64/(AO64*Assumptions!$AB$10/100)/AI64)^2+
Assumptions!$S$9*(AG64/(AO64*Assumptions!$AB$10/100)/AI64)+
Assumptions!$S$10),"")</f>
        <v/>
      </c>
      <c r="AO64" s="95" t="str">
        <f>IFERROR(
Assumptions!$AD$8*LN(S64)^2+
Assumptions!$AE$8*LN(R64)*LN(S64)+
Assumptions!$AF$8*LN(R64)^2+
Assumptions!$AG$8*LN(S64)+
Assumptions!$AH$8*LN(R64)-
(IF(Q64=1800,
VLOOKUP(C64,Assumptions!$AA$13:$AC$17,3),
IF(Q64=3600,
VLOOKUP(C64,Assumptions!$AA$18:$AC$22,3),
""))+Assumptions!$AI$8),
"")</f>
        <v/>
      </c>
      <c r="AP64" s="96" t="str">
        <f>IFERROR(
Assumptions!$D$11*(W64/(Assumptions!$AB$9*AO64/100)+AL64)+
Assumptions!$D$10*(AB64/(Assumptions!$AB$8*AO64/100)+AM64)+
Assumptions!$D$12*(AG64/(Assumptions!$AB$10*AO64/100)+AN64),
"")</f>
        <v/>
      </c>
      <c r="AQ64" s="76" t="str">
        <f>IFERROR(
(U64+V64)*Assumptions!$D$11+
(Z64+AA64)*Assumptions!$D$10+
(AE64+AF64)*Assumptions!$D$12,
"")</f>
        <v/>
      </c>
      <c r="AR64" s="104" t="str">
        <f t="shared" si="14"/>
        <v/>
      </c>
      <c r="AS64" s="103" t="str">
        <f t="shared" si="15"/>
        <v/>
      </c>
      <c r="AT64" s="92"/>
    </row>
    <row r="65" spans="1:46" x14ac:dyDescent="0.25">
      <c r="A65" s="264"/>
      <c r="B65" s="265"/>
      <c r="C65" s="265"/>
      <c r="D65" s="265"/>
      <c r="E65" s="266"/>
      <c r="F65" s="270"/>
      <c r="G65" s="271"/>
      <c r="H65" s="271"/>
      <c r="I65" s="272"/>
      <c r="J65" s="270"/>
      <c r="K65" s="271"/>
      <c r="L65" s="272"/>
      <c r="M65" s="270"/>
      <c r="N65" s="271"/>
      <c r="O65" s="272"/>
      <c r="P65" s="97" t="str">
        <f t="shared" si="0"/>
        <v/>
      </c>
      <c r="Q65" s="84" t="str">
        <f t="shared" si="2"/>
        <v/>
      </c>
      <c r="R65" s="101" t="str">
        <f t="shared" si="3"/>
        <v/>
      </c>
      <c r="S65" s="100" t="str">
        <f t="shared" si="4"/>
        <v/>
      </c>
      <c r="T65" s="95" t="str">
        <f t="shared" si="5"/>
        <v/>
      </c>
      <c r="U65" s="95" t="str">
        <f t="shared" si="6"/>
        <v/>
      </c>
      <c r="V65" s="95" t="str">
        <f>IFERROR(AK65*
(Assumptions!$S$7*(U65/AI65)^3+
Assumptions!$S$8*(U65/AI65)^2+
Assumptions!$S$9*(U65/AI65)+
Assumptions!$S$10),"")</f>
        <v/>
      </c>
      <c r="W65" s="96" t="str">
        <f>IFERROR(S65*T65*Assumptions!$B$15/3956,"")</f>
        <v/>
      </c>
      <c r="X65" s="102" t="str">
        <f t="shared" si="7"/>
        <v/>
      </c>
      <c r="Y65" s="95" t="str">
        <f t="shared" si="8"/>
        <v/>
      </c>
      <c r="Z65" s="95" t="str">
        <f t="shared" si="9"/>
        <v/>
      </c>
      <c r="AA65" s="95" t="str">
        <f>IFERROR(AK65*
(Assumptions!$S$7*(Z65/AI65)^3+
Assumptions!$S$8*(Z65/AI65)^2+
Assumptions!$S$9*(Z65/AI65)+
Assumptions!$S$10),"")</f>
        <v/>
      </c>
      <c r="AB65" s="96" t="str">
        <f>IFERROR(X65*Y65*Assumptions!$B$15/3956,"")</f>
        <v/>
      </c>
      <c r="AC65" s="102" t="str">
        <f t="shared" si="10"/>
        <v/>
      </c>
      <c r="AD65" s="95" t="str">
        <f t="shared" si="11"/>
        <v/>
      </c>
      <c r="AE65" s="95" t="str">
        <f t="shared" si="12"/>
        <v/>
      </c>
      <c r="AF65" s="95" t="str">
        <f>IFERROR(AK65*
(Assumptions!$S$7*(AE65/AI65)^3+
Assumptions!$S$8*(AE65/AI65)^2+
Assumptions!$S$9*(AE65/AI65)+
Assumptions!$S$10),"")</f>
        <v/>
      </c>
      <c r="AG65" s="96" t="str">
        <f>IFERROR(AC65*AD65*Assumptions!$B$15/3956,"")</f>
        <v/>
      </c>
      <c r="AH65" s="94" t="str">
        <f t="shared" si="16"/>
        <v/>
      </c>
      <c r="AI65" s="93" t="str">
        <f>IFERROR(
IF(C65="VTS",
INDEX(Assumptions!$I$38:$I$57,MATCH(AH65,Assumptions!$I$38:$I$57,-1)),
INDEX(Assumptions!$I$13:$I$32,MATCH(AH65,Assumptions!$I$13:$I$32,-1))),
"")</f>
        <v/>
      </c>
      <c r="AJ65" s="96" t="str">
        <f>IFERROR(
IF(C65="VTS",
VLOOKUP(AI65,Assumptions!$I$38:$K$57,MATCH(P65,Assumptions!$I$37:$K$37,0),FALSE),
VLOOKUP(AI65,Assumptions!$I$13:$K$32,MATCH(P65,Assumptions!$I$12:$K$12,0),FALSE)),
"")</f>
        <v/>
      </c>
      <c r="AK65" s="99" t="str">
        <f t="shared" si="13"/>
        <v/>
      </c>
      <c r="AL65" s="95" t="str">
        <f>IFERROR(AK65*
(Assumptions!$S$7*(W65/(AO65*Assumptions!$AB$9/100)/AI65)^3+
Assumptions!$S$8*(W65/(AO65*Assumptions!$AB$9/100)/AI65)^2+
Assumptions!$S$9*(W65/(AO65*Assumptions!$AB$9/100)/AI65)+
Assumptions!$S$10),"")</f>
        <v/>
      </c>
      <c r="AM65" s="95" t="str">
        <f>IFERROR(AK65*
(Assumptions!$S$7*(AB65/(AO65*Assumptions!$AB$8/100)/AI65)^3+
Assumptions!$S$8*(AB65/(AO65*Assumptions!$AB$8/100)/AI65)^2+
Assumptions!$S$9*(AB65/(AO65*Assumptions!$AB$8/100)/AI65)+
Assumptions!$S$10),"")</f>
        <v/>
      </c>
      <c r="AN65" s="95" t="str">
        <f>IFERROR(AK65*
(Assumptions!$S$7*(AG65/(AO65*Assumptions!$AB$10/100)/AI65)^3+
Assumptions!$S$8*(AG65/(AO65*Assumptions!$AB$10/100)/AI65)^2+
Assumptions!$S$9*(AG65/(AO65*Assumptions!$AB$10/100)/AI65)+
Assumptions!$S$10),"")</f>
        <v/>
      </c>
      <c r="AO65" s="95" t="str">
        <f>IFERROR(
Assumptions!$AD$8*LN(S65)^2+
Assumptions!$AE$8*LN(R65)*LN(S65)+
Assumptions!$AF$8*LN(R65)^2+
Assumptions!$AG$8*LN(S65)+
Assumptions!$AH$8*LN(R65)-
(IF(Q65=1800,
VLOOKUP(C65,Assumptions!$AA$13:$AC$17,3),
IF(Q65=3600,
VLOOKUP(C65,Assumptions!$AA$18:$AC$22,3),
""))+Assumptions!$AI$8),
"")</f>
        <v/>
      </c>
      <c r="AP65" s="96" t="str">
        <f>IFERROR(
Assumptions!$D$11*(W65/(Assumptions!$AB$9*AO65/100)+AL65)+
Assumptions!$D$10*(AB65/(Assumptions!$AB$8*AO65/100)+AM65)+
Assumptions!$D$12*(AG65/(Assumptions!$AB$10*AO65/100)+AN65),
"")</f>
        <v/>
      </c>
      <c r="AQ65" s="76" t="str">
        <f>IFERROR(
(U65+V65)*Assumptions!$D$11+
(Z65+AA65)*Assumptions!$D$10+
(AE65+AF65)*Assumptions!$D$12,
"")</f>
        <v/>
      </c>
      <c r="AR65" s="104" t="str">
        <f t="shared" si="14"/>
        <v/>
      </c>
      <c r="AS65" s="103" t="str">
        <f t="shared" si="15"/>
        <v/>
      </c>
      <c r="AT65" s="92"/>
    </row>
    <row r="66" spans="1:46" x14ac:dyDescent="0.25">
      <c r="A66" s="264"/>
      <c r="B66" s="265"/>
      <c r="C66" s="265"/>
      <c r="D66" s="265"/>
      <c r="E66" s="266"/>
      <c r="F66" s="270"/>
      <c r="G66" s="271"/>
      <c r="H66" s="271"/>
      <c r="I66" s="272"/>
      <c r="J66" s="270"/>
      <c r="K66" s="271"/>
      <c r="L66" s="272"/>
      <c r="M66" s="270"/>
      <c r="N66" s="271"/>
      <c r="O66" s="272"/>
      <c r="P66" s="97" t="str">
        <f t="shared" si="0"/>
        <v/>
      </c>
      <c r="Q66" s="84" t="str">
        <f t="shared" si="2"/>
        <v/>
      </c>
      <c r="R66" s="101" t="str">
        <f t="shared" si="3"/>
        <v/>
      </c>
      <c r="S66" s="100" t="str">
        <f t="shared" si="4"/>
        <v/>
      </c>
      <c r="T66" s="95" t="str">
        <f t="shared" si="5"/>
        <v/>
      </c>
      <c r="U66" s="95" t="str">
        <f t="shared" si="6"/>
        <v/>
      </c>
      <c r="V66" s="95" t="str">
        <f>IFERROR(AK66*
(Assumptions!$S$7*(U66/AI66)^3+
Assumptions!$S$8*(U66/AI66)^2+
Assumptions!$S$9*(U66/AI66)+
Assumptions!$S$10),"")</f>
        <v/>
      </c>
      <c r="W66" s="96" t="str">
        <f>IFERROR(S66*T66*Assumptions!$B$15/3956,"")</f>
        <v/>
      </c>
      <c r="X66" s="102" t="str">
        <f t="shared" si="7"/>
        <v/>
      </c>
      <c r="Y66" s="95" t="str">
        <f t="shared" si="8"/>
        <v/>
      </c>
      <c r="Z66" s="95" t="str">
        <f t="shared" si="9"/>
        <v/>
      </c>
      <c r="AA66" s="95" t="str">
        <f>IFERROR(AK66*
(Assumptions!$S$7*(Z66/AI66)^3+
Assumptions!$S$8*(Z66/AI66)^2+
Assumptions!$S$9*(Z66/AI66)+
Assumptions!$S$10),"")</f>
        <v/>
      </c>
      <c r="AB66" s="96" t="str">
        <f>IFERROR(X66*Y66*Assumptions!$B$15/3956,"")</f>
        <v/>
      </c>
      <c r="AC66" s="102" t="str">
        <f t="shared" si="10"/>
        <v/>
      </c>
      <c r="AD66" s="95" t="str">
        <f t="shared" si="11"/>
        <v/>
      </c>
      <c r="AE66" s="95" t="str">
        <f t="shared" si="12"/>
        <v/>
      </c>
      <c r="AF66" s="95" t="str">
        <f>IFERROR(AK66*
(Assumptions!$S$7*(AE66/AI66)^3+
Assumptions!$S$8*(AE66/AI66)^2+
Assumptions!$S$9*(AE66/AI66)+
Assumptions!$S$10),"")</f>
        <v/>
      </c>
      <c r="AG66" s="96" t="str">
        <f>IFERROR(AC66*AD66*Assumptions!$B$15/3956,"")</f>
        <v/>
      </c>
      <c r="AH66" s="94" t="str">
        <f t="shared" si="16"/>
        <v/>
      </c>
      <c r="AI66" s="93" t="str">
        <f>IFERROR(
IF(C66="VTS",
INDEX(Assumptions!$I$38:$I$57,MATCH(AH66,Assumptions!$I$38:$I$57,-1)),
INDEX(Assumptions!$I$13:$I$32,MATCH(AH66,Assumptions!$I$13:$I$32,-1))),
"")</f>
        <v/>
      </c>
      <c r="AJ66" s="96" t="str">
        <f>IFERROR(
IF(C66="VTS",
VLOOKUP(AI66,Assumptions!$I$38:$K$57,MATCH(P66,Assumptions!$I$37:$K$37,0),FALSE),
VLOOKUP(AI66,Assumptions!$I$13:$K$32,MATCH(P66,Assumptions!$I$12:$K$12,0),FALSE)),
"")</f>
        <v/>
      </c>
      <c r="AK66" s="99" t="str">
        <f t="shared" si="13"/>
        <v/>
      </c>
      <c r="AL66" s="95" t="str">
        <f>IFERROR(AK66*
(Assumptions!$S$7*(W66/(AO66*Assumptions!$AB$9/100)/AI66)^3+
Assumptions!$S$8*(W66/(AO66*Assumptions!$AB$9/100)/AI66)^2+
Assumptions!$S$9*(W66/(AO66*Assumptions!$AB$9/100)/AI66)+
Assumptions!$S$10),"")</f>
        <v/>
      </c>
      <c r="AM66" s="95" t="str">
        <f>IFERROR(AK66*
(Assumptions!$S$7*(AB66/(AO66*Assumptions!$AB$8/100)/AI66)^3+
Assumptions!$S$8*(AB66/(AO66*Assumptions!$AB$8/100)/AI66)^2+
Assumptions!$S$9*(AB66/(AO66*Assumptions!$AB$8/100)/AI66)+
Assumptions!$S$10),"")</f>
        <v/>
      </c>
      <c r="AN66" s="95" t="str">
        <f>IFERROR(AK66*
(Assumptions!$S$7*(AG66/(AO66*Assumptions!$AB$10/100)/AI66)^3+
Assumptions!$S$8*(AG66/(AO66*Assumptions!$AB$10/100)/AI66)^2+
Assumptions!$S$9*(AG66/(AO66*Assumptions!$AB$10/100)/AI66)+
Assumptions!$S$10),"")</f>
        <v/>
      </c>
      <c r="AO66" s="95" t="str">
        <f>IFERROR(
Assumptions!$AD$8*LN(S66)^2+
Assumptions!$AE$8*LN(R66)*LN(S66)+
Assumptions!$AF$8*LN(R66)^2+
Assumptions!$AG$8*LN(S66)+
Assumptions!$AH$8*LN(R66)-
(IF(Q66=1800,
VLOOKUP(C66,Assumptions!$AA$13:$AC$17,3),
IF(Q66=3600,
VLOOKUP(C66,Assumptions!$AA$18:$AC$22,3),
""))+Assumptions!$AI$8),
"")</f>
        <v/>
      </c>
      <c r="AP66" s="96" t="str">
        <f>IFERROR(
Assumptions!$D$11*(W66/(Assumptions!$AB$9*AO66/100)+AL66)+
Assumptions!$D$10*(AB66/(Assumptions!$AB$8*AO66/100)+AM66)+
Assumptions!$D$12*(AG66/(Assumptions!$AB$10*AO66/100)+AN66),
"")</f>
        <v/>
      </c>
      <c r="AQ66" s="76" t="str">
        <f>IFERROR(
(U66+V66)*Assumptions!$D$11+
(Z66+AA66)*Assumptions!$D$10+
(AE66+AF66)*Assumptions!$D$12,
"")</f>
        <v/>
      </c>
      <c r="AR66" s="104" t="str">
        <f t="shared" si="14"/>
        <v/>
      </c>
      <c r="AS66" s="103" t="str">
        <f t="shared" si="15"/>
        <v/>
      </c>
      <c r="AT66" s="92"/>
    </row>
    <row r="67" spans="1:46" x14ac:dyDescent="0.25">
      <c r="A67" s="264"/>
      <c r="B67" s="265"/>
      <c r="C67" s="265"/>
      <c r="D67" s="265"/>
      <c r="E67" s="266"/>
      <c r="F67" s="270"/>
      <c r="G67" s="271"/>
      <c r="H67" s="271"/>
      <c r="I67" s="272"/>
      <c r="J67" s="270"/>
      <c r="K67" s="271"/>
      <c r="L67" s="272"/>
      <c r="M67" s="270"/>
      <c r="N67" s="271"/>
      <c r="O67" s="272"/>
      <c r="P67" s="97" t="str">
        <f t="shared" si="0"/>
        <v/>
      </c>
      <c r="Q67" s="84" t="str">
        <f t="shared" si="2"/>
        <v/>
      </c>
      <c r="R67" s="101" t="str">
        <f t="shared" si="3"/>
        <v/>
      </c>
      <c r="S67" s="100" t="str">
        <f t="shared" si="4"/>
        <v/>
      </c>
      <c r="T67" s="95" t="str">
        <f t="shared" si="5"/>
        <v/>
      </c>
      <c r="U67" s="95" t="str">
        <f t="shared" si="6"/>
        <v/>
      </c>
      <c r="V67" s="95" t="str">
        <f>IFERROR(AK67*
(Assumptions!$S$7*(U67/AI67)^3+
Assumptions!$S$8*(U67/AI67)^2+
Assumptions!$S$9*(U67/AI67)+
Assumptions!$S$10),"")</f>
        <v/>
      </c>
      <c r="W67" s="96" t="str">
        <f>IFERROR(S67*T67*Assumptions!$B$15/3956,"")</f>
        <v/>
      </c>
      <c r="X67" s="102" t="str">
        <f t="shared" si="7"/>
        <v/>
      </c>
      <c r="Y67" s="95" t="str">
        <f t="shared" si="8"/>
        <v/>
      </c>
      <c r="Z67" s="95" t="str">
        <f t="shared" si="9"/>
        <v/>
      </c>
      <c r="AA67" s="95" t="str">
        <f>IFERROR(AK67*
(Assumptions!$S$7*(Z67/AI67)^3+
Assumptions!$S$8*(Z67/AI67)^2+
Assumptions!$S$9*(Z67/AI67)+
Assumptions!$S$10),"")</f>
        <v/>
      </c>
      <c r="AB67" s="96" t="str">
        <f>IFERROR(X67*Y67*Assumptions!$B$15/3956,"")</f>
        <v/>
      </c>
      <c r="AC67" s="102" t="str">
        <f t="shared" si="10"/>
        <v/>
      </c>
      <c r="AD67" s="95" t="str">
        <f t="shared" si="11"/>
        <v/>
      </c>
      <c r="AE67" s="95" t="str">
        <f t="shared" si="12"/>
        <v/>
      </c>
      <c r="AF67" s="95" t="str">
        <f>IFERROR(AK67*
(Assumptions!$S$7*(AE67/AI67)^3+
Assumptions!$S$8*(AE67/AI67)^2+
Assumptions!$S$9*(AE67/AI67)+
Assumptions!$S$10),"")</f>
        <v/>
      </c>
      <c r="AG67" s="96" t="str">
        <f>IFERROR(AC67*AD67*Assumptions!$B$15/3956,"")</f>
        <v/>
      </c>
      <c r="AH67" s="94" t="str">
        <f t="shared" si="16"/>
        <v/>
      </c>
      <c r="AI67" s="93" t="str">
        <f>IFERROR(
IF(C67="VTS",
INDEX(Assumptions!$I$38:$I$57,MATCH(AH67,Assumptions!$I$38:$I$57,-1)),
INDEX(Assumptions!$I$13:$I$32,MATCH(AH67,Assumptions!$I$13:$I$32,-1))),
"")</f>
        <v/>
      </c>
      <c r="AJ67" s="96" t="str">
        <f>IFERROR(
IF(C67="VTS",
VLOOKUP(AI67,Assumptions!$I$38:$K$57,MATCH(P67,Assumptions!$I$37:$K$37,0),FALSE),
VLOOKUP(AI67,Assumptions!$I$13:$K$32,MATCH(P67,Assumptions!$I$12:$K$12,0),FALSE)),
"")</f>
        <v/>
      </c>
      <c r="AK67" s="99" t="str">
        <f t="shared" si="13"/>
        <v/>
      </c>
      <c r="AL67" s="95" t="str">
        <f>IFERROR(AK67*
(Assumptions!$S$7*(W67/(AO67*Assumptions!$AB$9/100)/AI67)^3+
Assumptions!$S$8*(W67/(AO67*Assumptions!$AB$9/100)/AI67)^2+
Assumptions!$S$9*(W67/(AO67*Assumptions!$AB$9/100)/AI67)+
Assumptions!$S$10),"")</f>
        <v/>
      </c>
      <c r="AM67" s="95" t="str">
        <f>IFERROR(AK67*
(Assumptions!$S$7*(AB67/(AO67*Assumptions!$AB$8/100)/AI67)^3+
Assumptions!$S$8*(AB67/(AO67*Assumptions!$AB$8/100)/AI67)^2+
Assumptions!$S$9*(AB67/(AO67*Assumptions!$AB$8/100)/AI67)+
Assumptions!$S$10),"")</f>
        <v/>
      </c>
      <c r="AN67" s="95" t="str">
        <f>IFERROR(AK67*
(Assumptions!$S$7*(AG67/(AO67*Assumptions!$AB$10/100)/AI67)^3+
Assumptions!$S$8*(AG67/(AO67*Assumptions!$AB$10/100)/AI67)^2+
Assumptions!$S$9*(AG67/(AO67*Assumptions!$AB$10/100)/AI67)+
Assumptions!$S$10),"")</f>
        <v/>
      </c>
      <c r="AO67" s="95" t="str">
        <f>IFERROR(
Assumptions!$AD$8*LN(S67)^2+
Assumptions!$AE$8*LN(R67)*LN(S67)+
Assumptions!$AF$8*LN(R67)^2+
Assumptions!$AG$8*LN(S67)+
Assumptions!$AH$8*LN(R67)-
(IF(Q67=1800,
VLOOKUP(C67,Assumptions!$AA$13:$AC$17,3),
IF(Q67=3600,
VLOOKUP(C67,Assumptions!$AA$18:$AC$22,3),
""))+Assumptions!$AI$8),
"")</f>
        <v/>
      </c>
      <c r="AP67" s="96" t="str">
        <f>IFERROR(
Assumptions!$D$11*(W67/(Assumptions!$AB$9*AO67/100)+AL67)+
Assumptions!$D$10*(AB67/(Assumptions!$AB$8*AO67/100)+AM67)+
Assumptions!$D$12*(AG67/(Assumptions!$AB$10*AO67/100)+AN67),
"")</f>
        <v/>
      </c>
      <c r="AQ67" s="76" t="str">
        <f>IFERROR(
(U67+V67)*Assumptions!$D$11+
(Z67+AA67)*Assumptions!$D$10+
(AE67+AF67)*Assumptions!$D$12,
"")</f>
        <v/>
      </c>
      <c r="AR67" s="104" t="str">
        <f t="shared" si="14"/>
        <v/>
      </c>
      <c r="AS67" s="103" t="str">
        <f t="shared" si="15"/>
        <v/>
      </c>
      <c r="AT67" s="92"/>
    </row>
    <row r="68" spans="1:46" x14ac:dyDescent="0.25">
      <c r="A68" s="264"/>
      <c r="B68" s="265"/>
      <c r="C68" s="265"/>
      <c r="D68" s="265"/>
      <c r="E68" s="266"/>
      <c r="F68" s="270"/>
      <c r="G68" s="271"/>
      <c r="H68" s="271"/>
      <c r="I68" s="272"/>
      <c r="J68" s="270"/>
      <c r="K68" s="271"/>
      <c r="L68" s="272"/>
      <c r="M68" s="270"/>
      <c r="N68" s="271"/>
      <c r="O68" s="272"/>
      <c r="P68" s="97" t="str">
        <f t="shared" si="0"/>
        <v/>
      </c>
      <c r="Q68" s="84" t="str">
        <f t="shared" si="2"/>
        <v/>
      </c>
      <c r="R68" s="101" t="str">
        <f t="shared" si="3"/>
        <v/>
      </c>
      <c r="S68" s="100" t="str">
        <f t="shared" si="4"/>
        <v/>
      </c>
      <c r="T68" s="95" t="str">
        <f t="shared" si="5"/>
        <v/>
      </c>
      <c r="U68" s="95" t="str">
        <f t="shared" si="6"/>
        <v/>
      </c>
      <c r="V68" s="95" t="str">
        <f>IFERROR(AK68*
(Assumptions!$S$7*(U68/AI68)^3+
Assumptions!$S$8*(U68/AI68)^2+
Assumptions!$S$9*(U68/AI68)+
Assumptions!$S$10),"")</f>
        <v/>
      </c>
      <c r="W68" s="96" t="str">
        <f>IFERROR(S68*T68*Assumptions!$B$15/3956,"")</f>
        <v/>
      </c>
      <c r="X68" s="102" t="str">
        <f t="shared" si="7"/>
        <v/>
      </c>
      <c r="Y68" s="95" t="str">
        <f t="shared" si="8"/>
        <v/>
      </c>
      <c r="Z68" s="95" t="str">
        <f t="shared" si="9"/>
        <v/>
      </c>
      <c r="AA68" s="95" t="str">
        <f>IFERROR(AK68*
(Assumptions!$S$7*(Z68/AI68)^3+
Assumptions!$S$8*(Z68/AI68)^2+
Assumptions!$S$9*(Z68/AI68)+
Assumptions!$S$10),"")</f>
        <v/>
      </c>
      <c r="AB68" s="96" t="str">
        <f>IFERROR(X68*Y68*Assumptions!$B$15/3956,"")</f>
        <v/>
      </c>
      <c r="AC68" s="102" t="str">
        <f t="shared" si="10"/>
        <v/>
      </c>
      <c r="AD68" s="95" t="str">
        <f t="shared" si="11"/>
        <v/>
      </c>
      <c r="AE68" s="95" t="str">
        <f t="shared" si="12"/>
        <v/>
      </c>
      <c r="AF68" s="95" t="str">
        <f>IFERROR(AK68*
(Assumptions!$S$7*(AE68/AI68)^3+
Assumptions!$S$8*(AE68/AI68)^2+
Assumptions!$S$9*(AE68/AI68)+
Assumptions!$S$10),"")</f>
        <v/>
      </c>
      <c r="AG68" s="96" t="str">
        <f>IFERROR(AC68*AD68*Assumptions!$B$15/3956,"")</f>
        <v/>
      </c>
      <c r="AH68" s="94" t="str">
        <f t="shared" si="16"/>
        <v/>
      </c>
      <c r="AI68" s="93" t="str">
        <f>IFERROR(
IF(C68="VTS",
INDEX(Assumptions!$I$38:$I$57,MATCH(AH68,Assumptions!$I$38:$I$57,-1)),
INDEX(Assumptions!$I$13:$I$32,MATCH(AH68,Assumptions!$I$13:$I$32,-1))),
"")</f>
        <v/>
      </c>
      <c r="AJ68" s="96" t="str">
        <f>IFERROR(
IF(C68="VTS",
VLOOKUP(AI68,Assumptions!$I$38:$K$57,MATCH(P68,Assumptions!$I$37:$K$37,0),FALSE),
VLOOKUP(AI68,Assumptions!$I$13:$K$32,MATCH(P68,Assumptions!$I$12:$K$12,0),FALSE)),
"")</f>
        <v/>
      </c>
      <c r="AK68" s="99" t="str">
        <f t="shared" si="13"/>
        <v/>
      </c>
      <c r="AL68" s="95" t="str">
        <f>IFERROR(AK68*
(Assumptions!$S$7*(W68/(AO68*Assumptions!$AB$9/100)/AI68)^3+
Assumptions!$S$8*(W68/(AO68*Assumptions!$AB$9/100)/AI68)^2+
Assumptions!$S$9*(W68/(AO68*Assumptions!$AB$9/100)/AI68)+
Assumptions!$S$10),"")</f>
        <v/>
      </c>
      <c r="AM68" s="95" t="str">
        <f>IFERROR(AK68*
(Assumptions!$S$7*(AB68/(AO68*Assumptions!$AB$8/100)/AI68)^3+
Assumptions!$S$8*(AB68/(AO68*Assumptions!$AB$8/100)/AI68)^2+
Assumptions!$S$9*(AB68/(AO68*Assumptions!$AB$8/100)/AI68)+
Assumptions!$S$10),"")</f>
        <v/>
      </c>
      <c r="AN68" s="95" t="str">
        <f>IFERROR(AK68*
(Assumptions!$S$7*(AG68/(AO68*Assumptions!$AB$10/100)/AI68)^3+
Assumptions!$S$8*(AG68/(AO68*Assumptions!$AB$10/100)/AI68)^2+
Assumptions!$S$9*(AG68/(AO68*Assumptions!$AB$10/100)/AI68)+
Assumptions!$S$10),"")</f>
        <v/>
      </c>
      <c r="AO68" s="95" t="str">
        <f>IFERROR(
Assumptions!$AD$8*LN(S68)^2+
Assumptions!$AE$8*LN(R68)*LN(S68)+
Assumptions!$AF$8*LN(R68)^2+
Assumptions!$AG$8*LN(S68)+
Assumptions!$AH$8*LN(R68)-
(IF(Q68=1800,
VLOOKUP(C68,Assumptions!$AA$13:$AC$17,3),
IF(Q68=3600,
VLOOKUP(C68,Assumptions!$AA$18:$AC$22,3),
""))+Assumptions!$AI$8),
"")</f>
        <v/>
      </c>
      <c r="AP68" s="96" t="str">
        <f>IFERROR(
Assumptions!$D$11*(W68/(Assumptions!$AB$9*AO68/100)+AL68)+
Assumptions!$D$10*(AB68/(Assumptions!$AB$8*AO68/100)+AM68)+
Assumptions!$D$12*(AG68/(Assumptions!$AB$10*AO68/100)+AN68),
"")</f>
        <v/>
      </c>
      <c r="AQ68" s="76" t="str">
        <f>IFERROR(
(U68+V68)*Assumptions!$D$11+
(Z68+AA68)*Assumptions!$D$10+
(AE68+AF68)*Assumptions!$D$12,
"")</f>
        <v/>
      </c>
      <c r="AR68" s="104" t="str">
        <f t="shared" si="14"/>
        <v/>
      </c>
      <c r="AS68" s="103" t="str">
        <f t="shared" si="15"/>
        <v/>
      </c>
      <c r="AT68" s="92"/>
    </row>
    <row r="69" spans="1:46" x14ac:dyDescent="0.25">
      <c r="A69" s="264"/>
      <c r="B69" s="265"/>
      <c r="C69" s="265"/>
      <c r="D69" s="265"/>
      <c r="E69" s="266"/>
      <c r="F69" s="270"/>
      <c r="G69" s="271"/>
      <c r="H69" s="271"/>
      <c r="I69" s="272"/>
      <c r="J69" s="270"/>
      <c r="K69" s="271"/>
      <c r="L69" s="272"/>
      <c r="M69" s="270"/>
      <c r="N69" s="271"/>
      <c r="O69" s="272"/>
      <c r="P69" s="97" t="str">
        <f t="shared" si="0"/>
        <v/>
      </c>
      <c r="Q69" s="84" t="str">
        <f t="shared" si="2"/>
        <v/>
      </c>
      <c r="R69" s="101" t="str">
        <f t="shared" si="3"/>
        <v/>
      </c>
      <c r="S69" s="100" t="str">
        <f t="shared" si="4"/>
        <v/>
      </c>
      <c r="T69" s="95" t="str">
        <f t="shared" si="5"/>
        <v/>
      </c>
      <c r="U69" s="95" t="str">
        <f t="shared" si="6"/>
        <v/>
      </c>
      <c r="V69" s="95" t="str">
        <f>IFERROR(AK69*
(Assumptions!$S$7*(U69/AI69)^3+
Assumptions!$S$8*(U69/AI69)^2+
Assumptions!$S$9*(U69/AI69)+
Assumptions!$S$10),"")</f>
        <v/>
      </c>
      <c r="W69" s="96" t="str">
        <f>IFERROR(S69*T69*Assumptions!$B$15/3956,"")</f>
        <v/>
      </c>
      <c r="X69" s="102" t="str">
        <f t="shared" si="7"/>
        <v/>
      </c>
      <c r="Y69" s="95" t="str">
        <f t="shared" si="8"/>
        <v/>
      </c>
      <c r="Z69" s="95" t="str">
        <f t="shared" si="9"/>
        <v/>
      </c>
      <c r="AA69" s="95" t="str">
        <f>IFERROR(AK69*
(Assumptions!$S$7*(Z69/AI69)^3+
Assumptions!$S$8*(Z69/AI69)^2+
Assumptions!$S$9*(Z69/AI69)+
Assumptions!$S$10),"")</f>
        <v/>
      </c>
      <c r="AB69" s="96" t="str">
        <f>IFERROR(X69*Y69*Assumptions!$B$15/3956,"")</f>
        <v/>
      </c>
      <c r="AC69" s="102" t="str">
        <f t="shared" si="10"/>
        <v/>
      </c>
      <c r="AD69" s="95" t="str">
        <f t="shared" si="11"/>
        <v/>
      </c>
      <c r="AE69" s="95" t="str">
        <f t="shared" si="12"/>
        <v/>
      </c>
      <c r="AF69" s="95" t="str">
        <f>IFERROR(AK69*
(Assumptions!$S$7*(AE69/AI69)^3+
Assumptions!$S$8*(AE69/AI69)^2+
Assumptions!$S$9*(AE69/AI69)+
Assumptions!$S$10),"")</f>
        <v/>
      </c>
      <c r="AG69" s="96" t="str">
        <f>IFERROR(AC69*AD69*Assumptions!$B$15/3956,"")</f>
        <v/>
      </c>
      <c r="AH69" s="94" t="str">
        <f t="shared" si="16"/>
        <v/>
      </c>
      <c r="AI69" s="93" t="str">
        <f>IFERROR(
IF(C69="VTS",
INDEX(Assumptions!$I$38:$I$57,MATCH(AH69,Assumptions!$I$38:$I$57,-1)),
INDEX(Assumptions!$I$13:$I$32,MATCH(AH69,Assumptions!$I$13:$I$32,-1))),
"")</f>
        <v/>
      </c>
      <c r="AJ69" s="96" t="str">
        <f>IFERROR(
IF(C69="VTS",
VLOOKUP(AI69,Assumptions!$I$38:$K$57,MATCH(P69,Assumptions!$I$37:$K$37,0),FALSE),
VLOOKUP(AI69,Assumptions!$I$13:$K$32,MATCH(P69,Assumptions!$I$12:$K$12,0),FALSE)),
"")</f>
        <v/>
      </c>
      <c r="AK69" s="99" t="str">
        <f t="shared" si="13"/>
        <v/>
      </c>
      <c r="AL69" s="95" t="str">
        <f>IFERROR(AK69*
(Assumptions!$S$7*(W69/(AO69*Assumptions!$AB$9/100)/AI69)^3+
Assumptions!$S$8*(W69/(AO69*Assumptions!$AB$9/100)/AI69)^2+
Assumptions!$S$9*(W69/(AO69*Assumptions!$AB$9/100)/AI69)+
Assumptions!$S$10),"")</f>
        <v/>
      </c>
      <c r="AM69" s="95" t="str">
        <f>IFERROR(AK69*
(Assumptions!$S$7*(AB69/(AO69*Assumptions!$AB$8/100)/AI69)^3+
Assumptions!$S$8*(AB69/(AO69*Assumptions!$AB$8/100)/AI69)^2+
Assumptions!$S$9*(AB69/(AO69*Assumptions!$AB$8/100)/AI69)+
Assumptions!$S$10),"")</f>
        <v/>
      </c>
      <c r="AN69" s="95" t="str">
        <f>IFERROR(AK69*
(Assumptions!$S$7*(AG69/(AO69*Assumptions!$AB$10/100)/AI69)^3+
Assumptions!$S$8*(AG69/(AO69*Assumptions!$AB$10/100)/AI69)^2+
Assumptions!$S$9*(AG69/(AO69*Assumptions!$AB$10/100)/AI69)+
Assumptions!$S$10),"")</f>
        <v/>
      </c>
      <c r="AO69" s="95" t="str">
        <f>IFERROR(
Assumptions!$AD$8*LN(S69)^2+
Assumptions!$AE$8*LN(R69)*LN(S69)+
Assumptions!$AF$8*LN(R69)^2+
Assumptions!$AG$8*LN(S69)+
Assumptions!$AH$8*LN(R69)-
(IF(Q69=1800,
VLOOKUP(C69,Assumptions!$AA$13:$AC$17,3),
IF(Q69=3600,
VLOOKUP(C69,Assumptions!$AA$18:$AC$22,3),
""))+Assumptions!$AI$8),
"")</f>
        <v/>
      </c>
      <c r="AP69" s="96" t="str">
        <f>IFERROR(
Assumptions!$D$11*(W69/(Assumptions!$AB$9*AO69/100)+AL69)+
Assumptions!$D$10*(AB69/(Assumptions!$AB$8*AO69/100)+AM69)+
Assumptions!$D$12*(AG69/(Assumptions!$AB$10*AO69/100)+AN69),
"")</f>
        <v/>
      </c>
      <c r="AQ69" s="76" t="str">
        <f>IFERROR(
(U69+V69)*Assumptions!$D$11+
(Z69+AA69)*Assumptions!$D$10+
(AE69+AF69)*Assumptions!$D$12,
"")</f>
        <v/>
      </c>
      <c r="AR69" s="104" t="str">
        <f t="shared" si="14"/>
        <v/>
      </c>
      <c r="AS69" s="103" t="str">
        <f t="shared" si="15"/>
        <v/>
      </c>
      <c r="AT69" s="92"/>
    </row>
    <row r="70" spans="1:46" x14ac:dyDescent="0.25">
      <c r="A70" s="264"/>
      <c r="B70" s="265"/>
      <c r="C70" s="265"/>
      <c r="D70" s="265"/>
      <c r="E70" s="266"/>
      <c r="F70" s="270"/>
      <c r="G70" s="271"/>
      <c r="H70" s="271"/>
      <c r="I70" s="272"/>
      <c r="J70" s="270"/>
      <c r="K70" s="271"/>
      <c r="L70" s="272"/>
      <c r="M70" s="270"/>
      <c r="N70" s="271"/>
      <c r="O70" s="272"/>
      <c r="P70" s="97" t="str">
        <f t="shared" si="0"/>
        <v/>
      </c>
      <c r="Q70" s="84" t="str">
        <f t="shared" si="2"/>
        <v/>
      </c>
      <c r="R70" s="101" t="str">
        <f t="shared" si="3"/>
        <v/>
      </c>
      <c r="S70" s="100" t="str">
        <f t="shared" si="4"/>
        <v/>
      </c>
      <c r="T70" s="95" t="str">
        <f t="shared" si="5"/>
        <v/>
      </c>
      <c r="U70" s="95" t="str">
        <f t="shared" si="6"/>
        <v/>
      </c>
      <c r="V70" s="95" t="str">
        <f>IFERROR(AK70*
(Assumptions!$S$7*(U70/AI70)^3+
Assumptions!$S$8*(U70/AI70)^2+
Assumptions!$S$9*(U70/AI70)+
Assumptions!$S$10),"")</f>
        <v/>
      </c>
      <c r="W70" s="96" t="str">
        <f>IFERROR(S70*T70*Assumptions!$B$15/3956,"")</f>
        <v/>
      </c>
      <c r="X70" s="102" t="str">
        <f t="shared" si="7"/>
        <v/>
      </c>
      <c r="Y70" s="95" t="str">
        <f t="shared" si="8"/>
        <v/>
      </c>
      <c r="Z70" s="95" t="str">
        <f t="shared" si="9"/>
        <v/>
      </c>
      <c r="AA70" s="95" t="str">
        <f>IFERROR(AK70*
(Assumptions!$S$7*(Z70/AI70)^3+
Assumptions!$S$8*(Z70/AI70)^2+
Assumptions!$S$9*(Z70/AI70)+
Assumptions!$S$10),"")</f>
        <v/>
      </c>
      <c r="AB70" s="96" t="str">
        <f>IFERROR(X70*Y70*Assumptions!$B$15/3956,"")</f>
        <v/>
      </c>
      <c r="AC70" s="102" t="str">
        <f t="shared" si="10"/>
        <v/>
      </c>
      <c r="AD70" s="95" t="str">
        <f t="shared" si="11"/>
        <v/>
      </c>
      <c r="AE70" s="95" t="str">
        <f t="shared" si="12"/>
        <v/>
      </c>
      <c r="AF70" s="95" t="str">
        <f>IFERROR(AK70*
(Assumptions!$S$7*(AE70/AI70)^3+
Assumptions!$S$8*(AE70/AI70)^2+
Assumptions!$S$9*(AE70/AI70)+
Assumptions!$S$10),"")</f>
        <v/>
      </c>
      <c r="AG70" s="96" t="str">
        <f>IFERROR(AC70*AD70*Assumptions!$B$15/3956,"")</f>
        <v/>
      </c>
      <c r="AH70" s="94" t="str">
        <f t="shared" si="16"/>
        <v/>
      </c>
      <c r="AI70" s="93" t="str">
        <f>IFERROR(
IF(C70="VTS",
INDEX(Assumptions!$I$38:$I$57,MATCH(AH70,Assumptions!$I$38:$I$57,-1)),
INDEX(Assumptions!$I$13:$I$32,MATCH(AH70,Assumptions!$I$13:$I$32,-1))),
"")</f>
        <v/>
      </c>
      <c r="AJ70" s="96" t="str">
        <f>IFERROR(
IF(C70="VTS",
VLOOKUP(AI70,Assumptions!$I$38:$K$57,MATCH(P70,Assumptions!$I$37:$K$37,0),FALSE),
VLOOKUP(AI70,Assumptions!$I$13:$K$32,MATCH(P70,Assumptions!$I$12:$K$12,0),FALSE)),
"")</f>
        <v/>
      </c>
      <c r="AK70" s="99" t="str">
        <f t="shared" si="13"/>
        <v/>
      </c>
      <c r="AL70" s="95" t="str">
        <f>IFERROR(AK70*
(Assumptions!$S$7*(W70/(AO70*Assumptions!$AB$9/100)/AI70)^3+
Assumptions!$S$8*(W70/(AO70*Assumptions!$AB$9/100)/AI70)^2+
Assumptions!$S$9*(W70/(AO70*Assumptions!$AB$9/100)/AI70)+
Assumptions!$S$10),"")</f>
        <v/>
      </c>
      <c r="AM70" s="95" t="str">
        <f>IFERROR(AK70*
(Assumptions!$S$7*(AB70/(AO70*Assumptions!$AB$8/100)/AI70)^3+
Assumptions!$S$8*(AB70/(AO70*Assumptions!$AB$8/100)/AI70)^2+
Assumptions!$S$9*(AB70/(AO70*Assumptions!$AB$8/100)/AI70)+
Assumptions!$S$10),"")</f>
        <v/>
      </c>
      <c r="AN70" s="95" t="str">
        <f>IFERROR(AK70*
(Assumptions!$S$7*(AG70/(AO70*Assumptions!$AB$10/100)/AI70)^3+
Assumptions!$S$8*(AG70/(AO70*Assumptions!$AB$10/100)/AI70)^2+
Assumptions!$S$9*(AG70/(AO70*Assumptions!$AB$10/100)/AI70)+
Assumptions!$S$10),"")</f>
        <v/>
      </c>
      <c r="AO70" s="95" t="str">
        <f>IFERROR(
Assumptions!$AD$8*LN(S70)^2+
Assumptions!$AE$8*LN(R70)*LN(S70)+
Assumptions!$AF$8*LN(R70)^2+
Assumptions!$AG$8*LN(S70)+
Assumptions!$AH$8*LN(R70)-
(IF(Q70=1800,
VLOOKUP(C70,Assumptions!$AA$13:$AC$17,3),
IF(Q70=3600,
VLOOKUP(C70,Assumptions!$AA$18:$AC$22,3),
""))+Assumptions!$AI$8),
"")</f>
        <v/>
      </c>
      <c r="AP70" s="96" t="str">
        <f>IFERROR(
Assumptions!$D$11*(W70/(Assumptions!$AB$9*AO70/100)+AL70)+
Assumptions!$D$10*(AB70/(Assumptions!$AB$8*AO70/100)+AM70)+
Assumptions!$D$12*(AG70/(Assumptions!$AB$10*AO70/100)+AN70),
"")</f>
        <v/>
      </c>
      <c r="AQ70" s="76" t="str">
        <f>IFERROR(
(U70+V70)*Assumptions!$D$11+
(Z70+AA70)*Assumptions!$D$10+
(AE70+AF70)*Assumptions!$D$12,
"")</f>
        <v/>
      </c>
      <c r="AR70" s="104" t="str">
        <f t="shared" si="14"/>
        <v/>
      </c>
      <c r="AS70" s="103" t="str">
        <f t="shared" si="15"/>
        <v/>
      </c>
      <c r="AT70" s="92"/>
    </row>
    <row r="71" spans="1:46" x14ac:dyDescent="0.25">
      <c r="A71" s="264"/>
      <c r="B71" s="265"/>
      <c r="C71" s="265"/>
      <c r="D71" s="265"/>
      <c r="E71" s="266"/>
      <c r="F71" s="270"/>
      <c r="G71" s="271"/>
      <c r="H71" s="271"/>
      <c r="I71" s="272"/>
      <c r="J71" s="270"/>
      <c r="K71" s="271"/>
      <c r="L71" s="272"/>
      <c r="M71" s="270"/>
      <c r="N71" s="271"/>
      <c r="O71" s="272"/>
      <c r="P71" s="97" t="str">
        <f t="shared" si="0"/>
        <v/>
      </c>
      <c r="Q71" s="84" t="str">
        <f t="shared" si="2"/>
        <v/>
      </c>
      <c r="R71" s="101" t="str">
        <f t="shared" si="3"/>
        <v/>
      </c>
      <c r="S71" s="100" t="str">
        <f t="shared" si="4"/>
        <v/>
      </c>
      <c r="T71" s="95" t="str">
        <f t="shared" si="5"/>
        <v/>
      </c>
      <c r="U71" s="95" t="str">
        <f t="shared" si="6"/>
        <v/>
      </c>
      <c r="V71" s="95" t="str">
        <f>IFERROR(AK71*
(Assumptions!$S$7*(U71/AI71)^3+
Assumptions!$S$8*(U71/AI71)^2+
Assumptions!$S$9*(U71/AI71)+
Assumptions!$S$10),"")</f>
        <v/>
      </c>
      <c r="W71" s="96" t="str">
        <f>IFERROR(S71*T71*Assumptions!$B$15/3956,"")</f>
        <v/>
      </c>
      <c r="X71" s="102" t="str">
        <f t="shared" si="7"/>
        <v/>
      </c>
      <c r="Y71" s="95" t="str">
        <f t="shared" si="8"/>
        <v/>
      </c>
      <c r="Z71" s="95" t="str">
        <f t="shared" si="9"/>
        <v/>
      </c>
      <c r="AA71" s="95" t="str">
        <f>IFERROR(AK71*
(Assumptions!$S$7*(Z71/AI71)^3+
Assumptions!$S$8*(Z71/AI71)^2+
Assumptions!$S$9*(Z71/AI71)+
Assumptions!$S$10),"")</f>
        <v/>
      </c>
      <c r="AB71" s="96" t="str">
        <f>IFERROR(X71*Y71*Assumptions!$B$15/3956,"")</f>
        <v/>
      </c>
      <c r="AC71" s="102" t="str">
        <f t="shared" si="10"/>
        <v/>
      </c>
      <c r="AD71" s="95" t="str">
        <f t="shared" si="11"/>
        <v/>
      </c>
      <c r="AE71" s="95" t="str">
        <f t="shared" si="12"/>
        <v/>
      </c>
      <c r="AF71" s="95" t="str">
        <f>IFERROR(AK71*
(Assumptions!$S$7*(AE71/AI71)^3+
Assumptions!$S$8*(AE71/AI71)^2+
Assumptions!$S$9*(AE71/AI71)+
Assumptions!$S$10),"")</f>
        <v/>
      </c>
      <c r="AG71" s="96" t="str">
        <f>IFERROR(AC71*AD71*Assumptions!$B$15/3956,"")</f>
        <v/>
      </c>
      <c r="AH71" s="94" t="str">
        <f t="shared" si="16"/>
        <v/>
      </c>
      <c r="AI71" s="93" t="str">
        <f>IFERROR(
IF(C71="VTS",
INDEX(Assumptions!$I$38:$I$57,MATCH(AH71,Assumptions!$I$38:$I$57,-1)),
INDEX(Assumptions!$I$13:$I$32,MATCH(AH71,Assumptions!$I$13:$I$32,-1))),
"")</f>
        <v/>
      </c>
      <c r="AJ71" s="96" t="str">
        <f>IFERROR(
IF(C71="VTS",
VLOOKUP(AI71,Assumptions!$I$38:$K$57,MATCH(P71,Assumptions!$I$37:$K$37,0),FALSE),
VLOOKUP(AI71,Assumptions!$I$13:$K$32,MATCH(P71,Assumptions!$I$12:$K$12,0),FALSE)),
"")</f>
        <v/>
      </c>
      <c r="AK71" s="99" t="str">
        <f t="shared" si="13"/>
        <v/>
      </c>
      <c r="AL71" s="95" t="str">
        <f>IFERROR(AK71*
(Assumptions!$S$7*(W71/(AO71*Assumptions!$AB$9/100)/AI71)^3+
Assumptions!$S$8*(W71/(AO71*Assumptions!$AB$9/100)/AI71)^2+
Assumptions!$S$9*(W71/(AO71*Assumptions!$AB$9/100)/AI71)+
Assumptions!$S$10),"")</f>
        <v/>
      </c>
      <c r="AM71" s="95" t="str">
        <f>IFERROR(AK71*
(Assumptions!$S$7*(AB71/(AO71*Assumptions!$AB$8/100)/AI71)^3+
Assumptions!$S$8*(AB71/(AO71*Assumptions!$AB$8/100)/AI71)^2+
Assumptions!$S$9*(AB71/(AO71*Assumptions!$AB$8/100)/AI71)+
Assumptions!$S$10),"")</f>
        <v/>
      </c>
      <c r="AN71" s="95" t="str">
        <f>IFERROR(AK71*
(Assumptions!$S$7*(AG71/(AO71*Assumptions!$AB$10/100)/AI71)^3+
Assumptions!$S$8*(AG71/(AO71*Assumptions!$AB$10/100)/AI71)^2+
Assumptions!$S$9*(AG71/(AO71*Assumptions!$AB$10/100)/AI71)+
Assumptions!$S$10),"")</f>
        <v/>
      </c>
      <c r="AO71" s="95" t="str">
        <f>IFERROR(
Assumptions!$AD$8*LN(S71)^2+
Assumptions!$AE$8*LN(R71)*LN(S71)+
Assumptions!$AF$8*LN(R71)^2+
Assumptions!$AG$8*LN(S71)+
Assumptions!$AH$8*LN(R71)-
(IF(Q71=1800,
VLOOKUP(C71,Assumptions!$AA$13:$AC$17,3),
IF(Q71=3600,
VLOOKUP(C71,Assumptions!$AA$18:$AC$22,3),
""))+Assumptions!$AI$8),
"")</f>
        <v/>
      </c>
      <c r="AP71" s="96" t="str">
        <f>IFERROR(
Assumptions!$D$11*(W71/(Assumptions!$AB$9*AO71/100)+AL71)+
Assumptions!$D$10*(AB71/(Assumptions!$AB$8*AO71/100)+AM71)+
Assumptions!$D$12*(AG71/(Assumptions!$AB$10*AO71/100)+AN71),
"")</f>
        <v/>
      </c>
      <c r="AQ71" s="76" t="str">
        <f>IFERROR(
(U71+V71)*Assumptions!$D$11+
(Z71+AA71)*Assumptions!$D$10+
(AE71+AF71)*Assumptions!$D$12,
"")</f>
        <v/>
      </c>
      <c r="AR71" s="104" t="str">
        <f t="shared" si="14"/>
        <v/>
      </c>
      <c r="AS71" s="103" t="str">
        <f t="shared" si="15"/>
        <v/>
      </c>
      <c r="AT71" s="92"/>
    </row>
    <row r="72" spans="1:46" x14ac:dyDescent="0.25">
      <c r="A72" s="264"/>
      <c r="B72" s="265"/>
      <c r="C72" s="265"/>
      <c r="D72" s="265"/>
      <c r="E72" s="266"/>
      <c r="F72" s="270"/>
      <c r="G72" s="271"/>
      <c r="H72" s="271"/>
      <c r="I72" s="272"/>
      <c r="J72" s="270"/>
      <c r="K72" s="271"/>
      <c r="L72" s="272"/>
      <c r="M72" s="270"/>
      <c r="N72" s="271"/>
      <c r="O72" s="272"/>
      <c r="P72" s="97" t="str">
        <f t="shared" si="0"/>
        <v/>
      </c>
      <c r="Q72" s="84" t="str">
        <f t="shared" si="2"/>
        <v/>
      </c>
      <c r="R72" s="101" t="str">
        <f t="shared" si="3"/>
        <v/>
      </c>
      <c r="S72" s="100" t="str">
        <f t="shared" si="4"/>
        <v/>
      </c>
      <c r="T72" s="95" t="str">
        <f t="shared" si="5"/>
        <v/>
      </c>
      <c r="U72" s="95" t="str">
        <f t="shared" si="6"/>
        <v/>
      </c>
      <c r="V72" s="95" t="str">
        <f>IFERROR(AK72*
(Assumptions!$S$7*(U72/AI72)^3+
Assumptions!$S$8*(U72/AI72)^2+
Assumptions!$S$9*(U72/AI72)+
Assumptions!$S$10),"")</f>
        <v/>
      </c>
      <c r="W72" s="96" t="str">
        <f>IFERROR(S72*T72*Assumptions!$B$15/3956,"")</f>
        <v/>
      </c>
      <c r="X72" s="102" t="str">
        <f t="shared" si="7"/>
        <v/>
      </c>
      <c r="Y72" s="95" t="str">
        <f t="shared" si="8"/>
        <v/>
      </c>
      <c r="Z72" s="95" t="str">
        <f t="shared" si="9"/>
        <v/>
      </c>
      <c r="AA72" s="95" t="str">
        <f>IFERROR(AK72*
(Assumptions!$S$7*(Z72/AI72)^3+
Assumptions!$S$8*(Z72/AI72)^2+
Assumptions!$S$9*(Z72/AI72)+
Assumptions!$S$10),"")</f>
        <v/>
      </c>
      <c r="AB72" s="96" t="str">
        <f>IFERROR(X72*Y72*Assumptions!$B$15/3956,"")</f>
        <v/>
      </c>
      <c r="AC72" s="102" t="str">
        <f t="shared" si="10"/>
        <v/>
      </c>
      <c r="AD72" s="95" t="str">
        <f t="shared" si="11"/>
        <v/>
      </c>
      <c r="AE72" s="95" t="str">
        <f t="shared" si="12"/>
        <v/>
      </c>
      <c r="AF72" s="95" t="str">
        <f>IFERROR(AK72*
(Assumptions!$S$7*(AE72/AI72)^3+
Assumptions!$S$8*(AE72/AI72)^2+
Assumptions!$S$9*(AE72/AI72)+
Assumptions!$S$10),"")</f>
        <v/>
      </c>
      <c r="AG72" s="96" t="str">
        <f>IFERROR(AC72*AD72*Assumptions!$B$15/3956,"")</f>
        <v/>
      </c>
      <c r="AH72" s="94" t="str">
        <f t="shared" si="16"/>
        <v/>
      </c>
      <c r="AI72" s="93" t="str">
        <f>IFERROR(
IF(C72="VTS",
INDEX(Assumptions!$I$38:$I$57,MATCH(AH72,Assumptions!$I$38:$I$57,-1)),
INDEX(Assumptions!$I$13:$I$32,MATCH(AH72,Assumptions!$I$13:$I$32,-1))),
"")</f>
        <v/>
      </c>
      <c r="AJ72" s="96" t="str">
        <f>IFERROR(
IF(C72="VTS",
VLOOKUP(AI72,Assumptions!$I$38:$K$57,MATCH(P72,Assumptions!$I$37:$K$37,0),FALSE),
VLOOKUP(AI72,Assumptions!$I$13:$K$32,MATCH(P72,Assumptions!$I$12:$K$12,0),FALSE)),
"")</f>
        <v/>
      </c>
      <c r="AK72" s="99" t="str">
        <f t="shared" si="13"/>
        <v/>
      </c>
      <c r="AL72" s="95" t="str">
        <f>IFERROR(AK72*
(Assumptions!$S$7*(W72/(AO72*Assumptions!$AB$9/100)/AI72)^3+
Assumptions!$S$8*(W72/(AO72*Assumptions!$AB$9/100)/AI72)^2+
Assumptions!$S$9*(W72/(AO72*Assumptions!$AB$9/100)/AI72)+
Assumptions!$S$10),"")</f>
        <v/>
      </c>
      <c r="AM72" s="95" t="str">
        <f>IFERROR(AK72*
(Assumptions!$S$7*(AB72/(AO72*Assumptions!$AB$8/100)/AI72)^3+
Assumptions!$S$8*(AB72/(AO72*Assumptions!$AB$8/100)/AI72)^2+
Assumptions!$S$9*(AB72/(AO72*Assumptions!$AB$8/100)/AI72)+
Assumptions!$S$10),"")</f>
        <v/>
      </c>
      <c r="AN72" s="95" t="str">
        <f>IFERROR(AK72*
(Assumptions!$S$7*(AG72/(AO72*Assumptions!$AB$10/100)/AI72)^3+
Assumptions!$S$8*(AG72/(AO72*Assumptions!$AB$10/100)/AI72)^2+
Assumptions!$S$9*(AG72/(AO72*Assumptions!$AB$10/100)/AI72)+
Assumptions!$S$10),"")</f>
        <v/>
      </c>
      <c r="AO72" s="95" t="str">
        <f>IFERROR(
Assumptions!$AD$8*LN(S72)^2+
Assumptions!$AE$8*LN(R72)*LN(S72)+
Assumptions!$AF$8*LN(R72)^2+
Assumptions!$AG$8*LN(S72)+
Assumptions!$AH$8*LN(R72)-
(IF(Q72=1800,
VLOOKUP(C72,Assumptions!$AA$13:$AC$17,3),
IF(Q72=3600,
VLOOKUP(C72,Assumptions!$AA$18:$AC$22,3),
""))+Assumptions!$AI$8),
"")</f>
        <v/>
      </c>
      <c r="AP72" s="96" t="str">
        <f>IFERROR(
Assumptions!$D$11*(W72/(Assumptions!$AB$9*AO72/100)+AL72)+
Assumptions!$D$10*(AB72/(Assumptions!$AB$8*AO72/100)+AM72)+
Assumptions!$D$12*(AG72/(Assumptions!$AB$10*AO72/100)+AN72),
"")</f>
        <v/>
      </c>
      <c r="AQ72" s="76" t="str">
        <f>IFERROR(
(U72+V72)*Assumptions!$D$11+
(Z72+AA72)*Assumptions!$D$10+
(AE72+AF72)*Assumptions!$D$12,
"")</f>
        <v/>
      </c>
      <c r="AR72" s="104" t="str">
        <f t="shared" si="14"/>
        <v/>
      </c>
      <c r="AS72" s="103" t="str">
        <f t="shared" si="15"/>
        <v/>
      </c>
      <c r="AT72" s="92"/>
    </row>
    <row r="73" spans="1:46" x14ac:dyDescent="0.25">
      <c r="A73" s="264"/>
      <c r="B73" s="265"/>
      <c r="C73" s="265"/>
      <c r="D73" s="265"/>
      <c r="E73" s="266"/>
      <c r="F73" s="270"/>
      <c r="G73" s="271"/>
      <c r="H73" s="271"/>
      <c r="I73" s="272"/>
      <c r="J73" s="270"/>
      <c r="K73" s="271"/>
      <c r="L73" s="272"/>
      <c r="M73" s="270"/>
      <c r="N73" s="271"/>
      <c r="O73" s="272"/>
      <c r="P73" s="97" t="str">
        <f t="shared" si="0"/>
        <v/>
      </c>
      <c r="Q73" s="84" t="str">
        <f t="shared" si="2"/>
        <v/>
      </c>
      <c r="R73" s="101" t="str">
        <f t="shared" si="3"/>
        <v/>
      </c>
      <c r="S73" s="100" t="str">
        <f t="shared" si="4"/>
        <v/>
      </c>
      <c r="T73" s="95" t="str">
        <f t="shared" si="5"/>
        <v/>
      </c>
      <c r="U73" s="95" t="str">
        <f t="shared" si="6"/>
        <v/>
      </c>
      <c r="V73" s="95" t="str">
        <f>IFERROR(AK73*
(Assumptions!$S$7*(U73/AI73)^3+
Assumptions!$S$8*(U73/AI73)^2+
Assumptions!$S$9*(U73/AI73)+
Assumptions!$S$10),"")</f>
        <v/>
      </c>
      <c r="W73" s="96" t="str">
        <f>IFERROR(S73*T73*Assumptions!$B$15/3956,"")</f>
        <v/>
      </c>
      <c r="X73" s="102" t="str">
        <f t="shared" si="7"/>
        <v/>
      </c>
      <c r="Y73" s="95" t="str">
        <f t="shared" si="8"/>
        <v/>
      </c>
      <c r="Z73" s="95" t="str">
        <f t="shared" si="9"/>
        <v/>
      </c>
      <c r="AA73" s="95" t="str">
        <f>IFERROR(AK73*
(Assumptions!$S$7*(Z73/AI73)^3+
Assumptions!$S$8*(Z73/AI73)^2+
Assumptions!$S$9*(Z73/AI73)+
Assumptions!$S$10),"")</f>
        <v/>
      </c>
      <c r="AB73" s="96" t="str">
        <f>IFERROR(X73*Y73*Assumptions!$B$15/3956,"")</f>
        <v/>
      </c>
      <c r="AC73" s="102" t="str">
        <f t="shared" si="10"/>
        <v/>
      </c>
      <c r="AD73" s="95" t="str">
        <f t="shared" si="11"/>
        <v/>
      </c>
      <c r="AE73" s="95" t="str">
        <f t="shared" si="12"/>
        <v/>
      </c>
      <c r="AF73" s="95" t="str">
        <f>IFERROR(AK73*
(Assumptions!$S$7*(AE73/AI73)^3+
Assumptions!$S$8*(AE73/AI73)^2+
Assumptions!$S$9*(AE73/AI73)+
Assumptions!$S$10),"")</f>
        <v/>
      </c>
      <c r="AG73" s="96" t="str">
        <f>IFERROR(AC73*AD73*Assumptions!$B$15/3956,"")</f>
        <v/>
      </c>
      <c r="AH73" s="94" t="str">
        <f t="shared" si="16"/>
        <v/>
      </c>
      <c r="AI73" s="93" t="str">
        <f>IFERROR(
IF(C73="VTS",
INDEX(Assumptions!$I$38:$I$57,MATCH(AH73,Assumptions!$I$38:$I$57,-1)),
INDEX(Assumptions!$I$13:$I$32,MATCH(AH73,Assumptions!$I$13:$I$32,-1))),
"")</f>
        <v/>
      </c>
      <c r="AJ73" s="96" t="str">
        <f>IFERROR(
IF(C73="VTS",
VLOOKUP(AI73,Assumptions!$I$38:$K$57,MATCH(P73,Assumptions!$I$37:$K$37,0),FALSE),
VLOOKUP(AI73,Assumptions!$I$13:$K$32,MATCH(P73,Assumptions!$I$12:$K$12,0),FALSE)),
"")</f>
        <v/>
      </c>
      <c r="AK73" s="99" t="str">
        <f t="shared" si="13"/>
        <v/>
      </c>
      <c r="AL73" s="95" t="str">
        <f>IFERROR(AK73*
(Assumptions!$S$7*(W73/(AO73*Assumptions!$AB$9/100)/AI73)^3+
Assumptions!$S$8*(W73/(AO73*Assumptions!$AB$9/100)/AI73)^2+
Assumptions!$S$9*(W73/(AO73*Assumptions!$AB$9/100)/AI73)+
Assumptions!$S$10),"")</f>
        <v/>
      </c>
      <c r="AM73" s="95" t="str">
        <f>IFERROR(AK73*
(Assumptions!$S$7*(AB73/(AO73*Assumptions!$AB$8/100)/AI73)^3+
Assumptions!$S$8*(AB73/(AO73*Assumptions!$AB$8/100)/AI73)^2+
Assumptions!$S$9*(AB73/(AO73*Assumptions!$AB$8/100)/AI73)+
Assumptions!$S$10),"")</f>
        <v/>
      </c>
      <c r="AN73" s="95" t="str">
        <f>IFERROR(AK73*
(Assumptions!$S$7*(AG73/(AO73*Assumptions!$AB$10/100)/AI73)^3+
Assumptions!$S$8*(AG73/(AO73*Assumptions!$AB$10/100)/AI73)^2+
Assumptions!$S$9*(AG73/(AO73*Assumptions!$AB$10/100)/AI73)+
Assumptions!$S$10),"")</f>
        <v/>
      </c>
      <c r="AO73" s="95" t="str">
        <f>IFERROR(
Assumptions!$AD$8*LN(S73)^2+
Assumptions!$AE$8*LN(R73)*LN(S73)+
Assumptions!$AF$8*LN(R73)^2+
Assumptions!$AG$8*LN(S73)+
Assumptions!$AH$8*LN(R73)-
(IF(Q73=1800,
VLOOKUP(C73,Assumptions!$AA$13:$AC$17,3),
IF(Q73=3600,
VLOOKUP(C73,Assumptions!$AA$18:$AC$22,3),
""))+Assumptions!$AI$8),
"")</f>
        <v/>
      </c>
      <c r="AP73" s="96" t="str">
        <f>IFERROR(
Assumptions!$D$11*(W73/(Assumptions!$AB$9*AO73/100)+AL73)+
Assumptions!$D$10*(AB73/(Assumptions!$AB$8*AO73/100)+AM73)+
Assumptions!$D$12*(AG73/(Assumptions!$AB$10*AO73/100)+AN73),
"")</f>
        <v/>
      </c>
      <c r="AQ73" s="76" t="str">
        <f>IFERROR(
(U73+V73)*Assumptions!$D$11+
(Z73+AA73)*Assumptions!$D$10+
(AE73+AF73)*Assumptions!$D$12,
"")</f>
        <v/>
      </c>
      <c r="AR73" s="104" t="str">
        <f t="shared" si="14"/>
        <v/>
      </c>
      <c r="AS73" s="103" t="str">
        <f t="shared" si="15"/>
        <v/>
      </c>
      <c r="AT73" s="92"/>
    </row>
    <row r="74" spans="1:46" x14ac:dyDescent="0.25">
      <c r="A74" s="264"/>
      <c r="B74" s="265"/>
      <c r="C74" s="265"/>
      <c r="D74" s="265"/>
      <c r="E74" s="266"/>
      <c r="F74" s="270"/>
      <c r="G74" s="271"/>
      <c r="H74" s="271"/>
      <c r="I74" s="272"/>
      <c r="J74" s="270"/>
      <c r="K74" s="271"/>
      <c r="L74" s="272"/>
      <c r="M74" s="270"/>
      <c r="N74" s="271"/>
      <c r="O74" s="272"/>
      <c r="P74" s="97" t="str">
        <f t="shared" ref="P74:P107" si="17">IF(AND(E74&gt;=1440,E74&lt;=2160),4,IF(AND(E74&gt;=2880,E74&lt;=4320),2,""))</f>
        <v/>
      </c>
      <c r="Q74" s="84" t="str">
        <f t="shared" si="2"/>
        <v/>
      </c>
      <c r="R74" s="101" t="str">
        <f t="shared" si="3"/>
        <v/>
      </c>
      <c r="S74" s="100" t="str">
        <f t="shared" si="4"/>
        <v/>
      </c>
      <c r="T74" s="95" t="str">
        <f t="shared" si="5"/>
        <v/>
      </c>
      <c r="U74" s="95" t="str">
        <f t="shared" si="6"/>
        <v/>
      </c>
      <c r="V74" s="95" t="str">
        <f>IFERROR(AK74*
(Assumptions!$S$7*(U74/AI74)^3+
Assumptions!$S$8*(U74/AI74)^2+
Assumptions!$S$9*(U74/AI74)+
Assumptions!$S$10),"")</f>
        <v/>
      </c>
      <c r="W74" s="96" t="str">
        <f>IFERROR(S74*T74*Assumptions!$B$15/3956,"")</f>
        <v/>
      </c>
      <c r="X74" s="102" t="str">
        <f t="shared" si="7"/>
        <v/>
      </c>
      <c r="Y74" s="95" t="str">
        <f t="shared" si="8"/>
        <v/>
      </c>
      <c r="Z74" s="95" t="str">
        <f t="shared" si="9"/>
        <v/>
      </c>
      <c r="AA74" s="95" t="str">
        <f>IFERROR(AK74*
(Assumptions!$S$7*(Z74/AI74)^3+
Assumptions!$S$8*(Z74/AI74)^2+
Assumptions!$S$9*(Z74/AI74)+
Assumptions!$S$10),"")</f>
        <v/>
      </c>
      <c r="AB74" s="96" t="str">
        <f>IFERROR(X74*Y74*Assumptions!$B$15/3956,"")</f>
        <v/>
      </c>
      <c r="AC74" s="102" t="str">
        <f t="shared" si="10"/>
        <v/>
      </c>
      <c r="AD74" s="95" t="str">
        <f t="shared" si="11"/>
        <v/>
      </c>
      <c r="AE74" s="95" t="str">
        <f t="shared" si="12"/>
        <v/>
      </c>
      <c r="AF74" s="95" t="str">
        <f>IFERROR(AK74*
(Assumptions!$S$7*(AE74/AI74)^3+
Assumptions!$S$8*(AE74/AI74)^2+
Assumptions!$S$9*(AE74/AI74)+
Assumptions!$S$10),"")</f>
        <v/>
      </c>
      <c r="AG74" s="96" t="str">
        <f>IFERROR(AC74*AD74*Assumptions!$B$15/3956,"")</f>
        <v/>
      </c>
      <c r="AH74" s="94" t="str">
        <f t="shared" ref="AH74:AH107" si="18">IFERROR((1.2*S74-X74)*(AE74-Z74)/(AC74-X74)+Z74,"")</f>
        <v/>
      </c>
      <c r="AI74" s="93" t="str">
        <f>IFERROR(
IF(C74="VTS",
INDEX(Assumptions!$I$38:$I$57,MATCH(AH74,Assumptions!$I$38:$I$57,-1)),
INDEX(Assumptions!$I$13:$I$32,MATCH(AH74,Assumptions!$I$13:$I$32,-1))),
"")</f>
        <v/>
      </c>
      <c r="AJ74" s="96" t="str">
        <f>IFERROR(
IF(C74="VTS",
VLOOKUP(AI74,Assumptions!$I$38:$K$57,MATCH(P74,Assumptions!$I$37:$K$37,0),FALSE),
VLOOKUP(AI74,Assumptions!$I$13:$K$32,MATCH(P74,Assumptions!$I$12:$K$12,0),FALSE)),
"")</f>
        <v/>
      </c>
      <c r="AK74" s="99" t="str">
        <f t="shared" si="13"/>
        <v/>
      </c>
      <c r="AL74" s="95" t="str">
        <f>IFERROR(AK74*
(Assumptions!$S$7*(W74/(AO74*Assumptions!$AB$9/100)/AI74)^3+
Assumptions!$S$8*(W74/(AO74*Assumptions!$AB$9/100)/AI74)^2+
Assumptions!$S$9*(W74/(AO74*Assumptions!$AB$9/100)/AI74)+
Assumptions!$S$10),"")</f>
        <v/>
      </c>
      <c r="AM74" s="95" t="str">
        <f>IFERROR(AK74*
(Assumptions!$S$7*(AB74/(AO74*Assumptions!$AB$8/100)/AI74)^3+
Assumptions!$S$8*(AB74/(AO74*Assumptions!$AB$8/100)/AI74)^2+
Assumptions!$S$9*(AB74/(AO74*Assumptions!$AB$8/100)/AI74)+
Assumptions!$S$10),"")</f>
        <v/>
      </c>
      <c r="AN74" s="95" t="str">
        <f>IFERROR(AK74*
(Assumptions!$S$7*(AG74/(AO74*Assumptions!$AB$10/100)/AI74)^3+
Assumptions!$S$8*(AG74/(AO74*Assumptions!$AB$10/100)/AI74)^2+
Assumptions!$S$9*(AG74/(AO74*Assumptions!$AB$10/100)/AI74)+
Assumptions!$S$10),"")</f>
        <v/>
      </c>
      <c r="AO74" s="95" t="str">
        <f>IFERROR(
Assumptions!$AD$8*LN(S74)^2+
Assumptions!$AE$8*LN(R74)*LN(S74)+
Assumptions!$AF$8*LN(R74)^2+
Assumptions!$AG$8*LN(S74)+
Assumptions!$AH$8*LN(R74)-
(IF(Q74=1800,
VLOOKUP(C74,Assumptions!$AA$13:$AC$17,3),
IF(Q74=3600,
VLOOKUP(C74,Assumptions!$AA$18:$AC$22,3),
""))+Assumptions!$AI$8),
"")</f>
        <v/>
      </c>
      <c r="AP74" s="96" t="str">
        <f>IFERROR(
Assumptions!$D$11*(W74/(Assumptions!$AB$9*AO74/100)+AL74)+
Assumptions!$D$10*(AB74/(Assumptions!$AB$8*AO74/100)+AM74)+
Assumptions!$D$12*(AG74/(Assumptions!$AB$10*AO74/100)+AN74),
"")</f>
        <v/>
      </c>
      <c r="AQ74" s="76" t="str">
        <f>IFERROR(
(U74+V74)*Assumptions!$D$11+
(Z74+AA74)*Assumptions!$D$10+
(AE74+AF74)*Assumptions!$D$12,
"")</f>
        <v/>
      </c>
      <c r="AR74" s="104" t="str">
        <f t="shared" si="14"/>
        <v/>
      </c>
      <c r="AS74" s="103" t="str">
        <f t="shared" si="15"/>
        <v/>
      </c>
      <c r="AT74" s="92"/>
    </row>
    <row r="75" spans="1:46" x14ac:dyDescent="0.25">
      <c r="A75" s="264"/>
      <c r="B75" s="265"/>
      <c r="C75" s="265"/>
      <c r="D75" s="265"/>
      <c r="E75" s="266"/>
      <c r="F75" s="270"/>
      <c r="G75" s="271"/>
      <c r="H75" s="271"/>
      <c r="I75" s="272"/>
      <c r="J75" s="270"/>
      <c r="K75" s="271"/>
      <c r="L75" s="272"/>
      <c r="M75" s="270"/>
      <c r="N75" s="271"/>
      <c r="O75" s="272"/>
      <c r="P75" s="97" t="str">
        <f t="shared" si="17"/>
        <v/>
      </c>
      <c r="Q75" s="84" t="str">
        <f t="shared" ref="Q75:Q107" si="19">IF(P75=4,1800,IF(P75=2,3600,""))</f>
        <v/>
      </c>
      <c r="R75" s="101" t="str">
        <f t="shared" ref="R75:R107" si="20">IFERROR(Q75*S75^0.5/(T75/D75)^0.75,"")</f>
        <v/>
      </c>
      <c r="S75" s="100" t="str">
        <f t="shared" ref="S75:S107" si="21">IFERROR(F75*(Q75/E75),"")</f>
        <v/>
      </c>
      <c r="T75" s="95" t="str">
        <f t="shared" ref="T75:T107" si="22">IFERROR(G75*(Q75/E75)^2,"")</f>
        <v/>
      </c>
      <c r="U75" s="95" t="str">
        <f t="shared" ref="U75:U107" si="23">IFERROR(I75*(Q75/E75)^3,"")</f>
        <v/>
      </c>
      <c r="V75" s="95" t="str">
        <f>IFERROR(AK75*
(Assumptions!$S$7*(U75/AI75)^3+
Assumptions!$S$8*(U75/AI75)^2+
Assumptions!$S$9*(U75/AI75)+
Assumptions!$S$10),"")</f>
        <v/>
      </c>
      <c r="W75" s="96" t="str">
        <f>IFERROR(S75*T75*Assumptions!$B$15/3956,"")</f>
        <v/>
      </c>
      <c r="X75" s="102" t="str">
        <f t="shared" ref="X75:X107" si="24">IFERROR(J75*(Q75/E75),"")</f>
        <v/>
      </c>
      <c r="Y75" s="95" t="str">
        <f t="shared" ref="Y75:Y107" si="25">IFERROR(K75*(Q75/E75)^2,"")</f>
        <v/>
      </c>
      <c r="Z75" s="95" t="str">
        <f t="shared" ref="Z75:Z107" si="26">IFERROR(L75*(Q75/E75)^3,"")</f>
        <v/>
      </c>
      <c r="AA75" s="95" t="str">
        <f>IFERROR(AK75*
(Assumptions!$S$7*(Z75/AI75)^3+
Assumptions!$S$8*(Z75/AI75)^2+
Assumptions!$S$9*(Z75/AI75)+
Assumptions!$S$10),"")</f>
        <v/>
      </c>
      <c r="AB75" s="96" t="str">
        <f>IFERROR(X75*Y75*Assumptions!$B$15/3956,"")</f>
        <v/>
      </c>
      <c r="AC75" s="102" t="str">
        <f t="shared" ref="AC75:AC107" si="27">IFERROR(M75*(Q75/E75),"")</f>
        <v/>
      </c>
      <c r="AD75" s="95" t="str">
        <f t="shared" ref="AD75:AD107" si="28">IFERROR(N75*(Q75/E75)^2,"")</f>
        <v/>
      </c>
      <c r="AE75" s="95" t="str">
        <f t="shared" ref="AE75:AE107" si="29">IFERROR(O75*(Q75/E75)^3,"")</f>
        <v/>
      </c>
      <c r="AF75" s="95" t="str">
        <f>IFERROR(AK75*
(Assumptions!$S$7*(AE75/AI75)^3+
Assumptions!$S$8*(AE75/AI75)^2+
Assumptions!$S$9*(AE75/AI75)+
Assumptions!$S$10),"")</f>
        <v/>
      </c>
      <c r="AG75" s="96" t="str">
        <f>IFERROR(AC75*AD75*Assumptions!$B$15/3956,"")</f>
        <v/>
      </c>
      <c r="AH75" s="94" t="str">
        <f t="shared" si="18"/>
        <v/>
      </c>
      <c r="AI75" s="93" t="str">
        <f>IFERROR(
IF(C75="VTS",
INDEX(Assumptions!$I$38:$I$57,MATCH(AH75,Assumptions!$I$38:$I$57,-1)),
INDEX(Assumptions!$I$13:$I$32,MATCH(AH75,Assumptions!$I$13:$I$32,-1))),
"")</f>
        <v/>
      </c>
      <c r="AJ75" s="96" t="str">
        <f>IFERROR(
IF(C75="VTS",
VLOOKUP(AI75,Assumptions!$I$38:$K$57,MATCH(P75,Assumptions!$I$37:$K$37,0),FALSE),
VLOOKUP(AI75,Assumptions!$I$13:$K$32,MATCH(P75,Assumptions!$I$12:$K$12,0),FALSE)),
"")</f>
        <v/>
      </c>
      <c r="AK75" s="99" t="str">
        <f t="shared" ref="AK75:AK107" si="30">IFERROR(AI75/(AJ75/100)-AI75,"")</f>
        <v/>
      </c>
      <c r="AL75" s="95" t="str">
        <f>IFERROR(AK75*
(Assumptions!$S$7*(W75/(AO75*Assumptions!$AB$9/100)/AI75)^3+
Assumptions!$S$8*(W75/(AO75*Assumptions!$AB$9/100)/AI75)^2+
Assumptions!$S$9*(W75/(AO75*Assumptions!$AB$9/100)/AI75)+
Assumptions!$S$10),"")</f>
        <v/>
      </c>
      <c r="AM75" s="95" t="str">
        <f>IFERROR(AK75*
(Assumptions!$S$7*(AB75/(AO75*Assumptions!$AB$8/100)/AI75)^3+
Assumptions!$S$8*(AB75/(AO75*Assumptions!$AB$8/100)/AI75)^2+
Assumptions!$S$9*(AB75/(AO75*Assumptions!$AB$8/100)/AI75)+
Assumptions!$S$10),"")</f>
        <v/>
      </c>
      <c r="AN75" s="95" t="str">
        <f>IFERROR(AK75*
(Assumptions!$S$7*(AG75/(AO75*Assumptions!$AB$10/100)/AI75)^3+
Assumptions!$S$8*(AG75/(AO75*Assumptions!$AB$10/100)/AI75)^2+
Assumptions!$S$9*(AG75/(AO75*Assumptions!$AB$10/100)/AI75)+
Assumptions!$S$10),"")</f>
        <v/>
      </c>
      <c r="AO75" s="95" t="str">
        <f>IFERROR(
Assumptions!$AD$8*LN(S75)^2+
Assumptions!$AE$8*LN(R75)*LN(S75)+
Assumptions!$AF$8*LN(R75)^2+
Assumptions!$AG$8*LN(S75)+
Assumptions!$AH$8*LN(R75)-
(IF(Q75=1800,
VLOOKUP(C75,Assumptions!$AA$13:$AC$17,3),
IF(Q75=3600,
VLOOKUP(C75,Assumptions!$AA$18:$AC$22,3),
""))+Assumptions!$AI$8),
"")</f>
        <v/>
      </c>
      <c r="AP75" s="96" t="str">
        <f>IFERROR(
Assumptions!$D$11*(W75/(Assumptions!$AB$9*AO75/100)+AL75)+
Assumptions!$D$10*(AB75/(Assumptions!$AB$8*AO75/100)+AM75)+
Assumptions!$D$12*(AG75/(Assumptions!$AB$10*AO75/100)+AN75),
"")</f>
        <v/>
      </c>
      <c r="AQ75" s="76" t="str">
        <f>IFERROR(
(U75+V75)*Assumptions!$D$11+
(Z75+AA75)*Assumptions!$D$10+
(AE75+AF75)*Assumptions!$D$12,
"")</f>
        <v/>
      </c>
      <c r="AR75" s="104" t="str">
        <f t="shared" ref="AR75:AR107" si="31">IFERROR(AQ75/AP75,"")</f>
        <v/>
      </c>
      <c r="AS75" s="103" t="str">
        <f t="shared" ref="AS75:AS107" si="32">IF(AR75="","",IF(AR75&gt;1,"FAIL","PASS"))</f>
        <v/>
      </c>
      <c r="AT75" s="92"/>
    </row>
    <row r="76" spans="1:46" x14ac:dyDescent="0.25">
      <c r="A76" s="264"/>
      <c r="B76" s="265"/>
      <c r="C76" s="265"/>
      <c r="D76" s="265"/>
      <c r="E76" s="266"/>
      <c r="F76" s="270"/>
      <c r="G76" s="271"/>
      <c r="H76" s="271"/>
      <c r="I76" s="272"/>
      <c r="J76" s="270"/>
      <c r="K76" s="271"/>
      <c r="L76" s="272"/>
      <c r="M76" s="270"/>
      <c r="N76" s="271"/>
      <c r="O76" s="272"/>
      <c r="P76" s="97" t="str">
        <f t="shared" si="17"/>
        <v/>
      </c>
      <c r="Q76" s="84" t="str">
        <f t="shared" si="19"/>
        <v/>
      </c>
      <c r="R76" s="101" t="str">
        <f t="shared" si="20"/>
        <v/>
      </c>
      <c r="S76" s="100" t="str">
        <f t="shared" si="21"/>
        <v/>
      </c>
      <c r="T76" s="95" t="str">
        <f t="shared" si="22"/>
        <v/>
      </c>
      <c r="U76" s="95" t="str">
        <f t="shared" si="23"/>
        <v/>
      </c>
      <c r="V76" s="95" t="str">
        <f>IFERROR(AK76*
(Assumptions!$S$7*(U76/AI76)^3+
Assumptions!$S$8*(U76/AI76)^2+
Assumptions!$S$9*(U76/AI76)+
Assumptions!$S$10),"")</f>
        <v/>
      </c>
      <c r="W76" s="96" t="str">
        <f>IFERROR(S76*T76*Assumptions!$B$15/3956,"")</f>
        <v/>
      </c>
      <c r="X76" s="102" t="str">
        <f t="shared" si="24"/>
        <v/>
      </c>
      <c r="Y76" s="95" t="str">
        <f t="shared" si="25"/>
        <v/>
      </c>
      <c r="Z76" s="95" t="str">
        <f t="shared" si="26"/>
        <v/>
      </c>
      <c r="AA76" s="95" t="str">
        <f>IFERROR(AK76*
(Assumptions!$S$7*(Z76/AI76)^3+
Assumptions!$S$8*(Z76/AI76)^2+
Assumptions!$S$9*(Z76/AI76)+
Assumptions!$S$10),"")</f>
        <v/>
      </c>
      <c r="AB76" s="96" t="str">
        <f>IFERROR(X76*Y76*Assumptions!$B$15/3956,"")</f>
        <v/>
      </c>
      <c r="AC76" s="102" t="str">
        <f t="shared" si="27"/>
        <v/>
      </c>
      <c r="AD76" s="95" t="str">
        <f t="shared" si="28"/>
        <v/>
      </c>
      <c r="AE76" s="95" t="str">
        <f t="shared" si="29"/>
        <v/>
      </c>
      <c r="AF76" s="95" t="str">
        <f>IFERROR(AK76*
(Assumptions!$S$7*(AE76/AI76)^3+
Assumptions!$S$8*(AE76/AI76)^2+
Assumptions!$S$9*(AE76/AI76)+
Assumptions!$S$10),"")</f>
        <v/>
      </c>
      <c r="AG76" s="96" t="str">
        <f>IFERROR(AC76*AD76*Assumptions!$B$15/3956,"")</f>
        <v/>
      </c>
      <c r="AH76" s="94" t="str">
        <f t="shared" si="18"/>
        <v/>
      </c>
      <c r="AI76" s="93" t="str">
        <f>IFERROR(
IF(C76="VTS",
INDEX(Assumptions!$I$38:$I$57,MATCH(AH76,Assumptions!$I$38:$I$57,-1)),
INDEX(Assumptions!$I$13:$I$32,MATCH(AH76,Assumptions!$I$13:$I$32,-1))),
"")</f>
        <v/>
      </c>
      <c r="AJ76" s="96" t="str">
        <f>IFERROR(
IF(C76="VTS",
VLOOKUP(AI76,Assumptions!$I$38:$K$57,MATCH(P76,Assumptions!$I$37:$K$37,0),FALSE),
VLOOKUP(AI76,Assumptions!$I$13:$K$32,MATCH(P76,Assumptions!$I$12:$K$12,0),FALSE)),
"")</f>
        <v/>
      </c>
      <c r="AK76" s="99" t="str">
        <f t="shared" si="30"/>
        <v/>
      </c>
      <c r="AL76" s="95" t="str">
        <f>IFERROR(AK76*
(Assumptions!$S$7*(W76/(AO76*Assumptions!$AB$9/100)/AI76)^3+
Assumptions!$S$8*(W76/(AO76*Assumptions!$AB$9/100)/AI76)^2+
Assumptions!$S$9*(W76/(AO76*Assumptions!$AB$9/100)/AI76)+
Assumptions!$S$10),"")</f>
        <v/>
      </c>
      <c r="AM76" s="95" t="str">
        <f>IFERROR(AK76*
(Assumptions!$S$7*(AB76/(AO76*Assumptions!$AB$8/100)/AI76)^3+
Assumptions!$S$8*(AB76/(AO76*Assumptions!$AB$8/100)/AI76)^2+
Assumptions!$S$9*(AB76/(AO76*Assumptions!$AB$8/100)/AI76)+
Assumptions!$S$10),"")</f>
        <v/>
      </c>
      <c r="AN76" s="95" t="str">
        <f>IFERROR(AK76*
(Assumptions!$S$7*(AG76/(AO76*Assumptions!$AB$10/100)/AI76)^3+
Assumptions!$S$8*(AG76/(AO76*Assumptions!$AB$10/100)/AI76)^2+
Assumptions!$S$9*(AG76/(AO76*Assumptions!$AB$10/100)/AI76)+
Assumptions!$S$10),"")</f>
        <v/>
      </c>
      <c r="AO76" s="95" t="str">
        <f>IFERROR(
Assumptions!$AD$8*LN(S76)^2+
Assumptions!$AE$8*LN(R76)*LN(S76)+
Assumptions!$AF$8*LN(R76)^2+
Assumptions!$AG$8*LN(S76)+
Assumptions!$AH$8*LN(R76)-
(IF(Q76=1800,
VLOOKUP(C76,Assumptions!$AA$13:$AC$17,3),
IF(Q76=3600,
VLOOKUP(C76,Assumptions!$AA$18:$AC$22,3),
""))+Assumptions!$AI$8),
"")</f>
        <v/>
      </c>
      <c r="AP76" s="96" t="str">
        <f>IFERROR(
Assumptions!$D$11*(W76/(Assumptions!$AB$9*AO76/100)+AL76)+
Assumptions!$D$10*(AB76/(Assumptions!$AB$8*AO76/100)+AM76)+
Assumptions!$D$12*(AG76/(Assumptions!$AB$10*AO76/100)+AN76),
"")</f>
        <v/>
      </c>
      <c r="AQ76" s="76" t="str">
        <f>IFERROR(
(U76+V76)*Assumptions!$D$11+
(Z76+AA76)*Assumptions!$D$10+
(AE76+AF76)*Assumptions!$D$12,
"")</f>
        <v/>
      </c>
      <c r="AR76" s="104" t="str">
        <f t="shared" si="31"/>
        <v/>
      </c>
      <c r="AS76" s="103" t="str">
        <f t="shared" si="32"/>
        <v/>
      </c>
      <c r="AT76" s="92"/>
    </row>
    <row r="77" spans="1:46" x14ac:dyDescent="0.25">
      <c r="A77" s="264"/>
      <c r="B77" s="265"/>
      <c r="C77" s="265"/>
      <c r="D77" s="265"/>
      <c r="E77" s="266"/>
      <c r="F77" s="270"/>
      <c r="G77" s="271"/>
      <c r="H77" s="271"/>
      <c r="I77" s="272"/>
      <c r="J77" s="270"/>
      <c r="K77" s="271"/>
      <c r="L77" s="272"/>
      <c r="M77" s="270"/>
      <c r="N77" s="271"/>
      <c r="O77" s="272"/>
      <c r="P77" s="97" t="str">
        <f t="shared" si="17"/>
        <v/>
      </c>
      <c r="Q77" s="84" t="str">
        <f t="shared" si="19"/>
        <v/>
      </c>
      <c r="R77" s="101" t="str">
        <f t="shared" si="20"/>
        <v/>
      </c>
      <c r="S77" s="100" t="str">
        <f t="shared" si="21"/>
        <v/>
      </c>
      <c r="T77" s="95" t="str">
        <f t="shared" si="22"/>
        <v/>
      </c>
      <c r="U77" s="95" t="str">
        <f t="shared" si="23"/>
        <v/>
      </c>
      <c r="V77" s="95" t="str">
        <f>IFERROR(AK77*
(Assumptions!$S$7*(U77/AI77)^3+
Assumptions!$S$8*(U77/AI77)^2+
Assumptions!$S$9*(U77/AI77)+
Assumptions!$S$10),"")</f>
        <v/>
      </c>
      <c r="W77" s="96" t="str">
        <f>IFERROR(S77*T77*Assumptions!$B$15/3956,"")</f>
        <v/>
      </c>
      <c r="X77" s="102" t="str">
        <f t="shared" si="24"/>
        <v/>
      </c>
      <c r="Y77" s="95" t="str">
        <f t="shared" si="25"/>
        <v/>
      </c>
      <c r="Z77" s="95" t="str">
        <f t="shared" si="26"/>
        <v/>
      </c>
      <c r="AA77" s="95" t="str">
        <f>IFERROR(AK77*
(Assumptions!$S$7*(Z77/AI77)^3+
Assumptions!$S$8*(Z77/AI77)^2+
Assumptions!$S$9*(Z77/AI77)+
Assumptions!$S$10),"")</f>
        <v/>
      </c>
      <c r="AB77" s="96" t="str">
        <f>IFERROR(X77*Y77*Assumptions!$B$15/3956,"")</f>
        <v/>
      </c>
      <c r="AC77" s="102" t="str">
        <f t="shared" si="27"/>
        <v/>
      </c>
      <c r="AD77" s="95" t="str">
        <f t="shared" si="28"/>
        <v/>
      </c>
      <c r="AE77" s="95" t="str">
        <f t="shared" si="29"/>
        <v/>
      </c>
      <c r="AF77" s="95" t="str">
        <f>IFERROR(AK77*
(Assumptions!$S$7*(AE77/AI77)^3+
Assumptions!$S$8*(AE77/AI77)^2+
Assumptions!$S$9*(AE77/AI77)+
Assumptions!$S$10),"")</f>
        <v/>
      </c>
      <c r="AG77" s="96" t="str">
        <f>IFERROR(AC77*AD77*Assumptions!$B$15/3956,"")</f>
        <v/>
      </c>
      <c r="AH77" s="94" t="str">
        <f t="shared" si="18"/>
        <v/>
      </c>
      <c r="AI77" s="93" t="str">
        <f>IFERROR(
IF(C77="VTS",
INDEX(Assumptions!$I$38:$I$57,MATCH(AH77,Assumptions!$I$38:$I$57,-1)),
INDEX(Assumptions!$I$13:$I$32,MATCH(AH77,Assumptions!$I$13:$I$32,-1))),
"")</f>
        <v/>
      </c>
      <c r="AJ77" s="96" t="str">
        <f>IFERROR(
IF(C77="VTS",
VLOOKUP(AI77,Assumptions!$I$38:$K$57,MATCH(P77,Assumptions!$I$37:$K$37,0),FALSE),
VLOOKUP(AI77,Assumptions!$I$13:$K$32,MATCH(P77,Assumptions!$I$12:$K$12,0),FALSE)),
"")</f>
        <v/>
      </c>
      <c r="AK77" s="99" t="str">
        <f t="shared" si="30"/>
        <v/>
      </c>
      <c r="AL77" s="95" t="str">
        <f>IFERROR(AK77*
(Assumptions!$S$7*(W77/(AO77*Assumptions!$AB$9/100)/AI77)^3+
Assumptions!$S$8*(W77/(AO77*Assumptions!$AB$9/100)/AI77)^2+
Assumptions!$S$9*(W77/(AO77*Assumptions!$AB$9/100)/AI77)+
Assumptions!$S$10),"")</f>
        <v/>
      </c>
      <c r="AM77" s="95" t="str">
        <f>IFERROR(AK77*
(Assumptions!$S$7*(AB77/(AO77*Assumptions!$AB$8/100)/AI77)^3+
Assumptions!$S$8*(AB77/(AO77*Assumptions!$AB$8/100)/AI77)^2+
Assumptions!$S$9*(AB77/(AO77*Assumptions!$AB$8/100)/AI77)+
Assumptions!$S$10),"")</f>
        <v/>
      </c>
      <c r="AN77" s="95" t="str">
        <f>IFERROR(AK77*
(Assumptions!$S$7*(AG77/(AO77*Assumptions!$AB$10/100)/AI77)^3+
Assumptions!$S$8*(AG77/(AO77*Assumptions!$AB$10/100)/AI77)^2+
Assumptions!$S$9*(AG77/(AO77*Assumptions!$AB$10/100)/AI77)+
Assumptions!$S$10),"")</f>
        <v/>
      </c>
      <c r="AO77" s="95" t="str">
        <f>IFERROR(
Assumptions!$AD$8*LN(S77)^2+
Assumptions!$AE$8*LN(R77)*LN(S77)+
Assumptions!$AF$8*LN(R77)^2+
Assumptions!$AG$8*LN(S77)+
Assumptions!$AH$8*LN(R77)-
(IF(Q77=1800,
VLOOKUP(C77,Assumptions!$AA$13:$AC$17,3),
IF(Q77=3600,
VLOOKUP(C77,Assumptions!$AA$18:$AC$22,3),
""))+Assumptions!$AI$8),
"")</f>
        <v/>
      </c>
      <c r="AP77" s="96" t="str">
        <f>IFERROR(
Assumptions!$D$11*(W77/(Assumptions!$AB$9*AO77/100)+AL77)+
Assumptions!$D$10*(AB77/(Assumptions!$AB$8*AO77/100)+AM77)+
Assumptions!$D$12*(AG77/(Assumptions!$AB$10*AO77/100)+AN77),
"")</f>
        <v/>
      </c>
      <c r="AQ77" s="76" t="str">
        <f>IFERROR(
(U77+V77)*Assumptions!$D$11+
(Z77+AA77)*Assumptions!$D$10+
(AE77+AF77)*Assumptions!$D$12,
"")</f>
        <v/>
      </c>
      <c r="AR77" s="104" t="str">
        <f t="shared" si="31"/>
        <v/>
      </c>
      <c r="AS77" s="103" t="str">
        <f t="shared" si="32"/>
        <v/>
      </c>
      <c r="AT77" s="92"/>
    </row>
    <row r="78" spans="1:46" x14ac:dyDescent="0.25">
      <c r="A78" s="264"/>
      <c r="B78" s="265"/>
      <c r="C78" s="265"/>
      <c r="D78" s="265"/>
      <c r="E78" s="266"/>
      <c r="F78" s="270"/>
      <c r="G78" s="271"/>
      <c r="H78" s="271"/>
      <c r="I78" s="272"/>
      <c r="J78" s="270"/>
      <c r="K78" s="271"/>
      <c r="L78" s="272"/>
      <c r="M78" s="270"/>
      <c r="N78" s="271"/>
      <c r="O78" s="272"/>
      <c r="P78" s="97" t="str">
        <f t="shared" si="17"/>
        <v/>
      </c>
      <c r="Q78" s="84" t="str">
        <f t="shared" si="19"/>
        <v/>
      </c>
      <c r="R78" s="101" t="str">
        <f t="shared" si="20"/>
        <v/>
      </c>
      <c r="S78" s="100" t="str">
        <f t="shared" si="21"/>
        <v/>
      </c>
      <c r="T78" s="95" t="str">
        <f t="shared" si="22"/>
        <v/>
      </c>
      <c r="U78" s="95" t="str">
        <f t="shared" si="23"/>
        <v/>
      </c>
      <c r="V78" s="95" t="str">
        <f>IFERROR(AK78*
(Assumptions!$S$7*(U78/AI78)^3+
Assumptions!$S$8*(U78/AI78)^2+
Assumptions!$S$9*(U78/AI78)+
Assumptions!$S$10),"")</f>
        <v/>
      </c>
      <c r="W78" s="96" t="str">
        <f>IFERROR(S78*T78*Assumptions!$B$15/3956,"")</f>
        <v/>
      </c>
      <c r="X78" s="102" t="str">
        <f t="shared" si="24"/>
        <v/>
      </c>
      <c r="Y78" s="95" t="str">
        <f t="shared" si="25"/>
        <v/>
      </c>
      <c r="Z78" s="95" t="str">
        <f t="shared" si="26"/>
        <v/>
      </c>
      <c r="AA78" s="95" t="str">
        <f>IFERROR(AK78*
(Assumptions!$S$7*(Z78/AI78)^3+
Assumptions!$S$8*(Z78/AI78)^2+
Assumptions!$S$9*(Z78/AI78)+
Assumptions!$S$10),"")</f>
        <v/>
      </c>
      <c r="AB78" s="96" t="str">
        <f>IFERROR(X78*Y78*Assumptions!$B$15/3956,"")</f>
        <v/>
      </c>
      <c r="AC78" s="102" t="str">
        <f t="shared" si="27"/>
        <v/>
      </c>
      <c r="AD78" s="95" t="str">
        <f t="shared" si="28"/>
        <v/>
      </c>
      <c r="AE78" s="95" t="str">
        <f t="shared" si="29"/>
        <v/>
      </c>
      <c r="AF78" s="95" t="str">
        <f>IFERROR(AK78*
(Assumptions!$S$7*(AE78/AI78)^3+
Assumptions!$S$8*(AE78/AI78)^2+
Assumptions!$S$9*(AE78/AI78)+
Assumptions!$S$10),"")</f>
        <v/>
      </c>
      <c r="AG78" s="96" t="str">
        <f>IFERROR(AC78*AD78*Assumptions!$B$15/3956,"")</f>
        <v/>
      </c>
      <c r="AH78" s="94" t="str">
        <f t="shared" si="18"/>
        <v/>
      </c>
      <c r="AI78" s="93" t="str">
        <f>IFERROR(
IF(C78="VTS",
INDEX(Assumptions!$I$38:$I$57,MATCH(AH78,Assumptions!$I$38:$I$57,-1)),
INDEX(Assumptions!$I$13:$I$32,MATCH(AH78,Assumptions!$I$13:$I$32,-1))),
"")</f>
        <v/>
      </c>
      <c r="AJ78" s="96" t="str">
        <f>IFERROR(
IF(C78="VTS",
VLOOKUP(AI78,Assumptions!$I$38:$K$57,MATCH(P78,Assumptions!$I$37:$K$37,0),FALSE),
VLOOKUP(AI78,Assumptions!$I$13:$K$32,MATCH(P78,Assumptions!$I$12:$K$12,0),FALSE)),
"")</f>
        <v/>
      </c>
      <c r="AK78" s="99" t="str">
        <f t="shared" si="30"/>
        <v/>
      </c>
      <c r="AL78" s="95" t="str">
        <f>IFERROR(AK78*
(Assumptions!$S$7*(W78/(AO78*Assumptions!$AB$9/100)/AI78)^3+
Assumptions!$S$8*(W78/(AO78*Assumptions!$AB$9/100)/AI78)^2+
Assumptions!$S$9*(W78/(AO78*Assumptions!$AB$9/100)/AI78)+
Assumptions!$S$10),"")</f>
        <v/>
      </c>
      <c r="AM78" s="95" t="str">
        <f>IFERROR(AK78*
(Assumptions!$S$7*(AB78/(AO78*Assumptions!$AB$8/100)/AI78)^3+
Assumptions!$S$8*(AB78/(AO78*Assumptions!$AB$8/100)/AI78)^2+
Assumptions!$S$9*(AB78/(AO78*Assumptions!$AB$8/100)/AI78)+
Assumptions!$S$10),"")</f>
        <v/>
      </c>
      <c r="AN78" s="95" t="str">
        <f>IFERROR(AK78*
(Assumptions!$S$7*(AG78/(AO78*Assumptions!$AB$10/100)/AI78)^3+
Assumptions!$S$8*(AG78/(AO78*Assumptions!$AB$10/100)/AI78)^2+
Assumptions!$S$9*(AG78/(AO78*Assumptions!$AB$10/100)/AI78)+
Assumptions!$S$10),"")</f>
        <v/>
      </c>
      <c r="AO78" s="95" t="str">
        <f>IFERROR(
Assumptions!$AD$8*LN(S78)^2+
Assumptions!$AE$8*LN(R78)*LN(S78)+
Assumptions!$AF$8*LN(R78)^2+
Assumptions!$AG$8*LN(S78)+
Assumptions!$AH$8*LN(R78)-
(IF(Q78=1800,
VLOOKUP(C78,Assumptions!$AA$13:$AC$17,3),
IF(Q78=3600,
VLOOKUP(C78,Assumptions!$AA$18:$AC$22,3),
""))+Assumptions!$AI$8),
"")</f>
        <v/>
      </c>
      <c r="AP78" s="96" t="str">
        <f>IFERROR(
Assumptions!$D$11*(W78/(Assumptions!$AB$9*AO78/100)+AL78)+
Assumptions!$D$10*(AB78/(Assumptions!$AB$8*AO78/100)+AM78)+
Assumptions!$D$12*(AG78/(Assumptions!$AB$10*AO78/100)+AN78),
"")</f>
        <v/>
      </c>
      <c r="AQ78" s="76" t="str">
        <f>IFERROR(
(U78+V78)*Assumptions!$D$11+
(Z78+AA78)*Assumptions!$D$10+
(AE78+AF78)*Assumptions!$D$12,
"")</f>
        <v/>
      </c>
      <c r="AR78" s="104" t="str">
        <f t="shared" si="31"/>
        <v/>
      </c>
      <c r="AS78" s="103" t="str">
        <f t="shared" si="32"/>
        <v/>
      </c>
      <c r="AT78" s="92"/>
    </row>
    <row r="79" spans="1:46" x14ac:dyDescent="0.25">
      <c r="A79" s="264"/>
      <c r="B79" s="265"/>
      <c r="C79" s="265"/>
      <c r="D79" s="265"/>
      <c r="E79" s="266"/>
      <c r="F79" s="270"/>
      <c r="G79" s="271"/>
      <c r="H79" s="271"/>
      <c r="I79" s="272"/>
      <c r="J79" s="270"/>
      <c r="K79" s="271"/>
      <c r="L79" s="272"/>
      <c r="M79" s="270"/>
      <c r="N79" s="271"/>
      <c r="O79" s="272"/>
      <c r="P79" s="97" t="str">
        <f t="shared" si="17"/>
        <v/>
      </c>
      <c r="Q79" s="84" t="str">
        <f t="shared" si="19"/>
        <v/>
      </c>
      <c r="R79" s="101" t="str">
        <f t="shared" si="20"/>
        <v/>
      </c>
      <c r="S79" s="100" t="str">
        <f t="shared" si="21"/>
        <v/>
      </c>
      <c r="T79" s="95" t="str">
        <f t="shared" si="22"/>
        <v/>
      </c>
      <c r="U79" s="95" t="str">
        <f t="shared" si="23"/>
        <v/>
      </c>
      <c r="V79" s="95" t="str">
        <f>IFERROR(AK79*
(Assumptions!$S$7*(U79/AI79)^3+
Assumptions!$S$8*(U79/AI79)^2+
Assumptions!$S$9*(U79/AI79)+
Assumptions!$S$10),"")</f>
        <v/>
      </c>
      <c r="W79" s="96" t="str">
        <f>IFERROR(S79*T79*Assumptions!$B$15/3956,"")</f>
        <v/>
      </c>
      <c r="X79" s="102" t="str">
        <f t="shared" si="24"/>
        <v/>
      </c>
      <c r="Y79" s="95" t="str">
        <f t="shared" si="25"/>
        <v/>
      </c>
      <c r="Z79" s="95" t="str">
        <f t="shared" si="26"/>
        <v/>
      </c>
      <c r="AA79" s="95" t="str">
        <f>IFERROR(AK79*
(Assumptions!$S$7*(Z79/AI79)^3+
Assumptions!$S$8*(Z79/AI79)^2+
Assumptions!$S$9*(Z79/AI79)+
Assumptions!$S$10),"")</f>
        <v/>
      </c>
      <c r="AB79" s="96" t="str">
        <f>IFERROR(X79*Y79*Assumptions!$B$15/3956,"")</f>
        <v/>
      </c>
      <c r="AC79" s="102" t="str">
        <f t="shared" si="27"/>
        <v/>
      </c>
      <c r="AD79" s="95" t="str">
        <f t="shared" si="28"/>
        <v/>
      </c>
      <c r="AE79" s="95" t="str">
        <f t="shared" si="29"/>
        <v/>
      </c>
      <c r="AF79" s="95" t="str">
        <f>IFERROR(AK79*
(Assumptions!$S$7*(AE79/AI79)^3+
Assumptions!$S$8*(AE79/AI79)^2+
Assumptions!$S$9*(AE79/AI79)+
Assumptions!$S$10),"")</f>
        <v/>
      </c>
      <c r="AG79" s="96" t="str">
        <f>IFERROR(AC79*AD79*Assumptions!$B$15/3956,"")</f>
        <v/>
      </c>
      <c r="AH79" s="94" t="str">
        <f t="shared" si="18"/>
        <v/>
      </c>
      <c r="AI79" s="93" t="str">
        <f>IFERROR(
IF(C79="VTS",
INDEX(Assumptions!$I$38:$I$57,MATCH(AH79,Assumptions!$I$38:$I$57,-1)),
INDEX(Assumptions!$I$13:$I$32,MATCH(AH79,Assumptions!$I$13:$I$32,-1))),
"")</f>
        <v/>
      </c>
      <c r="AJ79" s="96" t="str">
        <f>IFERROR(
IF(C79="VTS",
VLOOKUP(AI79,Assumptions!$I$38:$K$57,MATCH(P79,Assumptions!$I$37:$K$37,0),FALSE),
VLOOKUP(AI79,Assumptions!$I$13:$K$32,MATCH(P79,Assumptions!$I$12:$K$12,0),FALSE)),
"")</f>
        <v/>
      </c>
      <c r="AK79" s="99" t="str">
        <f t="shared" si="30"/>
        <v/>
      </c>
      <c r="AL79" s="95" t="str">
        <f>IFERROR(AK79*
(Assumptions!$S$7*(W79/(AO79*Assumptions!$AB$9/100)/AI79)^3+
Assumptions!$S$8*(W79/(AO79*Assumptions!$AB$9/100)/AI79)^2+
Assumptions!$S$9*(W79/(AO79*Assumptions!$AB$9/100)/AI79)+
Assumptions!$S$10),"")</f>
        <v/>
      </c>
      <c r="AM79" s="95" t="str">
        <f>IFERROR(AK79*
(Assumptions!$S$7*(AB79/(AO79*Assumptions!$AB$8/100)/AI79)^3+
Assumptions!$S$8*(AB79/(AO79*Assumptions!$AB$8/100)/AI79)^2+
Assumptions!$S$9*(AB79/(AO79*Assumptions!$AB$8/100)/AI79)+
Assumptions!$S$10),"")</f>
        <v/>
      </c>
      <c r="AN79" s="95" t="str">
        <f>IFERROR(AK79*
(Assumptions!$S$7*(AG79/(AO79*Assumptions!$AB$10/100)/AI79)^3+
Assumptions!$S$8*(AG79/(AO79*Assumptions!$AB$10/100)/AI79)^2+
Assumptions!$S$9*(AG79/(AO79*Assumptions!$AB$10/100)/AI79)+
Assumptions!$S$10),"")</f>
        <v/>
      </c>
      <c r="AO79" s="95" t="str">
        <f>IFERROR(
Assumptions!$AD$8*LN(S79)^2+
Assumptions!$AE$8*LN(R79)*LN(S79)+
Assumptions!$AF$8*LN(R79)^2+
Assumptions!$AG$8*LN(S79)+
Assumptions!$AH$8*LN(R79)-
(IF(Q79=1800,
VLOOKUP(C79,Assumptions!$AA$13:$AC$17,3),
IF(Q79=3600,
VLOOKUP(C79,Assumptions!$AA$18:$AC$22,3),
""))+Assumptions!$AI$8),
"")</f>
        <v/>
      </c>
      <c r="AP79" s="96" t="str">
        <f>IFERROR(
Assumptions!$D$11*(W79/(Assumptions!$AB$9*AO79/100)+AL79)+
Assumptions!$D$10*(AB79/(Assumptions!$AB$8*AO79/100)+AM79)+
Assumptions!$D$12*(AG79/(Assumptions!$AB$10*AO79/100)+AN79),
"")</f>
        <v/>
      </c>
      <c r="AQ79" s="76" t="str">
        <f>IFERROR(
(U79+V79)*Assumptions!$D$11+
(Z79+AA79)*Assumptions!$D$10+
(AE79+AF79)*Assumptions!$D$12,
"")</f>
        <v/>
      </c>
      <c r="AR79" s="104" t="str">
        <f t="shared" si="31"/>
        <v/>
      </c>
      <c r="AS79" s="103" t="str">
        <f t="shared" si="32"/>
        <v/>
      </c>
      <c r="AT79" s="92"/>
    </row>
    <row r="80" spans="1:46" x14ac:dyDescent="0.25">
      <c r="A80" s="264"/>
      <c r="B80" s="265"/>
      <c r="C80" s="265"/>
      <c r="D80" s="265"/>
      <c r="E80" s="266"/>
      <c r="F80" s="270"/>
      <c r="G80" s="271"/>
      <c r="H80" s="271"/>
      <c r="I80" s="272"/>
      <c r="J80" s="270"/>
      <c r="K80" s="271"/>
      <c r="L80" s="272"/>
      <c r="M80" s="270"/>
      <c r="N80" s="271"/>
      <c r="O80" s="272"/>
      <c r="P80" s="97" t="str">
        <f t="shared" si="17"/>
        <v/>
      </c>
      <c r="Q80" s="84" t="str">
        <f t="shared" si="19"/>
        <v/>
      </c>
      <c r="R80" s="101" t="str">
        <f t="shared" si="20"/>
        <v/>
      </c>
      <c r="S80" s="100" t="str">
        <f t="shared" si="21"/>
        <v/>
      </c>
      <c r="T80" s="95" t="str">
        <f t="shared" si="22"/>
        <v/>
      </c>
      <c r="U80" s="95" t="str">
        <f t="shared" si="23"/>
        <v/>
      </c>
      <c r="V80" s="95" t="str">
        <f>IFERROR(AK80*
(Assumptions!$S$7*(U80/AI80)^3+
Assumptions!$S$8*(U80/AI80)^2+
Assumptions!$S$9*(U80/AI80)+
Assumptions!$S$10),"")</f>
        <v/>
      </c>
      <c r="W80" s="96" t="str">
        <f>IFERROR(S80*T80*Assumptions!$B$15/3956,"")</f>
        <v/>
      </c>
      <c r="X80" s="102" t="str">
        <f t="shared" si="24"/>
        <v/>
      </c>
      <c r="Y80" s="95" t="str">
        <f t="shared" si="25"/>
        <v/>
      </c>
      <c r="Z80" s="95" t="str">
        <f t="shared" si="26"/>
        <v/>
      </c>
      <c r="AA80" s="95" t="str">
        <f>IFERROR(AK80*
(Assumptions!$S$7*(Z80/AI80)^3+
Assumptions!$S$8*(Z80/AI80)^2+
Assumptions!$S$9*(Z80/AI80)+
Assumptions!$S$10),"")</f>
        <v/>
      </c>
      <c r="AB80" s="96" t="str">
        <f>IFERROR(X80*Y80*Assumptions!$B$15/3956,"")</f>
        <v/>
      </c>
      <c r="AC80" s="102" t="str">
        <f t="shared" si="27"/>
        <v/>
      </c>
      <c r="AD80" s="95" t="str">
        <f t="shared" si="28"/>
        <v/>
      </c>
      <c r="AE80" s="95" t="str">
        <f t="shared" si="29"/>
        <v/>
      </c>
      <c r="AF80" s="95" t="str">
        <f>IFERROR(AK80*
(Assumptions!$S$7*(AE80/AI80)^3+
Assumptions!$S$8*(AE80/AI80)^2+
Assumptions!$S$9*(AE80/AI80)+
Assumptions!$S$10),"")</f>
        <v/>
      </c>
      <c r="AG80" s="96" t="str">
        <f>IFERROR(AC80*AD80*Assumptions!$B$15/3956,"")</f>
        <v/>
      </c>
      <c r="AH80" s="94" t="str">
        <f t="shared" si="18"/>
        <v/>
      </c>
      <c r="AI80" s="93" t="str">
        <f>IFERROR(
IF(C80="VTS",
INDEX(Assumptions!$I$38:$I$57,MATCH(AH80,Assumptions!$I$38:$I$57,-1)),
INDEX(Assumptions!$I$13:$I$32,MATCH(AH80,Assumptions!$I$13:$I$32,-1))),
"")</f>
        <v/>
      </c>
      <c r="AJ80" s="96" t="str">
        <f>IFERROR(
IF(C80="VTS",
VLOOKUP(AI80,Assumptions!$I$38:$K$57,MATCH(P80,Assumptions!$I$37:$K$37,0),FALSE),
VLOOKUP(AI80,Assumptions!$I$13:$K$32,MATCH(P80,Assumptions!$I$12:$K$12,0),FALSE)),
"")</f>
        <v/>
      </c>
      <c r="AK80" s="99" t="str">
        <f t="shared" si="30"/>
        <v/>
      </c>
      <c r="AL80" s="95" t="str">
        <f>IFERROR(AK80*
(Assumptions!$S$7*(W80/(AO80*Assumptions!$AB$9/100)/AI80)^3+
Assumptions!$S$8*(W80/(AO80*Assumptions!$AB$9/100)/AI80)^2+
Assumptions!$S$9*(W80/(AO80*Assumptions!$AB$9/100)/AI80)+
Assumptions!$S$10),"")</f>
        <v/>
      </c>
      <c r="AM80" s="95" t="str">
        <f>IFERROR(AK80*
(Assumptions!$S$7*(AB80/(AO80*Assumptions!$AB$8/100)/AI80)^3+
Assumptions!$S$8*(AB80/(AO80*Assumptions!$AB$8/100)/AI80)^2+
Assumptions!$S$9*(AB80/(AO80*Assumptions!$AB$8/100)/AI80)+
Assumptions!$S$10),"")</f>
        <v/>
      </c>
      <c r="AN80" s="95" t="str">
        <f>IFERROR(AK80*
(Assumptions!$S$7*(AG80/(AO80*Assumptions!$AB$10/100)/AI80)^3+
Assumptions!$S$8*(AG80/(AO80*Assumptions!$AB$10/100)/AI80)^2+
Assumptions!$S$9*(AG80/(AO80*Assumptions!$AB$10/100)/AI80)+
Assumptions!$S$10),"")</f>
        <v/>
      </c>
      <c r="AO80" s="95" t="str">
        <f>IFERROR(
Assumptions!$AD$8*LN(S80)^2+
Assumptions!$AE$8*LN(R80)*LN(S80)+
Assumptions!$AF$8*LN(R80)^2+
Assumptions!$AG$8*LN(S80)+
Assumptions!$AH$8*LN(R80)-
(IF(Q80=1800,
VLOOKUP(C80,Assumptions!$AA$13:$AC$17,3),
IF(Q80=3600,
VLOOKUP(C80,Assumptions!$AA$18:$AC$22,3),
""))+Assumptions!$AI$8),
"")</f>
        <v/>
      </c>
      <c r="AP80" s="96" t="str">
        <f>IFERROR(
Assumptions!$D$11*(W80/(Assumptions!$AB$9*AO80/100)+AL80)+
Assumptions!$D$10*(AB80/(Assumptions!$AB$8*AO80/100)+AM80)+
Assumptions!$D$12*(AG80/(Assumptions!$AB$10*AO80/100)+AN80),
"")</f>
        <v/>
      </c>
      <c r="AQ80" s="76" t="str">
        <f>IFERROR(
(U80+V80)*Assumptions!$D$11+
(Z80+AA80)*Assumptions!$D$10+
(AE80+AF80)*Assumptions!$D$12,
"")</f>
        <v/>
      </c>
      <c r="AR80" s="104" t="str">
        <f t="shared" si="31"/>
        <v/>
      </c>
      <c r="AS80" s="103" t="str">
        <f t="shared" si="32"/>
        <v/>
      </c>
      <c r="AT80" s="92"/>
    </row>
    <row r="81" spans="1:46" x14ac:dyDescent="0.25">
      <c r="A81" s="264"/>
      <c r="B81" s="265"/>
      <c r="C81" s="265"/>
      <c r="D81" s="265"/>
      <c r="E81" s="266"/>
      <c r="F81" s="270"/>
      <c r="G81" s="271"/>
      <c r="H81" s="271"/>
      <c r="I81" s="272"/>
      <c r="J81" s="270"/>
      <c r="K81" s="271"/>
      <c r="L81" s="272"/>
      <c r="M81" s="270"/>
      <c r="N81" s="271"/>
      <c r="O81" s="272"/>
      <c r="P81" s="97" t="str">
        <f t="shared" si="17"/>
        <v/>
      </c>
      <c r="Q81" s="84" t="str">
        <f t="shared" si="19"/>
        <v/>
      </c>
      <c r="R81" s="101" t="str">
        <f t="shared" si="20"/>
        <v/>
      </c>
      <c r="S81" s="100" t="str">
        <f t="shared" si="21"/>
        <v/>
      </c>
      <c r="T81" s="95" t="str">
        <f t="shared" si="22"/>
        <v/>
      </c>
      <c r="U81" s="95" t="str">
        <f t="shared" si="23"/>
        <v/>
      </c>
      <c r="V81" s="95" t="str">
        <f>IFERROR(AK81*
(Assumptions!$S$7*(U81/AI81)^3+
Assumptions!$S$8*(U81/AI81)^2+
Assumptions!$S$9*(U81/AI81)+
Assumptions!$S$10),"")</f>
        <v/>
      </c>
      <c r="W81" s="96" t="str">
        <f>IFERROR(S81*T81*Assumptions!$B$15/3956,"")</f>
        <v/>
      </c>
      <c r="X81" s="102" t="str">
        <f t="shared" si="24"/>
        <v/>
      </c>
      <c r="Y81" s="95" t="str">
        <f t="shared" si="25"/>
        <v/>
      </c>
      <c r="Z81" s="95" t="str">
        <f t="shared" si="26"/>
        <v/>
      </c>
      <c r="AA81" s="95" t="str">
        <f>IFERROR(AK81*
(Assumptions!$S$7*(Z81/AI81)^3+
Assumptions!$S$8*(Z81/AI81)^2+
Assumptions!$S$9*(Z81/AI81)+
Assumptions!$S$10),"")</f>
        <v/>
      </c>
      <c r="AB81" s="96" t="str">
        <f>IFERROR(X81*Y81*Assumptions!$B$15/3956,"")</f>
        <v/>
      </c>
      <c r="AC81" s="102" t="str">
        <f t="shared" si="27"/>
        <v/>
      </c>
      <c r="AD81" s="95" t="str">
        <f t="shared" si="28"/>
        <v/>
      </c>
      <c r="AE81" s="95" t="str">
        <f t="shared" si="29"/>
        <v/>
      </c>
      <c r="AF81" s="95" t="str">
        <f>IFERROR(AK81*
(Assumptions!$S$7*(AE81/AI81)^3+
Assumptions!$S$8*(AE81/AI81)^2+
Assumptions!$S$9*(AE81/AI81)+
Assumptions!$S$10),"")</f>
        <v/>
      </c>
      <c r="AG81" s="96" t="str">
        <f>IFERROR(AC81*AD81*Assumptions!$B$15/3956,"")</f>
        <v/>
      </c>
      <c r="AH81" s="94" t="str">
        <f t="shared" si="18"/>
        <v/>
      </c>
      <c r="AI81" s="93" t="str">
        <f>IFERROR(
IF(C81="VTS",
INDEX(Assumptions!$I$38:$I$57,MATCH(AH81,Assumptions!$I$38:$I$57,-1)),
INDEX(Assumptions!$I$13:$I$32,MATCH(AH81,Assumptions!$I$13:$I$32,-1))),
"")</f>
        <v/>
      </c>
      <c r="AJ81" s="96" t="str">
        <f>IFERROR(
IF(C81="VTS",
VLOOKUP(AI81,Assumptions!$I$38:$K$57,MATCH(P81,Assumptions!$I$37:$K$37,0),FALSE),
VLOOKUP(AI81,Assumptions!$I$13:$K$32,MATCH(P81,Assumptions!$I$12:$K$12,0),FALSE)),
"")</f>
        <v/>
      </c>
      <c r="AK81" s="99" t="str">
        <f t="shared" si="30"/>
        <v/>
      </c>
      <c r="AL81" s="95" t="str">
        <f>IFERROR(AK81*
(Assumptions!$S$7*(W81/(AO81*Assumptions!$AB$9/100)/AI81)^3+
Assumptions!$S$8*(W81/(AO81*Assumptions!$AB$9/100)/AI81)^2+
Assumptions!$S$9*(W81/(AO81*Assumptions!$AB$9/100)/AI81)+
Assumptions!$S$10),"")</f>
        <v/>
      </c>
      <c r="AM81" s="95" t="str">
        <f>IFERROR(AK81*
(Assumptions!$S$7*(AB81/(AO81*Assumptions!$AB$8/100)/AI81)^3+
Assumptions!$S$8*(AB81/(AO81*Assumptions!$AB$8/100)/AI81)^2+
Assumptions!$S$9*(AB81/(AO81*Assumptions!$AB$8/100)/AI81)+
Assumptions!$S$10),"")</f>
        <v/>
      </c>
      <c r="AN81" s="95" t="str">
        <f>IFERROR(AK81*
(Assumptions!$S$7*(AG81/(AO81*Assumptions!$AB$10/100)/AI81)^3+
Assumptions!$S$8*(AG81/(AO81*Assumptions!$AB$10/100)/AI81)^2+
Assumptions!$S$9*(AG81/(AO81*Assumptions!$AB$10/100)/AI81)+
Assumptions!$S$10),"")</f>
        <v/>
      </c>
      <c r="AO81" s="95" t="str">
        <f>IFERROR(
Assumptions!$AD$8*LN(S81)^2+
Assumptions!$AE$8*LN(R81)*LN(S81)+
Assumptions!$AF$8*LN(R81)^2+
Assumptions!$AG$8*LN(S81)+
Assumptions!$AH$8*LN(R81)-
(IF(Q81=1800,
VLOOKUP(C81,Assumptions!$AA$13:$AC$17,3),
IF(Q81=3600,
VLOOKUP(C81,Assumptions!$AA$18:$AC$22,3),
""))+Assumptions!$AI$8),
"")</f>
        <v/>
      </c>
      <c r="AP81" s="96" t="str">
        <f>IFERROR(
Assumptions!$D$11*(W81/(Assumptions!$AB$9*AO81/100)+AL81)+
Assumptions!$D$10*(AB81/(Assumptions!$AB$8*AO81/100)+AM81)+
Assumptions!$D$12*(AG81/(Assumptions!$AB$10*AO81/100)+AN81),
"")</f>
        <v/>
      </c>
      <c r="AQ81" s="76" t="str">
        <f>IFERROR(
(U81+V81)*Assumptions!$D$11+
(Z81+AA81)*Assumptions!$D$10+
(AE81+AF81)*Assumptions!$D$12,
"")</f>
        <v/>
      </c>
      <c r="AR81" s="104" t="str">
        <f t="shared" si="31"/>
        <v/>
      </c>
      <c r="AS81" s="103" t="str">
        <f t="shared" si="32"/>
        <v/>
      </c>
      <c r="AT81" s="92"/>
    </row>
    <row r="82" spans="1:46" x14ac:dyDescent="0.25">
      <c r="A82" s="264"/>
      <c r="B82" s="265"/>
      <c r="C82" s="265"/>
      <c r="D82" s="265"/>
      <c r="E82" s="266"/>
      <c r="F82" s="270"/>
      <c r="G82" s="271"/>
      <c r="H82" s="271"/>
      <c r="I82" s="272"/>
      <c r="J82" s="270"/>
      <c r="K82" s="271"/>
      <c r="L82" s="272"/>
      <c r="M82" s="270"/>
      <c r="N82" s="271"/>
      <c r="O82" s="272"/>
      <c r="P82" s="97" t="str">
        <f t="shared" si="17"/>
        <v/>
      </c>
      <c r="Q82" s="84" t="str">
        <f t="shared" si="19"/>
        <v/>
      </c>
      <c r="R82" s="101" t="str">
        <f t="shared" si="20"/>
        <v/>
      </c>
      <c r="S82" s="100" t="str">
        <f t="shared" si="21"/>
        <v/>
      </c>
      <c r="T82" s="95" t="str">
        <f t="shared" si="22"/>
        <v/>
      </c>
      <c r="U82" s="95" t="str">
        <f t="shared" si="23"/>
        <v/>
      </c>
      <c r="V82" s="95" t="str">
        <f>IFERROR(AK82*
(Assumptions!$S$7*(U82/AI82)^3+
Assumptions!$S$8*(U82/AI82)^2+
Assumptions!$S$9*(U82/AI82)+
Assumptions!$S$10),"")</f>
        <v/>
      </c>
      <c r="W82" s="96" t="str">
        <f>IFERROR(S82*T82*Assumptions!$B$15/3956,"")</f>
        <v/>
      </c>
      <c r="X82" s="102" t="str">
        <f t="shared" si="24"/>
        <v/>
      </c>
      <c r="Y82" s="95" t="str">
        <f t="shared" si="25"/>
        <v/>
      </c>
      <c r="Z82" s="95" t="str">
        <f t="shared" si="26"/>
        <v/>
      </c>
      <c r="AA82" s="95" t="str">
        <f>IFERROR(AK82*
(Assumptions!$S$7*(Z82/AI82)^3+
Assumptions!$S$8*(Z82/AI82)^2+
Assumptions!$S$9*(Z82/AI82)+
Assumptions!$S$10),"")</f>
        <v/>
      </c>
      <c r="AB82" s="96" t="str">
        <f>IFERROR(X82*Y82*Assumptions!$B$15/3956,"")</f>
        <v/>
      </c>
      <c r="AC82" s="102" t="str">
        <f t="shared" si="27"/>
        <v/>
      </c>
      <c r="AD82" s="95" t="str">
        <f t="shared" si="28"/>
        <v/>
      </c>
      <c r="AE82" s="95" t="str">
        <f t="shared" si="29"/>
        <v/>
      </c>
      <c r="AF82" s="95" t="str">
        <f>IFERROR(AK82*
(Assumptions!$S$7*(AE82/AI82)^3+
Assumptions!$S$8*(AE82/AI82)^2+
Assumptions!$S$9*(AE82/AI82)+
Assumptions!$S$10),"")</f>
        <v/>
      </c>
      <c r="AG82" s="96" t="str">
        <f>IFERROR(AC82*AD82*Assumptions!$B$15/3956,"")</f>
        <v/>
      </c>
      <c r="AH82" s="94" t="str">
        <f t="shared" si="18"/>
        <v/>
      </c>
      <c r="AI82" s="93" t="str">
        <f>IFERROR(
IF(C82="VTS",
INDEX(Assumptions!$I$38:$I$57,MATCH(AH82,Assumptions!$I$38:$I$57,-1)),
INDEX(Assumptions!$I$13:$I$32,MATCH(AH82,Assumptions!$I$13:$I$32,-1))),
"")</f>
        <v/>
      </c>
      <c r="AJ82" s="96" t="str">
        <f>IFERROR(
IF(C82="VTS",
VLOOKUP(AI82,Assumptions!$I$38:$K$57,MATCH(P82,Assumptions!$I$37:$K$37,0),FALSE),
VLOOKUP(AI82,Assumptions!$I$13:$K$32,MATCH(P82,Assumptions!$I$12:$K$12,0),FALSE)),
"")</f>
        <v/>
      </c>
      <c r="AK82" s="99" t="str">
        <f t="shared" si="30"/>
        <v/>
      </c>
      <c r="AL82" s="95" t="str">
        <f>IFERROR(AK82*
(Assumptions!$S$7*(W82/(AO82*Assumptions!$AB$9/100)/AI82)^3+
Assumptions!$S$8*(W82/(AO82*Assumptions!$AB$9/100)/AI82)^2+
Assumptions!$S$9*(W82/(AO82*Assumptions!$AB$9/100)/AI82)+
Assumptions!$S$10),"")</f>
        <v/>
      </c>
      <c r="AM82" s="95" t="str">
        <f>IFERROR(AK82*
(Assumptions!$S$7*(AB82/(AO82*Assumptions!$AB$8/100)/AI82)^3+
Assumptions!$S$8*(AB82/(AO82*Assumptions!$AB$8/100)/AI82)^2+
Assumptions!$S$9*(AB82/(AO82*Assumptions!$AB$8/100)/AI82)+
Assumptions!$S$10),"")</f>
        <v/>
      </c>
      <c r="AN82" s="95" t="str">
        <f>IFERROR(AK82*
(Assumptions!$S$7*(AG82/(AO82*Assumptions!$AB$10/100)/AI82)^3+
Assumptions!$S$8*(AG82/(AO82*Assumptions!$AB$10/100)/AI82)^2+
Assumptions!$S$9*(AG82/(AO82*Assumptions!$AB$10/100)/AI82)+
Assumptions!$S$10),"")</f>
        <v/>
      </c>
      <c r="AO82" s="95" t="str">
        <f>IFERROR(
Assumptions!$AD$8*LN(S82)^2+
Assumptions!$AE$8*LN(R82)*LN(S82)+
Assumptions!$AF$8*LN(R82)^2+
Assumptions!$AG$8*LN(S82)+
Assumptions!$AH$8*LN(R82)-
(IF(Q82=1800,
VLOOKUP(C82,Assumptions!$AA$13:$AC$17,3),
IF(Q82=3600,
VLOOKUP(C82,Assumptions!$AA$18:$AC$22,3),
""))+Assumptions!$AI$8),
"")</f>
        <v/>
      </c>
      <c r="AP82" s="96" t="str">
        <f>IFERROR(
Assumptions!$D$11*(W82/(Assumptions!$AB$9*AO82/100)+AL82)+
Assumptions!$D$10*(AB82/(Assumptions!$AB$8*AO82/100)+AM82)+
Assumptions!$D$12*(AG82/(Assumptions!$AB$10*AO82/100)+AN82),
"")</f>
        <v/>
      </c>
      <c r="AQ82" s="76" t="str">
        <f>IFERROR(
(U82+V82)*Assumptions!$D$11+
(Z82+AA82)*Assumptions!$D$10+
(AE82+AF82)*Assumptions!$D$12,
"")</f>
        <v/>
      </c>
      <c r="AR82" s="104" t="str">
        <f t="shared" si="31"/>
        <v/>
      </c>
      <c r="AS82" s="103" t="str">
        <f t="shared" si="32"/>
        <v/>
      </c>
      <c r="AT82" s="92"/>
    </row>
    <row r="83" spans="1:46" x14ac:dyDescent="0.25">
      <c r="A83" s="264"/>
      <c r="B83" s="265"/>
      <c r="C83" s="265"/>
      <c r="D83" s="265"/>
      <c r="E83" s="266"/>
      <c r="F83" s="270"/>
      <c r="G83" s="271"/>
      <c r="H83" s="271"/>
      <c r="I83" s="272"/>
      <c r="J83" s="270"/>
      <c r="K83" s="271"/>
      <c r="L83" s="272"/>
      <c r="M83" s="270"/>
      <c r="N83" s="271"/>
      <c r="O83" s="272"/>
      <c r="P83" s="97" t="str">
        <f t="shared" si="17"/>
        <v/>
      </c>
      <c r="Q83" s="84" t="str">
        <f t="shared" si="19"/>
        <v/>
      </c>
      <c r="R83" s="101" t="str">
        <f t="shared" si="20"/>
        <v/>
      </c>
      <c r="S83" s="100" t="str">
        <f t="shared" si="21"/>
        <v/>
      </c>
      <c r="T83" s="95" t="str">
        <f t="shared" si="22"/>
        <v/>
      </c>
      <c r="U83" s="95" t="str">
        <f t="shared" si="23"/>
        <v/>
      </c>
      <c r="V83" s="95" t="str">
        <f>IFERROR(AK83*
(Assumptions!$S$7*(U83/AI83)^3+
Assumptions!$S$8*(U83/AI83)^2+
Assumptions!$S$9*(U83/AI83)+
Assumptions!$S$10),"")</f>
        <v/>
      </c>
      <c r="W83" s="96" t="str">
        <f>IFERROR(S83*T83*Assumptions!$B$15/3956,"")</f>
        <v/>
      </c>
      <c r="X83" s="102" t="str">
        <f t="shared" si="24"/>
        <v/>
      </c>
      <c r="Y83" s="95" t="str">
        <f t="shared" si="25"/>
        <v/>
      </c>
      <c r="Z83" s="95" t="str">
        <f t="shared" si="26"/>
        <v/>
      </c>
      <c r="AA83" s="95" t="str">
        <f>IFERROR(AK83*
(Assumptions!$S$7*(Z83/AI83)^3+
Assumptions!$S$8*(Z83/AI83)^2+
Assumptions!$S$9*(Z83/AI83)+
Assumptions!$S$10),"")</f>
        <v/>
      </c>
      <c r="AB83" s="96" t="str">
        <f>IFERROR(X83*Y83*Assumptions!$B$15/3956,"")</f>
        <v/>
      </c>
      <c r="AC83" s="102" t="str">
        <f t="shared" si="27"/>
        <v/>
      </c>
      <c r="AD83" s="95" t="str">
        <f t="shared" si="28"/>
        <v/>
      </c>
      <c r="AE83" s="95" t="str">
        <f t="shared" si="29"/>
        <v/>
      </c>
      <c r="AF83" s="95" t="str">
        <f>IFERROR(AK83*
(Assumptions!$S$7*(AE83/AI83)^3+
Assumptions!$S$8*(AE83/AI83)^2+
Assumptions!$S$9*(AE83/AI83)+
Assumptions!$S$10),"")</f>
        <v/>
      </c>
      <c r="AG83" s="96" t="str">
        <f>IFERROR(AC83*AD83*Assumptions!$B$15/3956,"")</f>
        <v/>
      </c>
      <c r="AH83" s="94" t="str">
        <f t="shared" si="18"/>
        <v/>
      </c>
      <c r="AI83" s="93" t="str">
        <f>IFERROR(
IF(C83="VTS",
INDEX(Assumptions!$I$38:$I$57,MATCH(AH83,Assumptions!$I$38:$I$57,-1)),
INDEX(Assumptions!$I$13:$I$32,MATCH(AH83,Assumptions!$I$13:$I$32,-1))),
"")</f>
        <v/>
      </c>
      <c r="AJ83" s="96" t="str">
        <f>IFERROR(
IF(C83="VTS",
VLOOKUP(AI83,Assumptions!$I$38:$K$57,MATCH(P83,Assumptions!$I$37:$K$37,0),FALSE),
VLOOKUP(AI83,Assumptions!$I$13:$K$32,MATCH(P83,Assumptions!$I$12:$K$12,0),FALSE)),
"")</f>
        <v/>
      </c>
      <c r="AK83" s="99" t="str">
        <f t="shared" si="30"/>
        <v/>
      </c>
      <c r="AL83" s="95" t="str">
        <f>IFERROR(AK83*
(Assumptions!$S$7*(W83/(AO83*Assumptions!$AB$9/100)/AI83)^3+
Assumptions!$S$8*(W83/(AO83*Assumptions!$AB$9/100)/AI83)^2+
Assumptions!$S$9*(W83/(AO83*Assumptions!$AB$9/100)/AI83)+
Assumptions!$S$10),"")</f>
        <v/>
      </c>
      <c r="AM83" s="95" t="str">
        <f>IFERROR(AK83*
(Assumptions!$S$7*(AB83/(AO83*Assumptions!$AB$8/100)/AI83)^3+
Assumptions!$S$8*(AB83/(AO83*Assumptions!$AB$8/100)/AI83)^2+
Assumptions!$S$9*(AB83/(AO83*Assumptions!$AB$8/100)/AI83)+
Assumptions!$S$10),"")</f>
        <v/>
      </c>
      <c r="AN83" s="95" t="str">
        <f>IFERROR(AK83*
(Assumptions!$S$7*(AG83/(AO83*Assumptions!$AB$10/100)/AI83)^3+
Assumptions!$S$8*(AG83/(AO83*Assumptions!$AB$10/100)/AI83)^2+
Assumptions!$S$9*(AG83/(AO83*Assumptions!$AB$10/100)/AI83)+
Assumptions!$S$10),"")</f>
        <v/>
      </c>
      <c r="AO83" s="95" t="str">
        <f>IFERROR(
Assumptions!$AD$8*LN(S83)^2+
Assumptions!$AE$8*LN(R83)*LN(S83)+
Assumptions!$AF$8*LN(R83)^2+
Assumptions!$AG$8*LN(S83)+
Assumptions!$AH$8*LN(R83)-
(IF(Q83=1800,
VLOOKUP(C83,Assumptions!$AA$13:$AC$17,3),
IF(Q83=3600,
VLOOKUP(C83,Assumptions!$AA$18:$AC$22,3),
""))+Assumptions!$AI$8),
"")</f>
        <v/>
      </c>
      <c r="AP83" s="96" t="str">
        <f>IFERROR(
Assumptions!$D$11*(W83/(Assumptions!$AB$9*AO83/100)+AL83)+
Assumptions!$D$10*(AB83/(Assumptions!$AB$8*AO83/100)+AM83)+
Assumptions!$D$12*(AG83/(Assumptions!$AB$10*AO83/100)+AN83),
"")</f>
        <v/>
      </c>
      <c r="AQ83" s="76" t="str">
        <f>IFERROR(
(U83+V83)*Assumptions!$D$11+
(Z83+AA83)*Assumptions!$D$10+
(AE83+AF83)*Assumptions!$D$12,
"")</f>
        <v/>
      </c>
      <c r="AR83" s="104" t="str">
        <f t="shared" si="31"/>
        <v/>
      </c>
      <c r="AS83" s="103" t="str">
        <f t="shared" si="32"/>
        <v/>
      </c>
      <c r="AT83" s="92"/>
    </row>
    <row r="84" spans="1:46" x14ac:dyDescent="0.25">
      <c r="A84" s="264"/>
      <c r="B84" s="265"/>
      <c r="C84" s="265"/>
      <c r="D84" s="265"/>
      <c r="E84" s="266"/>
      <c r="F84" s="270"/>
      <c r="G84" s="271"/>
      <c r="H84" s="271"/>
      <c r="I84" s="272"/>
      <c r="J84" s="270"/>
      <c r="K84" s="271"/>
      <c r="L84" s="272"/>
      <c r="M84" s="270"/>
      <c r="N84" s="271"/>
      <c r="O84" s="272"/>
      <c r="P84" s="97" t="str">
        <f t="shared" si="17"/>
        <v/>
      </c>
      <c r="Q84" s="84" t="str">
        <f t="shared" si="19"/>
        <v/>
      </c>
      <c r="R84" s="101" t="str">
        <f t="shared" si="20"/>
        <v/>
      </c>
      <c r="S84" s="100" t="str">
        <f t="shared" si="21"/>
        <v/>
      </c>
      <c r="T84" s="95" t="str">
        <f t="shared" si="22"/>
        <v/>
      </c>
      <c r="U84" s="95" t="str">
        <f t="shared" si="23"/>
        <v/>
      </c>
      <c r="V84" s="95" t="str">
        <f>IFERROR(AK84*
(Assumptions!$S$7*(U84/AI84)^3+
Assumptions!$S$8*(U84/AI84)^2+
Assumptions!$S$9*(U84/AI84)+
Assumptions!$S$10),"")</f>
        <v/>
      </c>
      <c r="W84" s="96" t="str">
        <f>IFERROR(S84*T84*Assumptions!$B$15/3956,"")</f>
        <v/>
      </c>
      <c r="X84" s="102" t="str">
        <f t="shared" si="24"/>
        <v/>
      </c>
      <c r="Y84" s="95" t="str">
        <f t="shared" si="25"/>
        <v/>
      </c>
      <c r="Z84" s="95" t="str">
        <f t="shared" si="26"/>
        <v/>
      </c>
      <c r="AA84" s="95" t="str">
        <f>IFERROR(AK84*
(Assumptions!$S$7*(Z84/AI84)^3+
Assumptions!$S$8*(Z84/AI84)^2+
Assumptions!$S$9*(Z84/AI84)+
Assumptions!$S$10),"")</f>
        <v/>
      </c>
      <c r="AB84" s="96" t="str">
        <f>IFERROR(X84*Y84*Assumptions!$B$15/3956,"")</f>
        <v/>
      </c>
      <c r="AC84" s="102" t="str">
        <f t="shared" si="27"/>
        <v/>
      </c>
      <c r="AD84" s="95" t="str">
        <f t="shared" si="28"/>
        <v/>
      </c>
      <c r="AE84" s="95" t="str">
        <f t="shared" si="29"/>
        <v/>
      </c>
      <c r="AF84" s="95" t="str">
        <f>IFERROR(AK84*
(Assumptions!$S$7*(AE84/AI84)^3+
Assumptions!$S$8*(AE84/AI84)^2+
Assumptions!$S$9*(AE84/AI84)+
Assumptions!$S$10),"")</f>
        <v/>
      </c>
      <c r="AG84" s="96" t="str">
        <f>IFERROR(AC84*AD84*Assumptions!$B$15/3956,"")</f>
        <v/>
      </c>
      <c r="AH84" s="94" t="str">
        <f t="shared" si="18"/>
        <v/>
      </c>
      <c r="AI84" s="93" t="str">
        <f>IFERROR(
IF(C84="VTS",
INDEX(Assumptions!$I$38:$I$57,MATCH(AH84,Assumptions!$I$38:$I$57,-1)),
INDEX(Assumptions!$I$13:$I$32,MATCH(AH84,Assumptions!$I$13:$I$32,-1))),
"")</f>
        <v/>
      </c>
      <c r="AJ84" s="96" t="str">
        <f>IFERROR(
IF(C84="VTS",
VLOOKUP(AI84,Assumptions!$I$38:$K$57,MATCH(P84,Assumptions!$I$37:$K$37,0),FALSE),
VLOOKUP(AI84,Assumptions!$I$13:$K$32,MATCH(P84,Assumptions!$I$12:$K$12,0),FALSE)),
"")</f>
        <v/>
      </c>
      <c r="AK84" s="99" t="str">
        <f t="shared" si="30"/>
        <v/>
      </c>
      <c r="AL84" s="95" t="str">
        <f>IFERROR(AK84*
(Assumptions!$S$7*(W84/(AO84*Assumptions!$AB$9/100)/AI84)^3+
Assumptions!$S$8*(W84/(AO84*Assumptions!$AB$9/100)/AI84)^2+
Assumptions!$S$9*(W84/(AO84*Assumptions!$AB$9/100)/AI84)+
Assumptions!$S$10),"")</f>
        <v/>
      </c>
      <c r="AM84" s="95" t="str">
        <f>IFERROR(AK84*
(Assumptions!$S$7*(AB84/(AO84*Assumptions!$AB$8/100)/AI84)^3+
Assumptions!$S$8*(AB84/(AO84*Assumptions!$AB$8/100)/AI84)^2+
Assumptions!$S$9*(AB84/(AO84*Assumptions!$AB$8/100)/AI84)+
Assumptions!$S$10),"")</f>
        <v/>
      </c>
      <c r="AN84" s="95" t="str">
        <f>IFERROR(AK84*
(Assumptions!$S$7*(AG84/(AO84*Assumptions!$AB$10/100)/AI84)^3+
Assumptions!$S$8*(AG84/(AO84*Assumptions!$AB$10/100)/AI84)^2+
Assumptions!$S$9*(AG84/(AO84*Assumptions!$AB$10/100)/AI84)+
Assumptions!$S$10),"")</f>
        <v/>
      </c>
      <c r="AO84" s="95" t="str">
        <f>IFERROR(
Assumptions!$AD$8*LN(S84)^2+
Assumptions!$AE$8*LN(R84)*LN(S84)+
Assumptions!$AF$8*LN(R84)^2+
Assumptions!$AG$8*LN(S84)+
Assumptions!$AH$8*LN(R84)-
(IF(Q84=1800,
VLOOKUP(C84,Assumptions!$AA$13:$AC$17,3),
IF(Q84=3600,
VLOOKUP(C84,Assumptions!$AA$18:$AC$22,3),
""))+Assumptions!$AI$8),
"")</f>
        <v/>
      </c>
      <c r="AP84" s="96" t="str">
        <f>IFERROR(
Assumptions!$D$11*(W84/(Assumptions!$AB$9*AO84/100)+AL84)+
Assumptions!$D$10*(AB84/(Assumptions!$AB$8*AO84/100)+AM84)+
Assumptions!$D$12*(AG84/(Assumptions!$AB$10*AO84/100)+AN84),
"")</f>
        <v/>
      </c>
      <c r="AQ84" s="76" t="str">
        <f>IFERROR(
(U84+V84)*Assumptions!$D$11+
(Z84+AA84)*Assumptions!$D$10+
(AE84+AF84)*Assumptions!$D$12,
"")</f>
        <v/>
      </c>
      <c r="AR84" s="104" t="str">
        <f t="shared" si="31"/>
        <v/>
      </c>
      <c r="AS84" s="103" t="str">
        <f t="shared" si="32"/>
        <v/>
      </c>
      <c r="AT84" s="92"/>
    </row>
    <row r="85" spans="1:46" x14ac:dyDescent="0.25">
      <c r="A85" s="264"/>
      <c r="B85" s="265"/>
      <c r="C85" s="265"/>
      <c r="D85" s="265"/>
      <c r="E85" s="266"/>
      <c r="F85" s="270"/>
      <c r="G85" s="271"/>
      <c r="H85" s="271"/>
      <c r="I85" s="272"/>
      <c r="J85" s="270"/>
      <c r="K85" s="271"/>
      <c r="L85" s="272"/>
      <c r="M85" s="270"/>
      <c r="N85" s="271"/>
      <c r="O85" s="272"/>
      <c r="P85" s="97" t="str">
        <f t="shared" si="17"/>
        <v/>
      </c>
      <c r="Q85" s="84" t="str">
        <f t="shared" si="19"/>
        <v/>
      </c>
      <c r="R85" s="101" t="str">
        <f t="shared" si="20"/>
        <v/>
      </c>
      <c r="S85" s="100" t="str">
        <f t="shared" si="21"/>
        <v/>
      </c>
      <c r="T85" s="95" t="str">
        <f t="shared" si="22"/>
        <v/>
      </c>
      <c r="U85" s="95" t="str">
        <f t="shared" si="23"/>
        <v/>
      </c>
      <c r="V85" s="95" t="str">
        <f>IFERROR(AK85*
(Assumptions!$S$7*(U85/AI85)^3+
Assumptions!$S$8*(U85/AI85)^2+
Assumptions!$S$9*(U85/AI85)+
Assumptions!$S$10),"")</f>
        <v/>
      </c>
      <c r="W85" s="96" t="str">
        <f>IFERROR(S85*T85*Assumptions!$B$15/3956,"")</f>
        <v/>
      </c>
      <c r="X85" s="102" t="str">
        <f t="shared" si="24"/>
        <v/>
      </c>
      <c r="Y85" s="95" t="str">
        <f t="shared" si="25"/>
        <v/>
      </c>
      <c r="Z85" s="95" t="str">
        <f t="shared" si="26"/>
        <v/>
      </c>
      <c r="AA85" s="95" t="str">
        <f>IFERROR(AK85*
(Assumptions!$S$7*(Z85/AI85)^3+
Assumptions!$S$8*(Z85/AI85)^2+
Assumptions!$S$9*(Z85/AI85)+
Assumptions!$S$10),"")</f>
        <v/>
      </c>
      <c r="AB85" s="96" t="str">
        <f>IFERROR(X85*Y85*Assumptions!$B$15/3956,"")</f>
        <v/>
      </c>
      <c r="AC85" s="102" t="str">
        <f t="shared" si="27"/>
        <v/>
      </c>
      <c r="AD85" s="95" t="str">
        <f t="shared" si="28"/>
        <v/>
      </c>
      <c r="AE85" s="95" t="str">
        <f t="shared" si="29"/>
        <v/>
      </c>
      <c r="AF85" s="95" t="str">
        <f>IFERROR(AK85*
(Assumptions!$S$7*(AE85/AI85)^3+
Assumptions!$S$8*(AE85/AI85)^2+
Assumptions!$S$9*(AE85/AI85)+
Assumptions!$S$10),"")</f>
        <v/>
      </c>
      <c r="AG85" s="96" t="str">
        <f>IFERROR(AC85*AD85*Assumptions!$B$15/3956,"")</f>
        <v/>
      </c>
      <c r="AH85" s="94" t="str">
        <f t="shared" si="18"/>
        <v/>
      </c>
      <c r="AI85" s="93" t="str">
        <f>IFERROR(
IF(C85="VTS",
INDEX(Assumptions!$I$38:$I$57,MATCH(AH85,Assumptions!$I$38:$I$57,-1)),
INDEX(Assumptions!$I$13:$I$32,MATCH(AH85,Assumptions!$I$13:$I$32,-1))),
"")</f>
        <v/>
      </c>
      <c r="AJ85" s="96" t="str">
        <f>IFERROR(
IF(C85="VTS",
VLOOKUP(AI85,Assumptions!$I$38:$K$57,MATCH(P85,Assumptions!$I$37:$K$37,0),FALSE),
VLOOKUP(AI85,Assumptions!$I$13:$K$32,MATCH(P85,Assumptions!$I$12:$K$12,0),FALSE)),
"")</f>
        <v/>
      </c>
      <c r="AK85" s="99" t="str">
        <f t="shared" si="30"/>
        <v/>
      </c>
      <c r="AL85" s="95" t="str">
        <f>IFERROR(AK85*
(Assumptions!$S$7*(W85/(AO85*Assumptions!$AB$9/100)/AI85)^3+
Assumptions!$S$8*(W85/(AO85*Assumptions!$AB$9/100)/AI85)^2+
Assumptions!$S$9*(W85/(AO85*Assumptions!$AB$9/100)/AI85)+
Assumptions!$S$10),"")</f>
        <v/>
      </c>
      <c r="AM85" s="95" t="str">
        <f>IFERROR(AK85*
(Assumptions!$S$7*(AB85/(AO85*Assumptions!$AB$8/100)/AI85)^3+
Assumptions!$S$8*(AB85/(AO85*Assumptions!$AB$8/100)/AI85)^2+
Assumptions!$S$9*(AB85/(AO85*Assumptions!$AB$8/100)/AI85)+
Assumptions!$S$10),"")</f>
        <v/>
      </c>
      <c r="AN85" s="95" t="str">
        <f>IFERROR(AK85*
(Assumptions!$S$7*(AG85/(AO85*Assumptions!$AB$10/100)/AI85)^3+
Assumptions!$S$8*(AG85/(AO85*Assumptions!$AB$10/100)/AI85)^2+
Assumptions!$S$9*(AG85/(AO85*Assumptions!$AB$10/100)/AI85)+
Assumptions!$S$10),"")</f>
        <v/>
      </c>
      <c r="AO85" s="95" t="str">
        <f>IFERROR(
Assumptions!$AD$8*LN(S85)^2+
Assumptions!$AE$8*LN(R85)*LN(S85)+
Assumptions!$AF$8*LN(R85)^2+
Assumptions!$AG$8*LN(S85)+
Assumptions!$AH$8*LN(R85)-
(IF(Q85=1800,
VLOOKUP(C85,Assumptions!$AA$13:$AC$17,3),
IF(Q85=3600,
VLOOKUP(C85,Assumptions!$AA$18:$AC$22,3),
""))+Assumptions!$AI$8),
"")</f>
        <v/>
      </c>
      <c r="AP85" s="96" t="str">
        <f>IFERROR(
Assumptions!$D$11*(W85/(Assumptions!$AB$9*AO85/100)+AL85)+
Assumptions!$D$10*(AB85/(Assumptions!$AB$8*AO85/100)+AM85)+
Assumptions!$D$12*(AG85/(Assumptions!$AB$10*AO85/100)+AN85),
"")</f>
        <v/>
      </c>
      <c r="AQ85" s="76" t="str">
        <f>IFERROR(
(U85+V85)*Assumptions!$D$11+
(Z85+AA85)*Assumptions!$D$10+
(AE85+AF85)*Assumptions!$D$12,
"")</f>
        <v/>
      </c>
      <c r="AR85" s="104" t="str">
        <f t="shared" si="31"/>
        <v/>
      </c>
      <c r="AS85" s="103" t="str">
        <f t="shared" si="32"/>
        <v/>
      </c>
      <c r="AT85" s="92"/>
    </row>
    <row r="86" spans="1:46" x14ac:dyDescent="0.25">
      <c r="A86" s="264"/>
      <c r="B86" s="265"/>
      <c r="C86" s="265"/>
      <c r="D86" s="265"/>
      <c r="E86" s="266"/>
      <c r="F86" s="270"/>
      <c r="G86" s="271"/>
      <c r="H86" s="271"/>
      <c r="I86" s="272"/>
      <c r="J86" s="270"/>
      <c r="K86" s="271"/>
      <c r="L86" s="272"/>
      <c r="M86" s="270"/>
      <c r="N86" s="271"/>
      <c r="O86" s="272"/>
      <c r="P86" s="97" t="str">
        <f t="shared" si="17"/>
        <v/>
      </c>
      <c r="Q86" s="84" t="str">
        <f t="shared" si="19"/>
        <v/>
      </c>
      <c r="R86" s="101" t="str">
        <f t="shared" si="20"/>
        <v/>
      </c>
      <c r="S86" s="100" t="str">
        <f t="shared" si="21"/>
        <v/>
      </c>
      <c r="T86" s="95" t="str">
        <f t="shared" si="22"/>
        <v/>
      </c>
      <c r="U86" s="95" t="str">
        <f t="shared" si="23"/>
        <v/>
      </c>
      <c r="V86" s="95" t="str">
        <f>IFERROR(AK86*
(Assumptions!$S$7*(U86/AI86)^3+
Assumptions!$S$8*(U86/AI86)^2+
Assumptions!$S$9*(U86/AI86)+
Assumptions!$S$10),"")</f>
        <v/>
      </c>
      <c r="W86" s="96" t="str">
        <f>IFERROR(S86*T86*Assumptions!$B$15/3956,"")</f>
        <v/>
      </c>
      <c r="X86" s="102" t="str">
        <f t="shared" si="24"/>
        <v/>
      </c>
      <c r="Y86" s="95" t="str">
        <f t="shared" si="25"/>
        <v/>
      </c>
      <c r="Z86" s="95" t="str">
        <f t="shared" si="26"/>
        <v/>
      </c>
      <c r="AA86" s="95" t="str">
        <f>IFERROR(AK86*
(Assumptions!$S$7*(Z86/AI86)^3+
Assumptions!$S$8*(Z86/AI86)^2+
Assumptions!$S$9*(Z86/AI86)+
Assumptions!$S$10),"")</f>
        <v/>
      </c>
      <c r="AB86" s="96" t="str">
        <f>IFERROR(X86*Y86*Assumptions!$B$15/3956,"")</f>
        <v/>
      </c>
      <c r="AC86" s="102" t="str">
        <f t="shared" si="27"/>
        <v/>
      </c>
      <c r="AD86" s="95" t="str">
        <f t="shared" si="28"/>
        <v/>
      </c>
      <c r="AE86" s="95" t="str">
        <f t="shared" si="29"/>
        <v/>
      </c>
      <c r="AF86" s="95" t="str">
        <f>IFERROR(AK86*
(Assumptions!$S$7*(AE86/AI86)^3+
Assumptions!$S$8*(AE86/AI86)^2+
Assumptions!$S$9*(AE86/AI86)+
Assumptions!$S$10),"")</f>
        <v/>
      </c>
      <c r="AG86" s="96" t="str">
        <f>IFERROR(AC86*AD86*Assumptions!$B$15/3956,"")</f>
        <v/>
      </c>
      <c r="AH86" s="94" t="str">
        <f t="shared" si="18"/>
        <v/>
      </c>
      <c r="AI86" s="93" t="str">
        <f>IFERROR(
IF(C86="VTS",
INDEX(Assumptions!$I$38:$I$57,MATCH(AH86,Assumptions!$I$38:$I$57,-1)),
INDEX(Assumptions!$I$13:$I$32,MATCH(AH86,Assumptions!$I$13:$I$32,-1))),
"")</f>
        <v/>
      </c>
      <c r="AJ86" s="96" t="str">
        <f>IFERROR(
IF(C86="VTS",
VLOOKUP(AI86,Assumptions!$I$38:$K$57,MATCH(P86,Assumptions!$I$37:$K$37,0),FALSE),
VLOOKUP(AI86,Assumptions!$I$13:$K$32,MATCH(P86,Assumptions!$I$12:$K$12,0),FALSE)),
"")</f>
        <v/>
      </c>
      <c r="AK86" s="99" t="str">
        <f t="shared" si="30"/>
        <v/>
      </c>
      <c r="AL86" s="95" t="str">
        <f>IFERROR(AK86*
(Assumptions!$S$7*(W86/(AO86*Assumptions!$AB$9/100)/AI86)^3+
Assumptions!$S$8*(W86/(AO86*Assumptions!$AB$9/100)/AI86)^2+
Assumptions!$S$9*(W86/(AO86*Assumptions!$AB$9/100)/AI86)+
Assumptions!$S$10),"")</f>
        <v/>
      </c>
      <c r="AM86" s="95" t="str">
        <f>IFERROR(AK86*
(Assumptions!$S$7*(AB86/(AO86*Assumptions!$AB$8/100)/AI86)^3+
Assumptions!$S$8*(AB86/(AO86*Assumptions!$AB$8/100)/AI86)^2+
Assumptions!$S$9*(AB86/(AO86*Assumptions!$AB$8/100)/AI86)+
Assumptions!$S$10),"")</f>
        <v/>
      </c>
      <c r="AN86" s="95" t="str">
        <f>IFERROR(AK86*
(Assumptions!$S$7*(AG86/(AO86*Assumptions!$AB$10/100)/AI86)^3+
Assumptions!$S$8*(AG86/(AO86*Assumptions!$AB$10/100)/AI86)^2+
Assumptions!$S$9*(AG86/(AO86*Assumptions!$AB$10/100)/AI86)+
Assumptions!$S$10),"")</f>
        <v/>
      </c>
      <c r="AO86" s="95" t="str">
        <f>IFERROR(
Assumptions!$AD$8*LN(S86)^2+
Assumptions!$AE$8*LN(R86)*LN(S86)+
Assumptions!$AF$8*LN(R86)^2+
Assumptions!$AG$8*LN(S86)+
Assumptions!$AH$8*LN(R86)-
(IF(Q86=1800,
VLOOKUP(C86,Assumptions!$AA$13:$AC$17,3),
IF(Q86=3600,
VLOOKUP(C86,Assumptions!$AA$18:$AC$22,3),
""))+Assumptions!$AI$8),
"")</f>
        <v/>
      </c>
      <c r="AP86" s="96" t="str">
        <f>IFERROR(
Assumptions!$D$11*(W86/(Assumptions!$AB$9*AO86/100)+AL86)+
Assumptions!$D$10*(AB86/(Assumptions!$AB$8*AO86/100)+AM86)+
Assumptions!$D$12*(AG86/(Assumptions!$AB$10*AO86/100)+AN86),
"")</f>
        <v/>
      </c>
      <c r="AQ86" s="76" t="str">
        <f>IFERROR(
(U86+V86)*Assumptions!$D$11+
(Z86+AA86)*Assumptions!$D$10+
(AE86+AF86)*Assumptions!$D$12,
"")</f>
        <v/>
      </c>
      <c r="AR86" s="104" t="str">
        <f t="shared" si="31"/>
        <v/>
      </c>
      <c r="AS86" s="103" t="str">
        <f t="shared" si="32"/>
        <v/>
      </c>
      <c r="AT86" s="92"/>
    </row>
    <row r="87" spans="1:46" x14ac:dyDescent="0.25">
      <c r="A87" s="264"/>
      <c r="B87" s="265"/>
      <c r="C87" s="265"/>
      <c r="D87" s="265"/>
      <c r="E87" s="266"/>
      <c r="F87" s="270"/>
      <c r="G87" s="271"/>
      <c r="H87" s="271"/>
      <c r="I87" s="272"/>
      <c r="J87" s="270"/>
      <c r="K87" s="271"/>
      <c r="L87" s="272"/>
      <c r="M87" s="270"/>
      <c r="N87" s="271"/>
      <c r="O87" s="272"/>
      <c r="P87" s="97" t="str">
        <f t="shared" si="17"/>
        <v/>
      </c>
      <c r="Q87" s="84" t="str">
        <f t="shared" si="19"/>
        <v/>
      </c>
      <c r="R87" s="101" t="str">
        <f t="shared" si="20"/>
        <v/>
      </c>
      <c r="S87" s="100" t="str">
        <f t="shared" si="21"/>
        <v/>
      </c>
      <c r="T87" s="95" t="str">
        <f t="shared" si="22"/>
        <v/>
      </c>
      <c r="U87" s="95" t="str">
        <f t="shared" si="23"/>
        <v/>
      </c>
      <c r="V87" s="95" t="str">
        <f>IFERROR(AK87*
(Assumptions!$S$7*(U87/AI87)^3+
Assumptions!$S$8*(U87/AI87)^2+
Assumptions!$S$9*(U87/AI87)+
Assumptions!$S$10),"")</f>
        <v/>
      </c>
      <c r="W87" s="96" t="str">
        <f>IFERROR(S87*T87*Assumptions!$B$15/3956,"")</f>
        <v/>
      </c>
      <c r="X87" s="102" t="str">
        <f t="shared" si="24"/>
        <v/>
      </c>
      <c r="Y87" s="95" t="str">
        <f t="shared" si="25"/>
        <v/>
      </c>
      <c r="Z87" s="95" t="str">
        <f t="shared" si="26"/>
        <v/>
      </c>
      <c r="AA87" s="95" t="str">
        <f>IFERROR(AK87*
(Assumptions!$S$7*(Z87/AI87)^3+
Assumptions!$S$8*(Z87/AI87)^2+
Assumptions!$S$9*(Z87/AI87)+
Assumptions!$S$10),"")</f>
        <v/>
      </c>
      <c r="AB87" s="96" t="str">
        <f>IFERROR(X87*Y87*Assumptions!$B$15/3956,"")</f>
        <v/>
      </c>
      <c r="AC87" s="102" t="str">
        <f t="shared" si="27"/>
        <v/>
      </c>
      <c r="AD87" s="95" t="str">
        <f t="shared" si="28"/>
        <v/>
      </c>
      <c r="AE87" s="95" t="str">
        <f t="shared" si="29"/>
        <v/>
      </c>
      <c r="AF87" s="95" t="str">
        <f>IFERROR(AK87*
(Assumptions!$S$7*(AE87/AI87)^3+
Assumptions!$S$8*(AE87/AI87)^2+
Assumptions!$S$9*(AE87/AI87)+
Assumptions!$S$10),"")</f>
        <v/>
      </c>
      <c r="AG87" s="96" t="str">
        <f>IFERROR(AC87*AD87*Assumptions!$B$15/3956,"")</f>
        <v/>
      </c>
      <c r="AH87" s="94" t="str">
        <f t="shared" si="18"/>
        <v/>
      </c>
      <c r="AI87" s="93" t="str">
        <f>IFERROR(
IF(C87="VTS",
INDEX(Assumptions!$I$38:$I$57,MATCH(AH87,Assumptions!$I$38:$I$57,-1)),
INDEX(Assumptions!$I$13:$I$32,MATCH(AH87,Assumptions!$I$13:$I$32,-1))),
"")</f>
        <v/>
      </c>
      <c r="AJ87" s="96" t="str">
        <f>IFERROR(
IF(C87="VTS",
VLOOKUP(AI87,Assumptions!$I$38:$K$57,MATCH(P87,Assumptions!$I$37:$K$37,0),FALSE),
VLOOKUP(AI87,Assumptions!$I$13:$K$32,MATCH(P87,Assumptions!$I$12:$K$12,0),FALSE)),
"")</f>
        <v/>
      </c>
      <c r="AK87" s="99" t="str">
        <f t="shared" si="30"/>
        <v/>
      </c>
      <c r="AL87" s="95" t="str">
        <f>IFERROR(AK87*
(Assumptions!$S$7*(W87/(AO87*Assumptions!$AB$9/100)/AI87)^3+
Assumptions!$S$8*(W87/(AO87*Assumptions!$AB$9/100)/AI87)^2+
Assumptions!$S$9*(W87/(AO87*Assumptions!$AB$9/100)/AI87)+
Assumptions!$S$10),"")</f>
        <v/>
      </c>
      <c r="AM87" s="95" t="str">
        <f>IFERROR(AK87*
(Assumptions!$S$7*(AB87/(AO87*Assumptions!$AB$8/100)/AI87)^3+
Assumptions!$S$8*(AB87/(AO87*Assumptions!$AB$8/100)/AI87)^2+
Assumptions!$S$9*(AB87/(AO87*Assumptions!$AB$8/100)/AI87)+
Assumptions!$S$10),"")</f>
        <v/>
      </c>
      <c r="AN87" s="95" t="str">
        <f>IFERROR(AK87*
(Assumptions!$S$7*(AG87/(AO87*Assumptions!$AB$10/100)/AI87)^3+
Assumptions!$S$8*(AG87/(AO87*Assumptions!$AB$10/100)/AI87)^2+
Assumptions!$S$9*(AG87/(AO87*Assumptions!$AB$10/100)/AI87)+
Assumptions!$S$10),"")</f>
        <v/>
      </c>
      <c r="AO87" s="95" t="str">
        <f>IFERROR(
Assumptions!$AD$8*LN(S87)^2+
Assumptions!$AE$8*LN(R87)*LN(S87)+
Assumptions!$AF$8*LN(R87)^2+
Assumptions!$AG$8*LN(S87)+
Assumptions!$AH$8*LN(R87)-
(IF(Q87=1800,
VLOOKUP(C87,Assumptions!$AA$13:$AC$17,3),
IF(Q87=3600,
VLOOKUP(C87,Assumptions!$AA$18:$AC$22,3),
""))+Assumptions!$AI$8),
"")</f>
        <v/>
      </c>
      <c r="AP87" s="96" t="str">
        <f>IFERROR(
Assumptions!$D$11*(W87/(Assumptions!$AB$9*AO87/100)+AL87)+
Assumptions!$D$10*(AB87/(Assumptions!$AB$8*AO87/100)+AM87)+
Assumptions!$D$12*(AG87/(Assumptions!$AB$10*AO87/100)+AN87),
"")</f>
        <v/>
      </c>
      <c r="AQ87" s="76" t="str">
        <f>IFERROR(
(U87+V87)*Assumptions!$D$11+
(Z87+AA87)*Assumptions!$D$10+
(AE87+AF87)*Assumptions!$D$12,
"")</f>
        <v/>
      </c>
      <c r="AR87" s="104" t="str">
        <f t="shared" si="31"/>
        <v/>
      </c>
      <c r="AS87" s="103" t="str">
        <f t="shared" si="32"/>
        <v/>
      </c>
      <c r="AT87" s="92"/>
    </row>
    <row r="88" spans="1:46" x14ac:dyDescent="0.25">
      <c r="A88" s="264"/>
      <c r="B88" s="265"/>
      <c r="C88" s="265"/>
      <c r="D88" s="265"/>
      <c r="E88" s="266"/>
      <c r="F88" s="270"/>
      <c r="G88" s="271"/>
      <c r="H88" s="271"/>
      <c r="I88" s="272"/>
      <c r="J88" s="270"/>
      <c r="K88" s="271"/>
      <c r="L88" s="272"/>
      <c r="M88" s="270"/>
      <c r="N88" s="271"/>
      <c r="O88" s="272"/>
      <c r="P88" s="97" t="str">
        <f t="shared" si="17"/>
        <v/>
      </c>
      <c r="Q88" s="84" t="str">
        <f t="shared" si="19"/>
        <v/>
      </c>
      <c r="R88" s="101" t="str">
        <f t="shared" si="20"/>
        <v/>
      </c>
      <c r="S88" s="100" t="str">
        <f t="shared" si="21"/>
        <v/>
      </c>
      <c r="T88" s="95" t="str">
        <f t="shared" si="22"/>
        <v/>
      </c>
      <c r="U88" s="95" t="str">
        <f t="shared" si="23"/>
        <v/>
      </c>
      <c r="V88" s="95" t="str">
        <f>IFERROR(AK88*
(Assumptions!$S$7*(U88/AI88)^3+
Assumptions!$S$8*(U88/AI88)^2+
Assumptions!$S$9*(U88/AI88)+
Assumptions!$S$10),"")</f>
        <v/>
      </c>
      <c r="W88" s="96" t="str">
        <f>IFERROR(S88*T88*Assumptions!$B$15/3956,"")</f>
        <v/>
      </c>
      <c r="X88" s="102" t="str">
        <f t="shared" si="24"/>
        <v/>
      </c>
      <c r="Y88" s="95" t="str">
        <f t="shared" si="25"/>
        <v/>
      </c>
      <c r="Z88" s="95" t="str">
        <f t="shared" si="26"/>
        <v/>
      </c>
      <c r="AA88" s="95" t="str">
        <f>IFERROR(AK88*
(Assumptions!$S$7*(Z88/AI88)^3+
Assumptions!$S$8*(Z88/AI88)^2+
Assumptions!$S$9*(Z88/AI88)+
Assumptions!$S$10),"")</f>
        <v/>
      </c>
      <c r="AB88" s="96" t="str">
        <f>IFERROR(X88*Y88*Assumptions!$B$15/3956,"")</f>
        <v/>
      </c>
      <c r="AC88" s="102" t="str">
        <f t="shared" si="27"/>
        <v/>
      </c>
      <c r="AD88" s="95" t="str">
        <f t="shared" si="28"/>
        <v/>
      </c>
      <c r="AE88" s="95" t="str">
        <f t="shared" si="29"/>
        <v/>
      </c>
      <c r="AF88" s="95" t="str">
        <f>IFERROR(AK88*
(Assumptions!$S$7*(AE88/AI88)^3+
Assumptions!$S$8*(AE88/AI88)^2+
Assumptions!$S$9*(AE88/AI88)+
Assumptions!$S$10),"")</f>
        <v/>
      </c>
      <c r="AG88" s="96" t="str">
        <f>IFERROR(AC88*AD88*Assumptions!$B$15/3956,"")</f>
        <v/>
      </c>
      <c r="AH88" s="94" t="str">
        <f t="shared" si="18"/>
        <v/>
      </c>
      <c r="AI88" s="93" t="str">
        <f>IFERROR(
IF(C88="VTS",
INDEX(Assumptions!$I$38:$I$57,MATCH(AH88,Assumptions!$I$38:$I$57,-1)),
INDEX(Assumptions!$I$13:$I$32,MATCH(AH88,Assumptions!$I$13:$I$32,-1))),
"")</f>
        <v/>
      </c>
      <c r="AJ88" s="96" t="str">
        <f>IFERROR(
IF(C88="VTS",
VLOOKUP(AI88,Assumptions!$I$38:$K$57,MATCH(P88,Assumptions!$I$37:$K$37,0),FALSE),
VLOOKUP(AI88,Assumptions!$I$13:$K$32,MATCH(P88,Assumptions!$I$12:$K$12,0),FALSE)),
"")</f>
        <v/>
      </c>
      <c r="AK88" s="99" t="str">
        <f t="shared" si="30"/>
        <v/>
      </c>
      <c r="AL88" s="95" t="str">
        <f>IFERROR(AK88*
(Assumptions!$S$7*(W88/(AO88*Assumptions!$AB$9/100)/AI88)^3+
Assumptions!$S$8*(W88/(AO88*Assumptions!$AB$9/100)/AI88)^2+
Assumptions!$S$9*(W88/(AO88*Assumptions!$AB$9/100)/AI88)+
Assumptions!$S$10),"")</f>
        <v/>
      </c>
      <c r="AM88" s="95" t="str">
        <f>IFERROR(AK88*
(Assumptions!$S$7*(AB88/(AO88*Assumptions!$AB$8/100)/AI88)^3+
Assumptions!$S$8*(AB88/(AO88*Assumptions!$AB$8/100)/AI88)^2+
Assumptions!$S$9*(AB88/(AO88*Assumptions!$AB$8/100)/AI88)+
Assumptions!$S$10),"")</f>
        <v/>
      </c>
      <c r="AN88" s="95" t="str">
        <f>IFERROR(AK88*
(Assumptions!$S$7*(AG88/(AO88*Assumptions!$AB$10/100)/AI88)^3+
Assumptions!$S$8*(AG88/(AO88*Assumptions!$AB$10/100)/AI88)^2+
Assumptions!$S$9*(AG88/(AO88*Assumptions!$AB$10/100)/AI88)+
Assumptions!$S$10),"")</f>
        <v/>
      </c>
      <c r="AO88" s="95" t="str">
        <f>IFERROR(
Assumptions!$AD$8*LN(S88)^2+
Assumptions!$AE$8*LN(R88)*LN(S88)+
Assumptions!$AF$8*LN(R88)^2+
Assumptions!$AG$8*LN(S88)+
Assumptions!$AH$8*LN(R88)-
(IF(Q88=1800,
VLOOKUP(C88,Assumptions!$AA$13:$AC$17,3),
IF(Q88=3600,
VLOOKUP(C88,Assumptions!$AA$18:$AC$22,3),
""))+Assumptions!$AI$8),
"")</f>
        <v/>
      </c>
      <c r="AP88" s="96" t="str">
        <f>IFERROR(
Assumptions!$D$11*(W88/(Assumptions!$AB$9*AO88/100)+AL88)+
Assumptions!$D$10*(AB88/(Assumptions!$AB$8*AO88/100)+AM88)+
Assumptions!$D$12*(AG88/(Assumptions!$AB$10*AO88/100)+AN88),
"")</f>
        <v/>
      </c>
      <c r="AQ88" s="76" t="str">
        <f>IFERROR(
(U88+V88)*Assumptions!$D$11+
(Z88+AA88)*Assumptions!$D$10+
(AE88+AF88)*Assumptions!$D$12,
"")</f>
        <v/>
      </c>
      <c r="AR88" s="104" t="str">
        <f t="shared" si="31"/>
        <v/>
      </c>
      <c r="AS88" s="103" t="str">
        <f t="shared" si="32"/>
        <v/>
      </c>
      <c r="AT88" s="92"/>
    </row>
    <row r="89" spans="1:46" x14ac:dyDescent="0.25">
      <c r="A89" s="264"/>
      <c r="B89" s="265"/>
      <c r="C89" s="265"/>
      <c r="D89" s="265"/>
      <c r="E89" s="266"/>
      <c r="F89" s="270"/>
      <c r="G89" s="271"/>
      <c r="H89" s="271"/>
      <c r="I89" s="272"/>
      <c r="J89" s="270"/>
      <c r="K89" s="271"/>
      <c r="L89" s="272"/>
      <c r="M89" s="270"/>
      <c r="N89" s="271"/>
      <c r="O89" s="272"/>
      <c r="P89" s="97" t="str">
        <f t="shared" si="17"/>
        <v/>
      </c>
      <c r="Q89" s="84" t="str">
        <f t="shared" si="19"/>
        <v/>
      </c>
      <c r="R89" s="101" t="str">
        <f t="shared" si="20"/>
        <v/>
      </c>
      <c r="S89" s="100" t="str">
        <f t="shared" si="21"/>
        <v/>
      </c>
      <c r="T89" s="95" t="str">
        <f t="shared" si="22"/>
        <v/>
      </c>
      <c r="U89" s="95" t="str">
        <f t="shared" si="23"/>
        <v/>
      </c>
      <c r="V89" s="95" t="str">
        <f>IFERROR(AK89*
(Assumptions!$S$7*(U89/AI89)^3+
Assumptions!$S$8*(U89/AI89)^2+
Assumptions!$S$9*(U89/AI89)+
Assumptions!$S$10),"")</f>
        <v/>
      </c>
      <c r="W89" s="96" t="str">
        <f>IFERROR(S89*T89*Assumptions!$B$15/3956,"")</f>
        <v/>
      </c>
      <c r="X89" s="102" t="str">
        <f t="shared" si="24"/>
        <v/>
      </c>
      <c r="Y89" s="95" t="str">
        <f t="shared" si="25"/>
        <v/>
      </c>
      <c r="Z89" s="95" t="str">
        <f t="shared" si="26"/>
        <v/>
      </c>
      <c r="AA89" s="95" t="str">
        <f>IFERROR(AK89*
(Assumptions!$S$7*(Z89/AI89)^3+
Assumptions!$S$8*(Z89/AI89)^2+
Assumptions!$S$9*(Z89/AI89)+
Assumptions!$S$10),"")</f>
        <v/>
      </c>
      <c r="AB89" s="96" t="str">
        <f>IFERROR(X89*Y89*Assumptions!$B$15/3956,"")</f>
        <v/>
      </c>
      <c r="AC89" s="102" t="str">
        <f t="shared" si="27"/>
        <v/>
      </c>
      <c r="AD89" s="95" t="str">
        <f t="shared" si="28"/>
        <v/>
      </c>
      <c r="AE89" s="95" t="str">
        <f t="shared" si="29"/>
        <v/>
      </c>
      <c r="AF89" s="95" t="str">
        <f>IFERROR(AK89*
(Assumptions!$S$7*(AE89/AI89)^3+
Assumptions!$S$8*(AE89/AI89)^2+
Assumptions!$S$9*(AE89/AI89)+
Assumptions!$S$10),"")</f>
        <v/>
      </c>
      <c r="AG89" s="96" t="str">
        <f>IFERROR(AC89*AD89*Assumptions!$B$15/3956,"")</f>
        <v/>
      </c>
      <c r="AH89" s="94" t="str">
        <f t="shared" si="18"/>
        <v/>
      </c>
      <c r="AI89" s="93" t="str">
        <f>IFERROR(
IF(C89="VTS",
INDEX(Assumptions!$I$38:$I$57,MATCH(AH89,Assumptions!$I$38:$I$57,-1)),
INDEX(Assumptions!$I$13:$I$32,MATCH(AH89,Assumptions!$I$13:$I$32,-1))),
"")</f>
        <v/>
      </c>
      <c r="AJ89" s="96" t="str">
        <f>IFERROR(
IF(C89="VTS",
VLOOKUP(AI89,Assumptions!$I$38:$K$57,MATCH(P89,Assumptions!$I$37:$K$37,0),FALSE),
VLOOKUP(AI89,Assumptions!$I$13:$K$32,MATCH(P89,Assumptions!$I$12:$K$12,0),FALSE)),
"")</f>
        <v/>
      </c>
      <c r="AK89" s="99" t="str">
        <f t="shared" si="30"/>
        <v/>
      </c>
      <c r="AL89" s="95" t="str">
        <f>IFERROR(AK89*
(Assumptions!$S$7*(W89/(AO89*Assumptions!$AB$9/100)/AI89)^3+
Assumptions!$S$8*(W89/(AO89*Assumptions!$AB$9/100)/AI89)^2+
Assumptions!$S$9*(W89/(AO89*Assumptions!$AB$9/100)/AI89)+
Assumptions!$S$10),"")</f>
        <v/>
      </c>
      <c r="AM89" s="95" t="str">
        <f>IFERROR(AK89*
(Assumptions!$S$7*(AB89/(AO89*Assumptions!$AB$8/100)/AI89)^3+
Assumptions!$S$8*(AB89/(AO89*Assumptions!$AB$8/100)/AI89)^2+
Assumptions!$S$9*(AB89/(AO89*Assumptions!$AB$8/100)/AI89)+
Assumptions!$S$10),"")</f>
        <v/>
      </c>
      <c r="AN89" s="95" t="str">
        <f>IFERROR(AK89*
(Assumptions!$S$7*(AG89/(AO89*Assumptions!$AB$10/100)/AI89)^3+
Assumptions!$S$8*(AG89/(AO89*Assumptions!$AB$10/100)/AI89)^2+
Assumptions!$S$9*(AG89/(AO89*Assumptions!$AB$10/100)/AI89)+
Assumptions!$S$10),"")</f>
        <v/>
      </c>
      <c r="AO89" s="95" t="str">
        <f>IFERROR(
Assumptions!$AD$8*LN(S89)^2+
Assumptions!$AE$8*LN(R89)*LN(S89)+
Assumptions!$AF$8*LN(R89)^2+
Assumptions!$AG$8*LN(S89)+
Assumptions!$AH$8*LN(R89)-
(IF(Q89=1800,
VLOOKUP(C89,Assumptions!$AA$13:$AC$17,3),
IF(Q89=3600,
VLOOKUP(C89,Assumptions!$AA$18:$AC$22,3),
""))+Assumptions!$AI$8),
"")</f>
        <v/>
      </c>
      <c r="AP89" s="96" t="str">
        <f>IFERROR(
Assumptions!$D$11*(W89/(Assumptions!$AB$9*AO89/100)+AL89)+
Assumptions!$D$10*(AB89/(Assumptions!$AB$8*AO89/100)+AM89)+
Assumptions!$D$12*(AG89/(Assumptions!$AB$10*AO89/100)+AN89),
"")</f>
        <v/>
      </c>
      <c r="AQ89" s="76" t="str">
        <f>IFERROR(
(U89+V89)*Assumptions!$D$11+
(Z89+AA89)*Assumptions!$D$10+
(AE89+AF89)*Assumptions!$D$12,
"")</f>
        <v/>
      </c>
      <c r="AR89" s="104" t="str">
        <f t="shared" si="31"/>
        <v/>
      </c>
      <c r="AS89" s="103" t="str">
        <f t="shared" si="32"/>
        <v/>
      </c>
      <c r="AT89" s="92"/>
    </row>
    <row r="90" spans="1:46" x14ac:dyDescent="0.25">
      <c r="A90" s="264"/>
      <c r="B90" s="265"/>
      <c r="C90" s="265"/>
      <c r="D90" s="265"/>
      <c r="E90" s="266"/>
      <c r="F90" s="270"/>
      <c r="G90" s="271"/>
      <c r="H90" s="271"/>
      <c r="I90" s="272"/>
      <c r="J90" s="270"/>
      <c r="K90" s="271"/>
      <c r="L90" s="272"/>
      <c r="M90" s="270"/>
      <c r="N90" s="271"/>
      <c r="O90" s="272"/>
      <c r="P90" s="97" t="str">
        <f t="shared" si="17"/>
        <v/>
      </c>
      <c r="Q90" s="84" t="str">
        <f t="shared" si="19"/>
        <v/>
      </c>
      <c r="R90" s="101" t="str">
        <f t="shared" si="20"/>
        <v/>
      </c>
      <c r="S90" s="100" t="str">
        <f t="shared" si="21"/>
        <v/>
      </c>
      <c r="T90" s="95" t="str">
        <f t="shared" si="22"/>
        <v/>
      </c>
      <c r="U90" s="95" t="str">
        <f t="shared" si="23"/>
        <v/>
      </c>
      <c r="V90" s="95" t="str">
        <f>IFERROR(AK90*
(Assumptions!$S$7*(U90/AI90)^3+
Assumptions!$S$8*(U90/AI90)^2+
Assumptions!$S$9*(U90/AI90)+
Assumptions!$S$10),"")</f>
        <v/>
      </c>
      <c r="W90" s="96" t="str">
        <f>IFERROR(S90*T90*Assumptions!$B$15/3956,"")</f>
        <v/>
      </c>
      <c r="X90" s="102" t="str">
        <f t="shared" si="24"/>
        <v/>
      </c>
      <c r="Y90" s="95" t="str">
        <f t="shared" si="25"/>
        <v/>
      </c>
      <c r="Z90" s="95" t="str">
        <f t="shared" si="26"/>
        <v/>
      </c>
      <c r="AA90" s="95" t="str">
        <f>IFERROR(AK90*
(Assumptions!$S$7*(Z90/AI90)^3+
Assumptions!$S$8*(Z90/AI90)^2+
Assumptions!$S$9*(Z90/AI90)+
Assumptions!$S$10),"")</f>
        <v/>
      </c>
      <c r="AB90" s="96" t="str">
        <f>IFERROR(X90*Y90*Assumptions!$B$15/3956,"")</f>
        <v/>
      </c>
      <c r="AC90" s="102" t="str">
        <f t="shared" si="27"/>
        <v/>
      </c>
      <c r="AD90" s="95" t="str">
        <f t="shared" si="28"/>
        <v/>
      </c>
      <c r="AE90" s="95" t="str">
        <f t="shared" si="29"/>
        <v/>
      </c>
      <c r="AF90" s="95" t="str">
        <f>IFERROR(AK90*
(Assumptions!$S$7*(AE90/AI90)^3+
Assumptions!$S$8*(AE90/AI90)^2+
Assumptions!$S$9*(AE90/AI90)+
Assumptions!$S$10),"")</f>
        <v/>
      </c>
      <c r="AG90" s="96" t="str">
        <f>IFERROR(AC90*AD90*Assumptions!$B$15/3956,"")</f>
        <v/>
      </c>
      <c r="AH90" s="94" t="str">
        <f t="shared" si="18"/>
        <v/>
      </c>
      <c r="AI90" s="93" t="str">
        <f>IFERROR(
IF(C90="VTS",
INDEX(Assumptions!$I$38:$I$57,MATCH(AH90,Assumptions!$I$38:$I$57,-1)),
INDEX(Assumptions!$I$13:$I$32,MATCH(AH90,Assumptions!$I$13:$I$32,-1))),
"")</f>
        <v/>
      </c>
      <c r="AJ90" s="96" t="str">
        <f>IFERROR(
IF(C90="VTS",
VLOOKUP(AI90,Assumptions!$I$38:$K$57,MATCH(P90,Assumptions!$I$37:$K$37,0),FALSE),
VLOOKUP(AI90,Assumptions!$I$13:$K$32,MATCH(P90,Assumptions!$I$12:$K$12,0),FALSE)),
"")</f>
        <v/>
      </c>
      <c r="AK90" s="99" t="str">
        <f t="shared" si="30"/>
        <v/>
      </c>
      <c r="AL90" s="95" t="str">
        <f>IFERROR(AK90*
(Assumptions!$S$7*(W90/(AO90*Assumptions!$AB$9/100)/AI90)^3+
Assumptions!$S$8*(W90/(AO90*Assumptions!$AB$9/100)/AI90)^2+
Assumptions!$S$9*(W90/(AO90*Assumptions!$AB$9/100)/AI90)+
Assumptions!$S$10),"")</f>
        <v/>
      </c>
      <c r="AM90" s="95" t="str">
        <f>IFERROR(AK90*
(Assumptions!$S$7*(AB90/(AO90*Assumptions!$AB$8/100)/AI90)^3+
Assumptions!$S$8*(AB90/(AO90*Assumptions!$AB$8/100)/AI90)^2+
Assumptions!$S$9*(AB90/(AO90*Assumptions!$AB$8/100)/AI90)+
Assumptions!$S$10),"")</f>
        <v/>
      </c>
      <c r="AN90" s="95" t="str">
        <f>IFERROR(AK90*
(Assumptions!$S$7*(AG90/(AO90*Assumptions!$AB$10/100)/AI90)^3+
Assumptions!$S$8*(AG90/(AO90*Assumptions!$AB$10/100)/AI90)^2+
Assumptions!$S$9*(AG90/(AO90*Assumptions!$AB$10/100)/AI90)+
Assumptions!$S$10),"")</f>
        <v/>
      </c>
      <c r="AO90" s="95" t="str">
        <f>IFERROR(
Assumptions!$AD$8*LN(S90)^2+
Assumptions!$AE$8*LN(R90)*LN(S90)+
Assumptions!$AF$8*LN(R90)^2+
Assumptions!$AG$8*LN(S90)+
Assumptions!$AH$8*LN(R90)-
(IF(Q90=1800,
VLOOKUP(C90,Assumptions!$AA$13:$AC$17,3),
IF(Q90=3600,
VLOOKUP(C90,Assumptions!$AA$18:$AC$22,3),
""))+Assumptions!$AI$8),
"")</f>
        <v/>
      </c>
      <c r="AP90" s="96" t="str">
        <f>IFERROR(
Assumptions!$D$11*(W90/(Assumptions!$AB$9*AO90/100)+AL90)+
Assumptions!$D$10*(AB90/(Assumptions!$AB$8*AO90/100)+AM90)+
Assumptions!$D$12*(AG90/(Assumptions!$AB$10*AO90/100)+AN90),
"")</f>
        <v/>
      </c>
      <c r="AQ90" s="76" t="str">
        <f>IFERROR(
(U90+V90)*Assumptions!$D$11+
(Z90+AA90)*Assumptions!$D$10+
(AE90+AF90)*Assumptions!$D$12,
"")</f>
        <v/>
      </c>
      <c r="AR90" s="104" t="str">
        <f t="shared" si="31"/>
        <v/>
      </c>
      <c r="AS90" s="103" t="str">
        <f t="shared" si="32"/>
        <v/>
      </c>
      <c r="AT90" s="92"/>
    </row>
    <row r="91" spans="1:46" x14ac:dyDescent="0.25">
      <c r="A91" s="264"/>
      <c r="B91" s="265"/>
      <c r="C91" s="265"/>
      <c r="D91" s="265"/>
      <c r="E91" s="266"/>
      <c r="F91" s="270"/>
      <c r="G91" s="271"/>
      <c r="H91" s="271"/>
      <c r="I91" s="272"/>
      <c r="J91" s="270"/>
      <c r="K91" s="271"/>
      <c r="L91" s="272"/>
      <c r="M91" s="270"/>
      <c r="N91" s="271"/>
      <c r="O91" s="272"/>
      <c r="P91" s="97" t="str">
        <f t="shared" si="17"/>
        <v/>
      </c>
      <c r="Q91" s="84" t="str">
        <f t="shared" si="19"/>
        <v/>
      </c>
      <c r="R91" s="101" t="str">
        <f t="shared" si="20"/>
        <v/>
      </c>
      <c r="S91" s="100" t="str">
        <f t="shared" si="21"/>
        <v/>
      </c>
      <c r="T91" s="95" t="str">
        <f t="shared" si="22"/>
        <v/>
      </c>
      <c r="U91" s="95" t="str">
        <f t="shared" si="23"/>
        <v/>
      </c>
      <c r="V91" s="95" t="str">
        <f>IFERROR(AK91*
(Assumptions!$S$7*(U91/AI91)^3+
Assumptions!$S$8*(U91/AI91)^2+
Assumptions!$S$9*(U91/AI91)+
Assumptions!$S$10),"")</f>
        <v/>
      </c>
      <c r="W91" s="96" t="str">
        <f>IFERROR(S91*T91*Assumptions!$B$15/3956,"")</f>
        <v/>
      </c>
      <c r="X91" s="102" t="str">
        <f t="shared" si="24"/>
        <v/>
      </c>
      <c r="Y91" s="95" t="str">
        <f t="shared" si="25"/>
        <v/>
      </c>
      <c r="Z91" s="95" t="str">
        <f t="shared" si="26"/>
        <v/>
      </c>
      <c r="AA91" s="95" t="str">
        <f>IFERROR(AK91*
(Assumptions!$S$7*(Z91/AI91)^3+
Assumptions!$S$8*(Z91/AI91)^2+
Assumptions!$S$9*(Z91/AI91)+
Assumptions!$S$10),"")</f>
        <v/>
      </c>
      <c r="AB91" s="96" t="str">
        <f>IFERROR(X91*Y91*Assumptions!$B$15/3956,"")</f>
        <v/>
      </c>
      <c r="AC91" s="102" t="str">
        <f t="shared" si="27"/>
        <v/>
      </c>
      <c r="AD91" s="95" t="str">
        <f t="shared" si="28"/>
        <v/>
      </c>
      <c r="AE91" s="95" t="str">
        <f t="shared" si="29"/>
        <v/>
      </c>
      <c r="AF91" s="95" t="str">
        <f>IFERROR(AK91*
(Assumptions!$S$7*(AE91/AI91)^3+
Assumptions!$S$8*(AE91/AI91)^2+
Assumptions!$S$9*(AE91/AI91)+
Assumptions!$S$10),"")</f>
        <v/>
      </c>
      <c r="AG91" s="96" t="str">
        <f>IFERROR(AC91*AD91*Assumptions!$B$15/3956,"")</f>
        <v/>
      </c>
      <c r="AH91" s="94" t="str">
        <f t="shared" si="18"/>
        <v/>
      </c>
      <c r="AI91" s="93" t="str">
        <f>IFERROR(
IF(C91="VTS",
INDEX(Assumptions!$I$38:$I$57,MATCH(AH91,Assumptions!$I$38:$I$57,-1)),
INDEX(Assumptions!$I$13:$I$32,MATCH(AH91,Assumptions!$I$13:$I$32,-1))),
"")</f>
        <v/>
      </c>
      <c r="AJ91" s="96" t="str">
        <f>IFERROR(
IF(C91="VTS",
VLOOKUP(AI91,Assumptions!$I$38:$K$57,MATCH(P91,Assumptions!$I$37:$K$37,0),FALSE),
VLOOKUP(AI91,Assumptions!$I$13:$K$32,MATCH(P91,Assumptions!$I$12:$K$12,0),FALSE)),
"")</f>
        <v/>
      </c>
      <c r="AK91" s="99" t="str">
        <f t="shared" si="30"/>
        <v/>
      </c>
      <c r="AL91" s="95" t="str">
        <f>IFERROR(AK91*
(Assumptions!$S$7*(W91/(AO91*Assumptions!$AB$9/100)/AI91)^3+
Assumptions!$S$8*(W91/(AO91*Assumptions!$AB$9/100)/AI91)^2+
Assumptions!$S$9*(W91/(AO91*Assumptions!$AB$9/100)/AI91)+
Assumptions!$S$10),"")</f>
        <v/>
      </c>
      <c r="AM91" s="95" t="str">
        <f>IFERROR(AK91*
(Assumptions!$S$7*(AB91/(AO91*Assumptions!$AB$8/100)/AI91)^3+
Assumptions!$S$8*(AB91/(AO91*Assumptions!$AB$8/100)/AI91)^2+
Assumptions!$S$9*(AB91/(AO91*Assumptions!$AB$8/100)/AI91)+
Assumptions!$S$10),"")</f>
        <v/>
      </c>
      <c r="AN91" s="95" t="str">
        <f>IFERROR(AK91*
(Assumptions!$S$7*(AG91/(AO91*Assumptions!$AB$10/100)/AI91)^3+
Assumptions!$S$8*(AG91/(AO91*Assumptions!$AB$10/100)/AI91)^2+
Assumptions!$S$9*(AG91/(AO91*Assumptions!$AB$10/100)/AI91)+
Assumptions!$S$10),"")</f>
        <v/>
      </c>
      <c r="AO91" s="95" t="str">
        <f>IFERROR(
Assumptions!$AD$8*LN(S91)^2+
Assumptions!$AE$8*LN(R91)*LN(S91)+
Assumptions!$AF$8*LN(R91)^2+
Assumptions!$AG$8*LN(S91)+
Assumptions!$AH$8*LN(R91)-
(IF(Q91=1800,
VLOOKUP(C91,Assumptions!$AA$13:$AC$17,3),
IF(Q91=3600,
VLOOKUP(C91,Assumptions!$AA$18:$AC$22,3),
""))+Assumptions!$AI$8),
"")</f>
        <v/>
      </c>
      <c r="AP91" s="96" t="str">
        <f>IFERROR(
Assumptions!$D$11*(W91/(Assumptions!$AB$9*AO91/100)+AL91)+
Assumptions!$D$10*(AB91/(Assumptions!$AB$8*AO91/100)+AM91)+
Assumptions!$D$12*(AG91/(Assumptions!$AB$10*AO91/100)+AN91),
"")</f>
        <v/>
      </c>
      <c r="AQ91" s="76" t="str">
        <f>IFERROR(
(U91+V91)*Assumptions!$D$11+
(Z91+AA91)*Assumptions!$D$10+
(AE91+AF91)*Assumptions!$D$12,
"")</f>
        <v/>
      </c>
      <c r="AR91" s="104" t="str">
        <f t="shared" si="31"/>
        <v/>
      </c>
      <c r="AS91" s="103" t="str">
        <f t="shared" si="32"/>
        <v/>
      </c>
      <c r="AT91" s="92"/>
    </row>
    <row r="92" spans="1:46" x14ac:dyDescent="0.25">
      <c r="A92" s="264"/>
      <c r="B92" s="265"/>
      <c r="C92" s="265"/>
      <c r="D92" s="265"/>
      <c r="E92" s="266"/>
      <c r="F92" s="270"/>
      <c r="G92" s="271"/>
      <c r="H92" s="271"/>
      <c r="I92" s="272"/>
      <c r="J92" s="270"/>
      <c r="K92" s="271"/>
      <c r="L92" s="272"/>
      <c r="M92" s="270"/>
      <c r="N92" s="271"/>
      <c r="O92" s="272"/>
      <c r="P92" s="97" t="str">
        <f t="shared" si="17"/>
        <v/>
      </c>
      <c r="Q92" s="84" t="str">
        <f t="shared" si="19"/>
        <v/>
      </c>
      <c r="R92" s="101" t="str">
        <f t="shared" si="20"/>
        <v/>
      </c>
      <c r="S92" s="100" t="str">
        <f t="shared" si="21"/>
        <v/>
      </c>
      <c r="T92" s="95" t="str">
        <f t="shared" si="22"/>
        <v/>
      </c>
      <c r="U92" s="95" t="str">
        <f t="shared" si="23"/>
        <v/>
      </c>
      <c r="V92" s="95" t="str">
        <f>IFERROR(AK92*
(Assumptions!$S$7*(U92/AI92)^3+
Assumptions!$S$8*(U92/AI92)^2+
Assumptions!$S$9*(U92/AI92)+
Assumptions!$S$10),"")</f>
        <v/>
      </c>
      <c r="W92" s="96" t="str">
        <f>IFERROR(S92*T92*Assumptions!$B$15/3956,"")</f>
        <v/>
      </c>
      <c r="X92" s="102" t="str">
        <f t="shared" si="24"/>
        <v/>
      </c>
      <c r="Y92" s="95" t="str">
        <f t="shared" si="25"/>
        <v/>
      </c>
      <c r="Z92" s="95" t="str">
        <f t="shared" si="26"/>
        <v/>
      </c>
      <c r="AA92" s="95" t="str">
        <f>IFERROR(AK92*
(Assumptions!$S$7*(Z92/AI92)^3+
Assumptions!$S$8*(Z92/AI92)^2+
Assumptions!$S$9*(Z92/AI92)+
Assumptions!$S$10),"")</f>
        <v/>
      </c>
      <c r="AB92" s="96" t="str">
        <f>IFERROR(X92*Y92*Assumptions!$B$15/3956,"")</f>
        <v/>
      </c>
      <c r="AC92" s="102" t="str">
        <f t="shared" si="27"/>
        <v/>
      </c>
      <c r="AD92" s="95" t="str">
        <f t="shared" si="28"/>
        <v/>
      </c>
      <c r="AE92" s="95" t="str">
        <f t="shared" si="29"/>
        <v/>
      </c>
      <c r="AF92" s="95" t="str">
        <f>IFERROR(AK92*
(Assumptions!$S$7*(AE92/AI92)^3+
Assumptions!$S$8*(AE92/AI92)^2+
Assumptions!$S$9*(AE92/AI92)+
Assumptions!$S$10),"")</f>
        <v/>
      </c>
      <c r="AG92" s="96" t="str">
        <f>IFERROR(AC92*AD92*Assumptions!$B$15/3956,"")</f>
        <v/>
      </c>
      <c r="AH92" s="94" t="str">
        <f t="shared" si="18"/>
        <v/>
      </c>
      <c r="AI92" s="93" t="str">
        <f>IFERROR(
IF(C92="VTS",
INDEX(Assumptions!$I$38:$I$57,MATCH(AH92,Assumptions!$I$38:$I$57,-1)),
INDEX(Assumptions!$I$13:$I$32,MATCH(AH92,Assumptions!$I$13:$I$32,-1))),
"")</f>
        <v/>
      </c>
      <c r="AJ92" s="96" t="str">
        <f>IFERROR(
IF(C92="VTS",
VLOOKUP(AI92,Assumptions!$I$38:$K$57,MATCH(P92,Assumptions!$I$37:$K$37,0),FALSE),
VLOOKUP(AI92,Assumptions!$I$13:$K$32,MATCH(P92,Assumptions!$I$12:$K$12,0),FALSE)),
"")</f>
        <v/>
      </c>
      <c r="AK92" s="99" t="str">
        <f t="shared" si="30"/>
        <v/>
      </c>
      <c r="AL92" s="95" t="str">
        <f>IFERROR(AK92*
(Assumptions!$S$7*(W92/(AO92*Assumptions!$AB$9/100)/AI92)^3+
Assumptions!$S$8*(W92/(AO92*Assumptions!$AB$9/100)/AI92)^2+
Assumptions!$S$9*(W92/(AO92*Assumptions!$AB$9/100)/AI92)+
Assumptions!$S$10),"")</f>
        <v/>
      </c>
      <c r="AM92" s="95" t="str">
        <f>IFERROR(AK92*
(Assumptions!$S$7*(AB92/(AO92*Assumptions!$AB$8/100)/AI92)^3+
Assumptions!$S$8*(AB92/(AO92*Assumptions!$AB$8/100)/AI92)^2+
Assumptions!$S$9*(AB92/(AO92*Assumptions!$AB$8/100)/AI92)+
Assumptions!$S$10),"")</f>
        <v/>
      </c>
      <c r="AN92" s="95" t="str">
        <f>IFERROR(AK92*
(Assumptions!$S$7*(AG92/(AO92*Assumptions!$AB$10/100)/AI92)^3+
Assumptions!$S$8*(AG92/(AO92*Assumptions!$AB$10/100)/AI92)^2+
Assumptions!$S$9*(AG92/(AO92*Assumptions!$AB$10/100)/AI92)+
Assumptions!$S$10),"")</f>
        <v/>
      </c>
      <c r="AO92" s="95" t="str">
        <f>IFERROR(
Assumptions!$AD$8*LN(S92)^2+
Assumptions!$AE$8*LN(R92)*LN(S92)+
Assumptions!$AF$8*LN(R92)^2+
Assumptions!$AG$8*LN(S92)+
Assumptions!$AH$8*LN(R92)-
(IF(Q92=1800,
VLOOKUP(C92,Assumptions!$AA$13:$AC$17,3),
IF(Q92=3600,
VLOOKUP(C92,Assumptions!$AA$18:$AC$22,3),
""))+Assumptions!$AI$8),
"")</f>
        <v/>
      </c>
      <c r="AP92" s="96" t="str">
        <f>IFERROR(
Assumptions!$D$11*(W92/(Assumptions!$AB$9*AO92/100)+AL92)+
Assumptions!$D$10*(AB92/(Assumptions!$AB$8*AO92/100)+AM92)+
Assumptions!$D$12*(AG92/(Assumptions!$AB$10*AO92/100)+AN92),
"")</f>
        <v/>
      </c>
      <c r="AQ92" s="76" t="str">
        <f>IFERROR(
(U92+V92)*Assumptions!$D$11+
(Z92+AA92)*Assumptions!$D$10+
(AE92+AF92)*Assumptions!$D$12,
"")</f>
        <v/>
      </c>
      <c r="AR92" s="104" t="str">
        <f t="shared" si="31"/>
        <v/>
      </c>
      <c r="AS92" s="103" t="str">
        <f t="shared" si="32"/>
        <v/>
      </c>
      <c r="AT92" s="92"/>
    </row>
    <row r="93" spans="1:46" x14ac:dyDescent="0.25">
      <c r="A93" s="264"/>
      <c r="B93" s="265"/>
      <c r="C93" s="265"/>
      <c r="D93" s="265"/>
      <c r="E93" s="266"/>
      <c r="F93" s="270"/>
      <c r="G93" s="271"/>
      <c r="H93" s="271"/>
      <c r="I93" s="272"/>
      <c r="J93" s="270"/>
      <c r="K93" s="271"/>
      <c r="L93" s="272"/>
      <c r="M93" s="270"/>
      <c r="N93" s="271"/>
      <c r="O93" s="272"/>
      <c r="P93" s="97" t="str">
        <f t="shared" si="17"/>
        <v/>
      </c>
      <c r="Q93" s="84" t="str">
        <f t="shared" si="19"/>
        <v/>
      </c>
      <c r="R93" s="101" t="str">
        <f t="shared" si="20"/>
        <v/>
      </c>
      <c r="S93" s="100" t="str">
        <f t="shared" si="21"/>
        <v/>
      </c>
      <c r="T93" s="95" t="str">
        <f t="shared" si="22"/>
        <v/>
      </c>
      <c r="U93" s="95" t="str">
        <f t="shared" si="23"/>
        <v/>
      </c>
      <c r="V93" s="95" t="str">
        <f>IFERROR(AK93*
(Assumptions!$S$7*(U93/AI93)^3+
Assumptions!$S$8*(U93/AI93)^2+
Assumptions!$S$9*(U93/AI93)+
Assumptions!$S$10),"")</f>
        <v/>
      </c>
      <c r="W93" s="96" t="str">
        <f>IFERROR(S93*T93*Assumptions!$B$15/3956,"")</f>
        <v/>
      </c>
      <c r="X93" s="102" t="str">
        <f t="shared" si="24"/>
        <v/>
      </c>
      <c r="Y93" s="95" t="str">
        <f t="shared" si="25"/>
        <v/>
      </c>
      <c r="Z93" s="95" t="str">
        <f t="shared" si="26"/>
        <v/>
      </c>
      <c r="AA93" s="95" t="str">
        <f>IFERROR(AK93*
(Assumptions!$S$7*(Z93/AI93)^3+
Assumptions!$S$8*(Z93/AI93)^2+
Assumptions!$S$9*(Z93/AI93)+
Assumptions!$S$10),"")</f>
        <v/>
      </c>
      <c r="AB93" s="96" t="str">
        <f>IFERROR(X93*Y93*Assumptions!$B$15/3956,"")</f>
        <v/>
      </c>
      <c r="AC93" s="102" t="str">
        <f t="shared" si="27"/>
        <v/>
      </c>
      <c r="AD93" s="95" t="str">
        <f t="shared" si="28"/>
        <v/>
      </c>
      <c r="AE93" s="95" t="str">
        <f t="shared" si="29"/>
        <v/>
      </c>
      <c r="AF93" s="95" t="str">
        <f>IFERROR(AK93*
(Assumptions!$S$7*(AE93/AI93)^3+
Assumptions!$S$8*(AE93/AI93)^2+
Assumptions!$S$9*(AE93/AI93)+
Assumptions!$S$10),"")</f>
        <v/>
      </c>
      <c r="AG93" s="96" t="str">
        <f>IFERROR(AC93*AD93*Assumptions!$B$15/3956,"")</f>
        <v/>
      </c>
      <c r="AH93" s="94" t="str">
        <f t="shared" si="18"/>
        <v/>
      </c>
      <c r="AI93" s="93" t="str">
        <f>IFERROR(
IF(C93="VTS",
INDEX(Assumptions!$I$38:$I$57,MATCH(AH93,Assumptions!$I$38:$I$57,-1)),
INDEX(Assumptions!$I$13:$I$32,MATCH(AH93,Assumptions!$I$13:$I$32,-1))),
"")</f>
        <v/>
      </c>
      <c r="AJ93" s="96" t="str">
        <f>IFERROR(
IF(C93="VTS",
VLOOKUP(AI93,Assumptions!$I$38:$K$57,MATCH(P93,Assumptions!$I$37:$K$37,0),FALSE),
VLOOKUP(AI93,Assumptions!$I$13:$K$32,MATCH(P93,Assumptions!$I$12:$K$12,0),FALSE)),
"")</f>
        <v/>
      </c>
      <c r="AK93" s="99" t="str">
        <f t="shared" si="30"/>
        <v/>
      </c>
      <c r="AL93" s="95" t="str">
        <f>IFERROR(AK93*
(Assumptions!$S$7*(W93/(AO93*Assumptions!$AB$9/100)/AI93)^3+
Assumptions!$S$8*(W93/(AO93*Assumptions!$AB$9/100)/AI93)^2+
Assumptions!$S$9*(W93/(AO93*Assumptions!$AB$9/100)/AI93)+
Assumptions!$S$10),"")</f>
        <v/>
      </c>
      <c r="AM93" s="95" t="str">
        <f>IFERROR(AK93*
(Assumptions!$S$7*(AB93/(AO93*Assumptions!$AB$8/100)/AI93)^3+
Assumptions!$S$8*(AB93/(AO93*Assumptions!$AB$8/100)/AI93)^2+
Assumptions!$S$9*(AB93/(AO93*Assumptions!$AB$8/100)/AI93)+
Assumptions!$S$10),"")</f>
        <v/>
      </c>
      <c r="AN93" s="95" t="str">
        <f>IFERROR(AK93*
(Assumptions!$S$7*(AG93/(AO93*Assumptions!$AB$10/100)/AI93)^3+
Assumptions!$S$8*(AG93/(AO93*Assumptions!$AB$10/100)/AI93)^2+
Assumptions!$S$9*(AG93/(AO93*Assumptions!$AB$10/100)/AI93)+
Assumptions!$S$10),"")</f>
        <v/>
      </c>
      <c r="AO93" s="95" t="str">
        <f>IFERROR(
Assumptions!$AD$8*LN(S93)^2+
Assumptions!$AE$8*LN(R93)*LN(S93)+
Assumptions!$AF$8*LN(R93)^2+
Assumptions!$AG$8*LN(S93)+
Assumptions!$AH$8*LN(R93)-
(IF(Q93=1800,
VLOOKUP(C93,Assumptions!$AA$13:$AC$17,3),
IF(Q93=3600,
VLOOKUP(C93,Assumptions!$AA$18:$AC$22,3),
""))+Assumptions!$AI$8),
"")</f>
        <v/>
      </c>
      <c r="AP93" s="96" t="str">
        <f>IFERROR(
Assumptions!$D$11*(W93/(Assumptions!$AB$9*AO93/100)+AL93)+
Assumptions!$D$10*(AB93/(Assumptions!$AB$8*AO93/100)+AM93)+
Assumptions!$D$12*(AG93/(Assumptions!$AB$10*AO93/100)+AN93),
"")</f>
        <v/>
      </c>
      <c r="AQ93" s="76" t="str">
        <f>IFERROR(
(U93+V93)*Assumptions!$D$11+
(Z93+AA93)*Assumptions!$D$10+
(AE93+AF93)*Assumptions!$D$12,
"")</f>
        <v/>
      </c>
      <c r="AR93" s="104" t="str">
        <f t="shared" si="31"/>
        <v/>
      </c>
      <c r="AS93" s="103" t="str">
        <f t="shared" si="32"/>
        <v/>
      </c>
      <c r="AT93" s="92"/>
    </row>
    <row r="94" spans="1:46" x14ac:dyDescent="0.25">
      <c r="A94" s="264"/>
      <c r="B94" s="265"/>
      <c r="C94" s="265"/>
      <c r="D94" s="265"/>
      <c r="E94" s="266"/>
      <c r="F94" s="270"/>
      <c r="G94" s="271"/>
      <c r="H94" s="271"/>
      <c r="I94" s="272"/>
      <c r="J94" s="270"/>
      <c r="K94" s="271"/>
      <c r="L94" s="272"/>
      <c r="M94" s="270"/>
      <c r="N94" s="271"/>
      <c r="O94" s="272"/>
      <c r="P94" s="97" t="str">
        <f t="shared" si="17"/>
        <v/>
      </c>
      <c r="Q94" s="84" t="str">
        <f t="shared" si="19"/>
        <v/>
      </c>
      <c r="R94" s="101" t="str">
        <f t="shared" si="20"/>
        <v/>
      </c>
      <c r="S94" s="100" t="str">
        <f t="shared" si="21"/>
        <v/>
      </c>
      <c r="T94" s="95" t="str">
        <f t="shared" si="22"/>
        <v/>
      </c>
      <c r="U94" s="95" t="str">
        <f t="shared" si="23"/>
        <v/>
      </c>
      <c r="V94" s="95" t="str">
        <f>IFERROR(AK94*
(Assumptions!$S$7*(U94/AI94)^3+
Assumptions!$S$8*(U94/AI94)^2+
Assumptions!$S$9*(U94/AI94)+
Assumptions!$S$10),"")</f>
        <v/>
      </c>
      <c r="W94" s="96" t="str">
        <f>IFERROR(S94*T94*Assumptions!$B$15/3956,"")</f>
        <v/>
      </c>
      <c r="X94" s="102" t="str">
        <f t="shared" si="24"/>
        <v/>
      </c>
      <c r="Y94" s="95" t="str">
        <f t="shared" si="25"/>
        <v/>
      </c>
      <c r="Z94" s="95" t="str">
        <f t="shared" si="26"/>
        <v/>
      </c>
      <c r="AA94" s="95" t="str">
        <f>IFERROR(AK94*
(Assumptions!$S$7*(Z94/AI94)^3+
Assumptions!$S$8*(Z94/AI94)^2+
Assumptions!$S$9*(Z94/AI94)+
Assumptions!$S$10),"")</f>
        <v/>
      </c>
      <c r="AB94" s="96" t="str">
        <f>IFERROR(X94*Y94*Assumptions!$B$15/3956,"")</f>
        <v/>
      </c>
      <c r="AC94" s="102" t="str">
        <f t="shared" si="27"/>
        <v/>
      </c>
      <c r="AD94" s="95" t="str">
        <f t="shared" si="28"/>
        <v/>
      </c>
      <c r="AE94" s="95" t="str">
        <f t="shared" si="29"/>
        <v/>
      </c>
      <c r="AF94" s="95" t="str">
        <f>IFERROR(AK94*
(Assumptions!$S$7*(AE94/AI94)^3+
Assumptions!$S$8*(AE94/AI94)^2+
Assumptions!$S$9*(AE94/AI94)+
Assumptions!$S$10),"")</f>
        <v/>
      </c>
      <c r="AG94" s="96" t="str">
        <f>IFERROR(AC94*AD94*Assumptions!$B$15/3956,"")</f>
        <v/>
      </c>
      <c r="AH94" s="94" t="str">
        <f t="shared" si="18"/>
        <v/>
      </c>
      <c r="AI94" s="93" t="str">
        <f>IFERROR(
IF(C94="VTS",
INDEX(Assumptions!$I$38:$I$57,MATCH(AH94,Assumptions!$I$38:$I$57,-1)),
INDEX(Assumptions!$I$13:$I$32,MATCH(AH94,Assumptions!$I$13:$I$32,-1))),
"")</f>
        <v/>
      </c>
      <c r="AJ94" s="96" t="str">
        <f>IFERROR(
IF(C94="VTS",
VLOOKUP(AI94,Assumptions!$I$38:$K$57,MATCH(P94,Assumptions!$I$37:$K$37,0),FALSE),
VLOOKUP(AI94,Assumptions!$I$13:$K$32,MATCH(P94,Assumptions!$I$12:$K$12,0),FALSE)),
"")</f>
        <v/>
      </c>
      <c r="AK94" s="99" t="str">
        <f t="shared" si="30"/>
        <v/>
      </c>
      <c r="AL94" s="95" t="str">
        <f>IFERROR(AK94*
(Assumptions!$S$7*(W94/(AO94*Assumptions!$AB$9/100)/AI94)^3+
Assumptions!$S$8*(W94/(AO94*Assumptions!$AB$9/100)/AI94)^2+
Assumptions!$S$9*(W94/(AO94*Assumptions!$AB$9/100)/AI94)+
Assumptions!$S$10),"")</f>
        <v/>
      </c>
      <c r="AM94" s="95" t="str">
        <f>IFERROR(AK94*
(Assumptions!$S$7*(AB94/(AO94*Assumptions!$AB$8/100)/AI94)^3+
Assumptions!$S$8*(AB94/(AO94*Assumptions!$AB$8/100)/AI94)^2+
Assumptions!$S$9*(AB94/(AO94*Assumptions!$AB$8/100)/AI94)+
Assumptions!$S$10),"")</f>
        <v/>
      </c>
      <c r="AN94" s="95" t="str">
        <f>IFERROR(AK94*
(Assumptions!$S$7*(AG94/(AO94*Assumptions!$AB$10/100)/AI94)^3+
Assumptions!$S$8*(AG94/(AO94*Assumptions!$AB$10/100)/AI94)^2+
Assumptions!$S$9*(AG94/(AO94*Assumptions!$AB$10/100)/AI94)+
Assumptions!$S$10),"")</f>
        <v/>
      </c>
      <c r="AO94" s="95" t="str">
        <f>IFERROR(
Assumptions!$AD$8*LN(S94)^2+
Assumptions!$AE$8*LN(R94)*LN(S94)+
Assumptions!$AF$8*LN(R94)^2+
Assumptions!$AG$8*LN(S94)+
Assumptions!$AH$8*LN(R94)-
(IF(Q94=1800,
VLOOKUP(C94,Assumptions!$AA$13:$AC$17,3),
IF(Q94=3600,
VLOOKUP(C94,Assumptions!$AA$18:$AC$22,3),
""))+Assumptions!$AI$8),
"")</f>
        <v/>
      </c>
      <c r="AP94" s="96" t="str">
        <f>IFERROR(
Assumptions!$D$11*(W94/(Assumptions!$AB$9*AO94/100)+AL94)+
Assumptions!$D$10*(AB94/(Assumptions!$AB$8*AO94/100)+AM94)+
Assumptions!$D$12*(AG94/(Assumptions!$AB$10*AO94/100)+AN94),
"")</f>
        <v/>
      </c>
      <c r="AQ94" s="76" t="str">
        <f>IFERROR(
(U94+V94)*Assumptions!$D$11+
(Z94+AA94)*Assumptions!$D$10+
(AE94+AF94)*Assumptions!$D$12,
"")</f>
        <v/>
      </c>
      <c r="AR94" s="104" t="str">
        <f t="shared" si="31"/>
        <v/>
      </c>
      <c r="AS94" s="103" t="str">
        <f t="shared" si="32"/>
        <v/>
      </c>
      <c r="AT94" s="92"/>
    </row>
    <row r="95" spans="1:46" x14ac:dyDescent="0.25">
      <c r="A95" s="264"/>
      <c r="B95" s="265"/>
      <c r="C95" s="265"/>
      <c r="D95" s="265"/>
      <c r="E95" s="266"/>
      <c r="F95" s="270"/>
      <c r="G95" s="271"/>
      <c r="H95" s="271"/>
      <c r="I95" s="272"/>
      <c r="J95" s="270"/>
      <c r="K95" s="271"/>
      <c r="L95" s="272"/>
      <c r="M95" s="270"/>
      <c r="N95" s="271"/>
      <c r="O95" s="272"/>
      <c r="P95" s="97" t="str">
        <f t="shared" si="17"/>
        <v/>
      </c>
      <c r="Q95" s="84" t="str">
        <f t="shared" si="19"/>
        <v/>
      </c>
      <c r="R95" s="101" t="str">
        <f t="shared" si="20"/>
        <v/>
      </c>
      <c r="S95" s="100" t="str">
        <f t="shared" si="21"/>
        <v/>
      </c>
      <c r="T95" s="95" t="str">
        <f t="shared" si="22"/>
        <v/>
      </c>
      <c r="U95" s="95" t="str">
        <f t="shared" si="23"/>
        <v/>
      </c>
      <c r="V95" s="95" t="str">
        <f>IFERROR(AK95*
(Assumptions!$S$7*(U95/AI95)^3+
Assumptions!$S$8*(U95/AI95)^2+
Assumptions!$S$9*(U95/AI95)+
Assumptions!$S$10),"")</f>
        <v/>
      </c>
      <c r="W95" s="96" t="str">
        <f>IFERROR(S95*T95*Assumptions!$B$15/3956,"")</f>
        <v/>
      </c>
      <c r="X95" s="102" t="str">
        <f t="shared" si="24"/>
        <v/>
      </c>
      <c r="Y95" s="95" t="str">
        <f t="shared" si="25"/>
        <v/>
      </c>
      <c r="Z95" s="95" t="str">
        <f t="shared" si="26"/>
        <v/>
      </c>
      <c r="AA95" s="95" t="str">
        <f>IFERROR(AK95*
(Assumptions!$S$7*(Z95/AI95)^3+
Assumptions!$S$8*(Z95/AI95)^2+
Assumptions!$S$9*(Z95/AI95)+
Assumptions!$S$10),"")</f>
        <v/>
      </c>
      <c r="AB95" s="96" t="str">
        <f>IFERROR(X95*Y95*Assumptions!$B$15/3956,"")</f>
        <v/>
      </c>
      <c r="AC95" s="102" t="str">
        <f t="shared" si="27"/>
        <v/>
      </c>
      <c r="AD95" s="95" t="str">
        <f t="shared" si="28"/>
        <v/>
      </c>
      <c r="AE95" s="95" t="str">
        <f t="shared" si="29"/>
        <v/>
      </c>
      <c r="AF95" s="95" t="str">
        <f>IFERROR(AK95*
(Assumptions!$S$7*(AE95/AI95)^3+
Assumptions!$S$8*(AE95/AI95)^2+
Assumptions!$S$9*(AE95/AI95)+
Assumptions!$S$10),"")</f>
        <v/>
      </c>
      <c r="AG95" s="96" t="str">
        <f>IFERROR(AC95*AD95*Assumptions!$B$15/3956,"")</f>
        <v/>
      </c>
      <c r="AH95" s="94" t="str">
        <f t="shared" si="18"/>
        <v/>
      </c>
      <c r="AI95" s="93" t="str">
        <f>IFERROR(
IF(C95="VTS",
INDEX(Assumptions!$I$38:$I$57,MATCH(AH95,Assumptions!$I$38:$I$57,-1)),
INDEX(Assumptions!$I$13:$I$32,MATCH(AH95,Assumptions!$I$13:$I$32,-1))),
"")</f>
        <v/>
      </c>
      <c r="AJ95" s="96" t="str">
        <f>IFERROR(
IF(C95="VTS",
VLOOKUP(AI95,Assumptions!$I$38:$K$57,MATCH(P95,Assumptions!$I$37:$K$37,0),FALSE),
VLOOKUP(AI95,Assumptions!$I$13:$K$32,MATCH(P95,Assumptions!$I$12:$K$12,0),FALSE)),
"")</f>
        <v/>
      </c>
      <c r="AK95" s="99" t="str">
        <f t="shared" si="30"/>
        <v/>
      </c>
      <c r="AL95" s="95" t="str">
        <f>IFERROR(AK95*
(Assumptions!$S$7*(W95/(AO95*Assumptions!$AB$9/100)/AI95)^3+
Assumptions!$S$8*(W95/(AO95*Assumptions!$AB$9/100)/AI95)^2+
Assumptions!$S$9*(W95/(AO95*Assumptions!$AB$9/100)/AI95)+
Assumptions!$S$10),"")</f>
        <v/>
      </c>
      <c r="AM95" s="95" t="str">
        <f>IFERROR(AK95*
(Assumptions!$S$7*(AB95/(AO95*Assumptions!$AB$8/100)/AI95)^3+
Assumptions!$S$8*(AB95/(AO95*Assumptions!$AB$8/100)/AI95)^2+
Assumptions!$S$9*(AB95/(AO95*Assumptions!$AB$8/100)/AI95)+
Assumptions!$S$10),"")</f>
        <v/>
      </c>
      <c r="AN95" s="95" t="str">
        <f>IFERROR(AK95*
(Assumptions!$S$7*(AG95/(AO95*Assumptions!$AB$10/100)/AI95)^3+
Assumptions!$S$8*(AG95/(AO95*Assumptions!$AB$10/100)/AI95)^2+
Assumptions!$S$9*(AG95/(AO95*Assumptions!$AB$10/100)/AI95)+
Assumptions!$S$10),"")</f>
        <v/>
      </c>
      <c r="AO95" s="95" t="str">
        <f>IFERROR(
Assumptions!$AD$8*LN(S95)^2+
Assumptions!$AE$8*LN(R95)*LN(S95)+
Assumptions!$AF$8*LN(R95)^2+
Assumptions!$AG$8*LN(S95)+
Assumptions!$AH$8*LN(R95)-
(IF(Q95=1800,
VLOOKUP(C95,Assumptions!$AA$13:$AC$17,3),
IF(Q95=3600,
VLOOKUP(C95,Assumptions!$AA$18:$AC$22,3),
""))+Assumptions!$AI$8),
"")</f>
        <v/>
      </c>
      <c r="AP95" s="96" t="str">
        <f>IFERROR(
Assumptions!$D$11*(W95/(Assumptions!$AB$9*AO95/100)+AL95)+
Assumptions!$D$10*(AB95/(Assumptions!$AB$8*AO95/100)+AM95)+
Assumptions!$D$12*(AG95/(Assumptions!$AB$10*AO95/100)+AN95),
"")</f>
        <v/>
      </c>
      <c r="AQ95" s="76" t="str">
        <f>IFERROR(
(U95+V95)*Assumptions!$D$11+
(Z95+AA95)*Assumptions!$D$10+
(AE95+AF95)*Assumptions!$D$12,
"")</f>
        <v/>
      </c>
      <c r="AR95" s="104" t="str">
        <f t="shared" si="31"/>
        <v/>
      </c>
      <c r="AS95" s="103" t="str">
        <f t="shared" si="32"/>
        <v/>
      </c>
      <c r="AT95" s="92"/>
    </row>
    <row r="96" spans="1:46" x14ac:dyDescent="0.25">
      <c r="A96" s="264"/>
      <c r="B96" s="265"/>
      <c r="C96" s="265"/>
      <c r="D96" s="265"/>
      <c r="E96" s="266"/>
      <c r="F96" s="270"/>
      <c r="G96" s="271"/>
      <c r="H96" s="271"/>
      <c r="I96" s="272"/>
      <c r="J96" s="270"/>
      <c r="K96" s="271"/>
      <c r="L96" s="272"/>
      <c r="M96" s="270"/>
      <c r="N96" s="271"/>
      <c r="O96" s="272"/>
      <c r="P96" s="97" t="str">
        <f t="shared" si="17"/>
        <v/>
      </c>
      <c r="Q96" s="84" t="str">
        <f t="shared" si="19"/>
        <v/>
      </c>
      <c r="R96" s="101" t="str">
        <f t="shared" si="20"/>
        <v/>
      </c>
      <c r="S96" s="100" t="str">
        <f t="shared" si="21"/>
        <v/>
      </c>
      <c r="T96" s="95" t="str">
        <f t="shared" si="22"/>
        <v/>
      </c>
      <c r="U96" s="95" t="str">
        <f t="shared" si="23"/>
        <v/>
      </c>
      <c r="V96" s="95" t="str">
        <f>IFERROR(AK96*
(Assumptions!$S$7*(U96/AI96)^3+
Assumptions!$S$8*(U96/AI96)^2+
Assumptions!$S$9*(U96/AI96)+
Assumptions!$S$10),"")</f>
        <v/>
      </c>
      <c r="W96" s="96" t="str">
        <f>IFERROR(S96*T96*Assumptions!$B$15/3956,"")</f>
        <v/>
      </c>
      <c r="X96" s="102" t="str">
        <f t="shared" si="24"/>
        <v/>
      </c>
      <c r="Y96" s="95" t="str">
        <f t="shared" si="25"/>
        <v/>
      </c>
      <c r="Z96" s="95" t="str">
        <f t="shared" si="26"/>
        <v/>
      </c>
      <c r="AA96" s="95" t="str">
        <f>IFERROR(AK96*
(Assumptions!$S$7*(Z96/AI96)^3+
Assumptions!$S$8*(Z96/AI96)^2+
Assumptions!$S$9*(Z96/AI96)+
Assumptions!$S$10),"")</f>
        <v/>
      </c>
      <c r="AB96" s="96" t="str">
        <f>IFERROR(X96*Y96*Assumptions!$B$15/3956,"")</f>
        <v/>
      </c>
      <c r="AC96" s="102" t="str">
        <f t="shared" si="27"/>
        <v/>
      </c>
      <c r="AD96" s="95" t="str">
        <f t="shared" si="28"/>
        <v/>
      </c>
      <c r="AE96" s="95" t="str">
        <f t="shared" si="29"/>
        <v/>
      </c>
      <c r="AF96" s="95" t="str">
        <f>IFERROR(AK96*
(Assumptions!$S$7*(AE96/AI96)^3+
Assumptions!$S$8*(AE96/AI96)^2+
Assumptions!$S$9*(AE96/AI96)+
Assumptions!$S$10),"")</f>
        <v/>
      </c>
      <c r="AG96" s="96" t="str">
        <f>IFERROR(AC96*AD96*Assumptions!$B$15/3956,"")</f>
        <v/>
      </c>
      <c r="AH96" s="94" t="str">
        <f t="shared" si="18"/>
        <v/>
      </c>
      <c r="AI96" s="93" t="str">
        <f>IFERROR(
IF(C96="VTS",
INDEX(Assumptions!$I$38:$I$57,MATCH(AH96,Assumptions!$I$38:$I$57,-1)),
INDEX(Assumptions!$I$13:$I$32,MATCH(AH96,Assumptions!$I$13:$I$32,-1))),
"")</f>
        <v/>
      </c>
      <c r="AJ96" s="96" t="str">
        <f>IFERROR(
IF(C96="VTS",
VLOOKUP(AI96,Assumptions!$I$38:$K$57,MATCH(P96,Assumptions!$I$37:$K$37,0),FALSE),
VLOOKUP(AI96,Assumptions!$I$13:$K$32,MATCH(P96,Assumptions!$I$12:$K$12,0),FALSE)),
"")</f>
        <v/>
      </c>
      <c r="AK96" s="99" t="str">
        <f t="shared" si="30"/>
        <v/>
      </c>
      <c r="AL96" s="95" t="str">
        <f>IFERROR(AK96*
(Assumptions!$S$7*(W96/(AO96*Assumptions!$AB$9/100)/AI96)^3+
Assumptions!$S$8*(W96/(AO96*Assumptions!$AB$9/100)/AI96)^2+
Assumptions!$S$9*(W96/(AO96*Assumptions!$AB$9/100)/AI96)+
Assumptions!$S$10),"")</f>
        <v/>
      </c>
      <c r="AM96" s="95" t="str">
        <f>IFERROR(AK96*
(Assumptions!$S$7*(AB96/(AO96*Assumptions!$AB$8/100)/AI96)^3+
Assumptions!$S$8*(AB96/(AO96*Assumptions!$AB$8/100)/AI96)^2+
Assumptions!$S$9*(AB96/(AO96*Assumptions!$AB$8/100)/AI96)+
Assumptions!$S$10),"")</f>
        <v/>
      </c>
      <c r="AN96" s="95" t="str">
        <f>IFERROR(AK96*
(Assumptions!$S$7*(AG96/(AO96*Assumptions!$AB$10/100)/AI96)^3+
Assumptions!$S$8*(AG96/(AO96*Assumptions!$AB$10/100)/AI96)^2+
Assumptions!$S$9*(AG96/(AO96*Assumptions!$AB$10/100)/AI96)+
Assumptions!$S$10),"")</f>
        <v/>
      </c>
      <c r="AO96" s="95" t="str">
        <f>IFERROR(
Assumptions!$AD$8*LN(S96)^2+
Assumptions!$AE$8*LN(R96)*LN(S96)+
Assumptions!$AF$8*LN(R96)^2+
Assumptions!$AG$8*LN(S96)+
Assumptions!$AH$8*LN(R96)-
(IF(Q96=1800,
VLOOKUP(C96,Assumptions!$AA$13:$AC$17,3),
IF(Q96=3600,
VLOOKUP(C96,Assumptions!$AA$18:$AC$22,3),
""))+Assumptions!$AI$8),
"")</f>
        <v/>
      </c>
      <c r="AP96" s="96" t="str">
        <f>IFERROR(
Assumptions!$D$11*(W96/(Assumptions!$AB$9*AO96/100)+AL96)+
Assumptions!$D$10*(AB96/(Assumptions!$AB$8*AO96/100)+AM96)+
Assumptions!$D$12*(AG96/(Assumptions!$AB$10*AO96/100)+AN96),
"")</f>
        <v/>
      </c>
      <c r="AQ96" s="76" t="str">
        <f>IFERROR(
(U96+V96)*Assumptions!$D$11+
(Z96+AA96)*Assumptions!$D$10+
(AE96+AF96)*Assumptions!$D$12,
"")</f>
        <v/>
      </c>
      <c r="AR96" s="104" t="str">
        <f t="shared" si="31"/>
        <v/>
      </c>
      <c r="AS96" s="103" t="str">
        <f t="shared" si="32"/>
        <v/>
      </c>
      <c r="AT96" s="92"/>
    </row>
    <row r="97" spans="1:46" x14ac:dyDescent="0.25">
      <c r="A97" s="264"/>
      <c r="B97" s="265"/>
      <c r="C97" s="265"/>
      <c r="D97" s="265"/>
      <c r="E97" s="266"/>
      <c r="F97" s="270"/>
      <c r="G97" s="271"/>
      <c r="H97" s="271"/>
      <c r="I97" s="272"/>
      <c r="J97" s="270"/>
      <c r="K97" s="271"/>
      <c r="L97" s="272"/>
      <c r="M97" s="270"/>
      <c r="N97" s="271"/>
      <c r="O97" s="272"/>
      <c r="P97" s="97" t="str">
        <f t="shared" si="17"/>
        <v/>
      </c>
      <c r="Q97" s="84" t="str">
        <f t="shared" si="19"/>
        <v/>
      </c>
      <c r="R97" s="101" t="str">
        <f t="shared" si="20"/>
        <v/>
      </c>
      <c r="S97" s="100" t="str">
        <f t="shared" si="21"/>
        <v/>
      </c>
      <c r="T97" s="95" t="str">
        <f t="shared" si="22"/>
        <v/>
      </c>
      <c r="U97" s="95" t="str">
        <f t="shared" si="23"/>
        <v/>
      </c>
      <c r="V97" s="95" t="str">
        <f>IFERROR(AK97*
(Assumptions!$S$7*(U97/AI97)^3+
Assumptions!$S$8*(U97/AI97)^2+
Assumptions!$S$9*(U97/AI97)+
Assumptions!$S$10),"")</f>
        <v/>
      </c>
      <c r="W97" s="96" t="str">
        <f>IFERROR(S97*T97*Assumptions!$B$15/3956,"")</f>
        <v/>
      </c>
      <c r="X97" s="102" t="str">
        <f t="shared" si="24"/>
        <v/>
      </c>
      <c r="Y97" s="95" t="str">
        <f t="shared" si="25"/>
        <v/>
      </c>
      <c r="Z97" s="95" t="str">
        <f t="shared" si="26"/>
        <v/>
      </c>
      <c r="AA97" s="95" t="str">
        <f>IFERROR(AK97*
(Assumptions!$S$7*(Z97/AI97)^3+
Assumptions!$S$8*(Z97/AI97)^2+
Assumptions!$S$9*(Z97/AI97)+
Assumptions!$S$10),"")</f>
        <v/>
      </c>
      <c r="AB97" s="96" t="str">
        <f>IFERROR(X97*Y97*Assumptions!$B$15/3956,"")</f>
        <v/>
      </c>
      <c r="AC97" s="102" t="str">
        <f t="shared" si="27"/>
        <v/>
      </c>
      <c r="AD97" s="95" t="str">
        <f t="shared" si="28"/>
        <v/>
      </c>
      <c r="AE97" s="95" t="str">
        <f t="shared" si="29"/>
        <v/>
      </c>
      <c r="AF97" s="95" t="str">
        <f>IFERROR(AK97*
(Assumptions!$S$7*(AE97/AI97)^3+
Assumptions!$S$8*(AE97/AI97)^2+
Assumptions!$S$9*(AE97/AI97)+
Assumptions!$S$10),"")</f>
        <v/>
      </c>
      <c r="AG97" s="96" t="str">
        <f>IFERROR(AC97*AD97*Assumptions!$B$15/3956,"")</f>
        <v/>
      </c>
      <c r="AH97" s="94" t="str">
        <f t="shared" si="18"/>
        <v/>
      </c>
      <c r="AI97" s="93" t="str">
        <f>IFERROR(
IF(C97="VTS",
INDEX(Assumptions!$I$38:$I$57,MATCH(AH97,Assumptions!$I$38:$I$57,-1)),
INDEX(Assumptions!$I$13:$I$32,MATCH(AH97,Assumptions!$I$13:$I$32,-1))),
"")</f>
        <v/>
      </c>
      <c r="AJ97" s="96" t="str">
        <f>IFERROR(
IF(C97="VTS",
VLOOKUP(AI97,Assumptions!$I$38:$K$57,MATCH(P97,Assumptions!$I$37:$K$37,0),FALSE),
VLOOKUP(AI97,Assumptions!$I$13:$K$32,MATCH(P97,Assumptions!$I$12:$K$12,0),FALSE)),
"")</f>
        <v/>
      </c>
      <c r="AK97" s="99" t="str">
        <f t="shared" si="30"/>
        <v/>
      </c>
      <c r="AL97" s="95" t="str">
        <f>IFERROR(AK97*
(Assumptions!$S$7*(W97/(AO97*Assumptions!$AB$9/100)/AI97)^3+
Assumptions!$S$8*(W97/(AO97*Assumptions!$AB$9/100)/AI97)^2+
Assumptions!$S$9*(W97/(AO97*Assumptions!$AB$9/100)/AI97)+
Assumptions!$S$10),"")</f>
        <v/>
      </c>
      <c r="AM97" s="95" t="str">
        <f>IFERROR(AK97*
(Assumptions!$S$7*(AB97/(AO97*Assumptions!$AB$8/100)/AI97)^3+
Assumptions!$S$8*(AB97/(AO97*Assumptions!$AB$8/100)/AI97)^2+
Assumptions!$S$9*(AB97/(AO97*Assumptions!$AB$8/100)/AI97)+
Assumptions!$S$10),"")</f>
        <v/>
      </c>
      <c r="AN97" s="95" t="str">
        <f>IFERROR(AK97*
(Assumptions!$S$7*(AG97/(AO97*Assumptions!$AB$10/100)/AI97)^3+
Assumptions!$S$8*(AG97/(AO97*Assumptions!$AB$10/100)/AI97)^2+
Assumptions!$S$9*(AG97/(AO97*Assumptions!$AB$10/100)/AI97)+
Assumptions!$S$10),"")</f>
        <v/>
      </c>
      <c r="AO97" s="95" t="str">
        <f>IFERROR(
Assumptions!$AD$8*LN(S97)^2+
Assumptions!$AE$8*LN(R97)*LN(S97)+
Assumptions!$AF$8*LN(R97)^2+
Assumptions!$AG$8*LN(S97)+
Assumptions!$AH$8*LN(R97)-
(IF(Q97=1800,
VLOOKUP(C97,Assumptions!$AA$13:$AC$17,3),
IF(Q97=3600,
VLOOKUP(C97,Assumptions!$AA$18:$AC$22,3),
""))+Assumptions!$AI$8),
"")</f>
        <v/>
      </c>
      <c r="AP97" s="96" t="str">
        <f>IFERROR(
Assumptions!$D$11*(W97/(Assumptions!$AB$9*AO97/100)+AL97)+
Assumptions!$D$10*(AB97/(Assumptions!$AB$8*AO97/100)+AM97)+
Assumptions!$D$12*(AG97/(Assumptions!$AB$10*AO97/100)+AN97),
"")</f>
        <v/>
      </c>
      <c r="AQ97" s="76" t="str">
        <f>IFERROR(
(U97+V97)*Assumptions!$D$11+
(Z97+AA97)*Assumptions!$D$10+
(AE97+AF97)*Assumptions!$D$12,
"")</f>
        <v/>
      </c>
      <c r="AR97" s="104" t="str">
        <f t="shared" si="31"/>
        <v/>
      </c>
      <c r="AS97" s="103" t="str">
        <f t="shared" si="32"/>
        <v/>
      </c>
      <c r="AT97" s="92"/>
    </row>
    <row r="98" spans="1:46" x14ac:dyDescent="0.25">
      <c r="A98" s="264"/>
      <c r="B98" s="265"/>
      <c r="C98" s="265"/>
      <c r="D98" s="265"/>
      <c r="E98" s="266"/>
      <c r="F98" s="270"/>
      <c r="G98" s="271"/>
      <c r="H98" s="271"/>
      <c r="I98" s="272"/>
      <c r="J98" s="270"/>
      <c r="K98" s="271"/>
      <c r="L98" s="272"/>
      <c r="M98" s="270"/>
      <c r="N98" s="271"/>
      <c r="O98" s="272"/>
      <c r="P98" s="97" t="str">
        <f t="shared" si="17"/>
        <v/>
      </c>
      <c r="Q98" s="84" t="str">
        <f t="shared" si="19"/>
        <v/>
      </c>
      <c r="R98" s="101" t="str">
        <f t="shared" si="20"/>
        <v/>
      </c>
      <c r="S98" s="100" t="str">
        <f t="shared" si="21"/>
        <v/>
      </c>
      <c r="T98" s="95" t="str">
        <f t="shared" si="22"/>
        <v/>
      </c>
      <c r="U98" s="95" t="str">
        <f t="shared" si="23"/>
        <v/>
      </c>
      <c r="V98" s="95" t="str">
        <f>IFERROR(AK98*
(Assumptions!$S$7*(U98/AI98)^3+
Assumptions!$S$8*(U98/AI98)^2+
Assumptions!$S$9*(U98/AI98)+
Assumptions!$S$10),"")</f>
        <v/>
      </c>
      <c r="W98" s="96" t="str">
        <f>IFERROR(S98*T98*Assumptions!$B$15/3956,"")</f>
        <v/>
      </c>
      <c r="X98" s="102" t="str">
        <f t="shared" si="24"/>
        <v/>
      </c>
      <c r="Y98" s="95" t="str">
        <f t="shared" si="25"/>
        <v/>
      </c>
      <c r="Z98" s="95" t="str">
        <f t="shared" si="26"/>
        <v/>
      </c>
      <c r="AA98" s="95" t="str">
        <f>IFERROR(AK98*
(Assumptions!$S$7*(Z98/AI98)^3+
Assumptions!$S$8*(Z98/AI98)^2+
Assumptions!$S$9*(Z98/AI98)+
Assumptions!$S$10),"")</f>
        <v/>
      </c>
      <c r="AB98" s="96" t="str">
        <f>IFERROR(X98*Y98*Assumptions!$B$15/3956,"")</f>
        <v/>
      </c>
      <c r="AC98" s="102" t="str">
        <f t="shared" si="27"/>
        <v/>
      </c>
      <c r="AD98" s="95" t="str">
        <f t="shared" si="28"/>
        <v/>
      </c>
      <c r="AE98" s="95" t="str">
        <f t="shared" si="29"/>
        <v/>
      </c>
      <c r="AF98" s="95" t="str">
        <f>IFERROR(AK98*
(Assumptions!$S$7*(AE98/AI98)^3+
Assumptions!$S$8*(AE98/AI98)^2+
Assumptions!$S$9*(AE98/AI98)+
Assumptions!$S$10),"")</f>
        <v/>
      </c>
      <c r="AG98" s="96" t="str">
        <f>IFERROR(AC98*AD98*Assumptions!$B$15/3956,"")</f>
        <v/>
      </c>
      <c r="AH98" s="94" t="str">
        <f t="shared" si="18"/>
        <v/>
      </c>
      <c r="AI98" s="93" t="str">
        <f>IFERROR(
IF(C98="VTS",
INDEX(Assumptions!$I$38:$I$57,MATCH(AH98,Assumptions!$I$38:$I$57,-1)),
INDEX(Assumptions!$I$13:$I$32,MATCH(AH98,Assumptions!$I$13:$I$32,-1))),
"")</f>
        <v/>
      </c>
      <c r="AJ98" s="96" t="str">
        <f>IFERROR(
IF(C98="VTS",
VLOOKUP(AI98,Assumptions!$I$38:$K$57,MATCH(P98,Assumptions!$I$37:$K$37,0),FALSE),
VLOOKUP(AI98,Assumptions!$I$13:$K$32,MATCH(P98,Assumptions!$I$12:$K$12,0),FALSE)),
"")</f>
        <v/>
      </c>
      <c r="AK98" s="99" t="str">
        <f t="shared" si="30"/>
        <v/>
      </c>
      <c r="AL98" s="95" t="str">
        <f>IFERROR(AK98*
(Assumptions!$S$7*(W98/(AO98*Assumptions!$AB$9/100)/AI98)^3+
Assumptions!$S$8*(W98/(AO98*Assumptions!$AB$9/100)/AI98)^2+
Assumptions!$S$9*(W98/(AO98*Assumptions!$AB$9/100)/AI98)+
Assumptions!$S$10),"")</f>
        <v/>
      </c>
      <c r="AM98" s="95" t="str">
        <f>IFERROR(AK98*
(Assumptions!$S$7*(AB98/(AO98*Assumptions!$AB$8/100)/AI98)^3+
Assumptions!$S$8*(AB98/(AO98*Assumptions!$AB$8/100)/AI98)^2+
Assumptions!$S$9*(AB98/(AO98*Assumptions!$AB$8/100)/AI98)+
Assumptions!$S$10),"")</f>
        <v/>
      </c>
      <c r="AN98" s="95" t="str">
        <f>IFERROR(AK98*
(Assumptions!$S$7*(AG98/(AO98*Assumptions!$AB$10/100)/AI98)^3+
Assumptions!$S$8*(AG98/(AO98*Assumptions!$AB$10/100)/AI98)^2+
Assumptions!$S$9*(AG98/(AO98*Assumptions!$AB$10/100)/AI98)+
Assumptions!$S$10),"")</f>
        <v/>
      </c>
      <c r="AO98" s="95" t="str">
        <f>IFERROR(
Assumptions!$AD$8*LN(S98)^2+
Assumptions!$AE$8*LN(R98)*LN(S98)+
Assumptions!$AF$8*LN(R98)^2+
Assumptions!$AG$8*LN(S98)+
Assumptions!$AH$8*LN(R98)-
(IF(Q98=1800,
VLOOKUP(C98,Assumptions!$AA$13:$AC$17,3),
IF(Q98=3600,
VLOOKUP(C98,Assumptions!$AA$18:$AC$22,3),
""))+Assumptions!$AI$8),
"")</f>
        <v/>
      </c>
      <c r="AP98" s="96" t="str">
        <f>IFERROR(
Assumptions!$D$11*(W98/(Assumptions!$AB$9*AO98/100)+AL98)+
Assumptions!$D$10*(AB98/(Assumptions!$AB$8*AO98/100)+AM98)+
Assumptions!$D$12*(AG98/(Assumptions!$AB$10*AO98/100)+AN98),
"")</f>
        <v/>
      </c>
      <c r="AQ98" s="76" t="str">
        <f>IFERROR(
(U98+V98)*Assumptions!$D$11+
(Z98+AA98)*Assumptions!$D$10+
(AE98+AF98)*Assumptions!$D$12,
"")</f>
        <v/>
      </c>
      <c r="AR98" s="104" t="str">
        <f t="shared" si="31"/>
        <v/>
      </c>
      <c r="AS98" s="103" t="str">
        <f t="shared" si="32"/>
        <v/>
      </c>
      <c r="AT98" s="92"/>
    </row>
    <row r="99" spans="1:46" x14ac:dyDescent="0.25">
      <c r="A99" s="264"/>
      <c r="B99" s="265"/>
      <c r="C99" s="265"/>
      <c r="D99" s="265"/>
      <c r="E99" s="266"/>
      <c r="F99" s="270"/>
      <c r="G99" s="271"/>
      <c r="H99" s="271"/>
      <c r="I99" s="272"/>
      <c r="J99" s="270"/>
      <c r="K99" s="271"/>
      <c r="L99" s="272"/>
      <c r="M99" s="270"/>
      <c r="N99" s="271"/>
      <c r="O99" s="272"/>
      <c r="P99" s="97" t="str">
        <f t="shared" si="17"/>
        <v/>
      </c>
      <c r="Q99" s="84" t="str">
        <f t="shared" si="19"/>
        <v/>
      </c>
      <c r="R99" s="101" t="str">
        <f t="shared" si="20"/>
        <v/>
      </c>
      <c r="S99" s="100" t="str">
        <f t="shared" si="21"/>
        <v/>
      </c>
      <c r="T99" s="95" t="str">
        <f t="shared" si="22"/>
        <v/>
      </c>
      <c r="U99" s="95" t="str">
        <f t="shared" si="23"/>
        <v/>
      </c>
      <c r="V99" s="95" t="str">
        <f>IFERROR(AK99*
(Assumptions!$S$7*(U99/AI99)^3+
Assumptions!$S$8*(U99/AI99)^2+
Assumptions!$S$9*(U99/AI99)+
Assumptions!$S$10),"")</f>
        <v/>
      </c>
      <c r="W99" s="96" t="str">
        <f>IFERROR(S99*T99*Assumptions!$B$15/3956,"")</f>
        <v/>
      </c>
      <c r="X99" s="102" t="str">
        <f t="shared" si="24"/>
        <v/>
      </c>
      <c r="Y99" s="95" t="str">
        <f t="shared" si="25"/>
        <v/>
      </c>
      <c r="Z99" s="95" t="str">
        <f t="shared" si="26"/>
        <v/>
      </c>
      <c r="AA99" s="95" t="str">
        <f>IFERROR(AK99*
(Assumptions!$S$7*(Z99/AI99)^3+
Assumptions!$S$8*(Z99/AI99)^2+
Assumptions!$S$9*(Z99/AI99)+
Assumptions!$S$10),"")</f>
        <v/>
      </c>
      <c r="AB99" s="96" t="str">
        <f>IFERROR(X99*Y99*Assumptions!$B$15/3956,"")</f>
        <v/>
      </c>
      <c r="AC99" s="102" t="str">
        <f t="shared" si="27"/>
        <v/>
      </c>
      <c r="AD99" s="95" t="str">
        <f t="shared" si="28"/>
        <v/>
      </c>
      <c r="AE99" s="95" t="str">
        <f t="shared" si="29"/>
        <v/>
      </c>
      <c r="AF99" s="95" t="str">
        <f>IFERROR(AK99*
(Assumptions!$S$7*(AE99/AI99)^3+
Assumptions!$S$8*(AE99/AI99)^2+
Assumptions!$S$9*(AE99/AI99)+
Assumptions!$S$10),"")</f>
        <v/>
      </c>
      <c r="AG99" s="96" t="str">
        <f>IFERROR(AC99*AD99*Assumptions!$B$15/3956,"")</f>
        <v/>
      </c>
      <c r="AH99" s="94" t="str">
        <f t="shared" si="18"/>
        <v/>
      </c>
      <c r="AI99" s="93" t="str">
        <f>IFERROR(
IF(C99="VTS",
INDEX(Assumptions!$I$38:$I$57,MATCH(AH99,Assumptions!$I$38:$I$57,-1)),
INDEX(Assumptions!$I$13:$I$32,MATCH(AH99,Assumptions!$I$13:$I$32,-1))),
"")</f>
        <v/>
      </c>
      <c r="AJ99" s="96" t="str">
        <f>IFERROR(
IF(C99="VTS",
VLOOKUP(AI99,Assumptions!$I$38:$K$57,MATCH(P99,Assumptions!$I$37:$K$37,0),FALSE),
VLOOKUP(AI99,Assumptions!$I$13:$K$32,MATCH(P99,Assumptions!$I$12:$K$12,0),FALSE)),
"")</f>
        <v/>
      </c>
      <c r="AK99" s="99" t="str">
        <f t="shared" si="30"/>
        <v/>
      </c>
      <c r="AL99" s="95" t="str">
        <f>IFERROR(AK99*
(Assumptions!$S$7*(W99/(AO99*Assumptions!$AB$9/100)/AI99)^3+
Assumptions!$S$8*(W99/(AO99*Assumptions!$AB$9/100)/AI99)^2+
Assumptions!$S$9*(W99/(AO99*Assumptions!$AB$9/100)/AI99)+
Assumptions!$S$10),"")</f>
        <v/>
      </c>
      <c r="AM99" s="95" t="str">
        <f>IFERROR(AK99*
(Assumptions!$S$7*(AB99/(AO99*Assumptions!$AB$8/100)/AI99)^3+
Assumptions!$S$8*(AB99/(AO99*Assumptions!$AB$8/100)/AI99)^2+
Assumptions!$S$9*(AB99/(AO99*Assumptions!$AB$8/100)/AI99)+
Assumptions!$S$10),"")</f>
        <v/>
      </c>
      <c r="AN99" s="95" t="str">
        <f>IFERROR(AK99*
(Assumptions!$S$7*(AG99/(AO99*Assumptions!$AB$10/100)/AI99)^3+
Assumptions!$S$8*(AG99/(AO99*Assumptions!$AB$10/100)/AI99)^2+
Assumptions!$S$9*(AG99/(AO99*Assumptions!$AB$10/100)/AI99)+
Assumptions!$S$10),"")</f>
        <v/>
      </c>
      <c r="AO99" s="95" t="str">
        <f>IFERROR(
Assumptions!$AD$8*LN(S99)^2+
Assumptions!$AE$8*LN(R99)*LN(S99)+
Assumptions!$AF$8*LN(R99)^2+
Assumptions!$AG$8*LN(S99)+
Assumptions!$AH$8*LN(R99)-
(IF(Q99=1800,
VLOOKUP(C99,Assumptions!$AA$13:$AC$17,3),
IF(Q99=3600,
VLOOKUP(C99,Assumptions!$AA$18:$AC$22,3),
""))+Assumptions!$AI$8),
"")</f>
        <v/>
      </c>
      <c r="AP99" s="96" t="str">
        <f>IFERROR(
Assumptions!$D$11*(W99/(Assumptions!$AB$9*AO99/100)+AL99)+
Assumptions!$D$10*(AB99/(Assumptions!$AB$8*AO99/100)+AM99)+
Assumptions!$D$12*(AG99/(Assumptions!$AB$10*AO99/100)+AN99),
"")</f>
        <v/>
      </c>
      <c r="AQ99" s="76" t="str">
        <f>IFERROR(
(U99+V99)*Assumptions!$D$11+
(Z99+AA99)*Assumptions!$D$10+
(AE99+AF99)*Assumptions!$D$12,
"")</f>
        <v/>
      </c>
      <c r="AR99" s="104" t="str">
        <f t="shared" si="31"/>
        <v/>
      </c>
      <c r="AS99" s="103" t="str">
        <f t="shared" si="32"/>
        <v/>
      </c>
      <c r="AT99" s="92"/>
    </row>
    <row r="100" spans="1:46" x14ac:dyDescent="0.25">
      <c r="A100" s="264"/>
      <c r="B100" s="265"/>
      <c r="C100" s="265"/>
      <c r="D100" s="265"/>
      <c r="E100" s="266"/>
      <c r="F100" s="270"/>
      <c r="G100" s="271"/>
      <c r="H100" s="271"/>
      <c r="I100" s="272"/>
      <c r="J100" s="270"/>
      <c r="K100" s="271"/>
      <c r="L100" s="272"/>
      <c r="M100" s="270"/>
      <c r="N100" s="271"/>
      <c r="O100" s="272"/>
      <c r="P100" s="97" t="str">
        <f t="shared" si="17"/>
        <v/>
      </c>
      <c r="Q100" s="84" t="str">
        <f t="shared" si="19"/>
        <v/>
      </c>
      <c r="R100" s="101" t="str">
        <f t="shared" si="20"/>
        <v/>
      </c>
      <c r="S100" s="100" t="str">
        <f t="shared" si="21"/>
        <v/>
      </c>
      <c r="T100" s="95" t="str">
        <f t="shared" si="22"/>
        <v/>
      </c>
      <c r="U100" s="95" t="str">
        <f t="shared" si="23"/>
        <v/>
      </c>
      <c r="V100" s="95" t="str">
        <f>IFERROR(AK100*
(Assumptions!$S$7*(U100/AI100)^3+
Assumptions!$S$8*(U100/AI100)^2+
Assumptions!$S$9*(U100/AI100)+
Assumptions!$S$10),"")</f>
        <v/>
      </c>
      <c r="W100" s="96" t="str">
        <f>IFERROR(S100*T100*Assumptions!$B$15/3956,"")</f>
        <v/>
      </c>
      <c r="X100" s="102" t="str">
        <f t="shared" si="24"/>
        <v/>
      </c>
      <c r="Y100" s="95" t="str">
        <f t="shared" si="25"/>
        <v/>
      </c>
      <c r="Z100" s="95" t="str">
        <f t="shared" si="26"/>
        <v/>
      </c>
      <c r="AA100" s="95" t="str">
        <f>IFERROR(AK100*
(Assumptions!$S$7*(Z100/AI100)^3+
Assumptions!$S$8*(Z100/AI100)^2+
Assumptions!$S$9*(Z100/AI100)+
Assumptions!$S$10),"")</f>
        <v/>
      </c>
      <c r="AB100" s="96" t="str">
        <f>IFERROR(X100*Y100*Assumptions!$B$15/3956,"")</f>
        <v/>
      </c>
      <c r="AC100" s="102" t="str">
        <f t="shared" si="27"/>
        <v/>
      </c>
      <c r="AD100" s="95" t="str">
        <f t="shared" si="28"/>
        <v/>
      </c>
      <c r="AE100" s="95" t="str">
        <f t="shared" si="29"/>
        <v/>
      </c>
      <c r="AF100" s="95" t="str">
        <f>IFERROR(AK100*
(Assumptions!$S$7*(AE100/AI100)^3+
Assumptions!$S$8*(AE100/AI100)^2+
Assumptions!$S$9*(AE100/AI100)+
Assumptions!$S$10),"")</f>
        <v/>
      </c>
      <c r="AG100" s="96" t="str">
        <f>IFERROR(AC100*AD100*Assumptions!$B$15/3956,"")</f>
        <v/>
      </c>
      <c r="AH100" s="94" t="str">
        <f t="shared" si="18"/>
        <v/>
      </c>
      <c r="AI100" s="93" t="str">
        <f>IFERROR(
IF(C100="VTS",
INDEX(Assumptions!$I$38:$I$57,MATCH(AH100,Assumptions!$I$38:$I$57,-1)),
INDEX(Assumptions!$I$13:$I$32,MATCH(AH100,Assumptions!$I$13:$I$32,-1))),
"")</f>
        <v/>
      </c>
      <c r="AJ100" s="96" t="str">
        <f>IFERROR(
IF(C100="VTS",
VLOOKUP(AI100,Assumptions!$I$38:$K$57,MATCH(P100,Assumptions!$I$37:$K$37,0),FALSE),
VLOOKUP(AI100,Assumptions!$I$13:$K$32,MATCH(P100,Assumptions!$I$12:$K$12,0),FALSE)),
"")</f>
        <v/>
      </c>
      <c r="AK100" s="99" t="str">
        <f t="shared" si="30"/>
        <v/>
      </c>
      <c r="AL100" s="95" t="str">
        <f>IFERROR(AK100*
(Assumptions!$S$7*(W100/(AO100*Assumptions!$AB$9/100)/AI100)^3+
Assumptions!$S$8*(W100/(AO100*Assumptions!$AB$9/100)/AI100)^2+
Assumptions!$S$9*(W100/(AO100*Assumptions!$AB$9/100)/AI100)+
Assumptions!$S$10),"")</f>
        <v/>
      </c>
      <c r="AM100" s="95" t="str">
        <f>IFERROR(AK100*
(Assumptions!$S$7*(AB100/(AO100*Assumptions!$AB$8/100)/AI100)^3+
Assumptions!$S$8*(AB100/(AO100*Assumptions!$AB$8/100)/AI100)^2+
Assumptions!$S$9*(AB100/(AO100*Assumptions!$AB$8/100)/AI100)+
Assumptions!$S$10),"")</f>
        <v/>
      </c>
      <c r="AN100" s="95" t="str">
        <f>IFERROR(AK100*
(Assumptions!$S$7*(AG100/(AO100*Assumptions!$AB$10/100)/AI100)^3+
Assumptions!$S$8*(AG100/(AO100*Assumptions!$AB$10/100)/AI100)^2+
Assumptions!$S$9*(AG100/(AO100*Assumptions!$AB$10/100)/AI100)+
Assumptions!$S$10),"")</f>
        <v/>
      </c>
      <c r="AO100" s="95" t="str">
        <f>IFERROR(
Assumptions!$AD$8*LN(S100)^2+
Assumptions!$AE$8*LN(R100)*LN(S100)+
Assumptions!$AF$8*LN(R100)^2+
Assumptions!$AG$8*LN(S100)+
Assumptions!$AH$8*LN(R100)-
(IF(Q100=1800,
VLOOKUP(C100,Assumptions!$AA$13:$AC$17,3),
IF(Q100=3600,
VLOOKUP(C100,Assumptions!$AA$18:$AC$22,3),
""))+Assumptions!$AI$8),
"")</f>
        <v/>
      </c>
      <c r="AP100" s="96" t="str">
        <f>IFERROR(
Assumptions!$D$11*(W100/(Assumptions!$AB$9*AO100/100)+AL100)+
Assumptions!$D$10*(AB100/(Assumptions!$AB$8*AO100/100)+AM100)+
Assumptions!$D$12*(AG100/(Assumptions!$AB$10*AO100/100)+AN100),
"")</f>
        <v/>
      </c>
      <c r="AQ100" s="76" t="str">
        <f>IFERROR(
(U100+V100)*Assumptions!$D$11+
(Z100+AA100)*Assumptions!$D$10+
(AE100+AF100)*Assumptions!$D$12,
"")</f>
        <v/>
      </c>
      <c r="AR100" s="104" t="str">
        <f t="shared" si="31"/>
        <v/>
      </c>
      <c r="AS100" s="103" t="str">
        <f t="shared" si="32"/>
        <v/>
      </c>
      <c r="AT100" s="92"/>
    </row>
    <row r="101" spans="1:46" x14ac:dyDescent="0.25">
      <c r="A101" s="264"/>
      <c r="B101" s="265"/>
      <c r="C101" s="265"/>
      <c r="D101" s="265"/>
      <c r="E101" s="266"/>
      <c r="F101" s="270"/>
      <c r="G101" s="271"/>
      <c r="H101" s="271"/>
      <c r="I101" s="272"/>
      <c r="J101" s="270"/>
      <c r="K101" s="271"/>
      <c r="L101" s="272"/>
      <c r="M101" s="270"/>
      <c r="N101" s="271"/>
      <c r="O101" s="272"/>
      <c r="P101" s="97" t="str">
        <f t="shared" si="17"/>
        <v/>
      </c>
      <c r="Q101" s="84" t="str">
        <f t="shared" si="19"/>
        <v/>
      </c>
      <c r="R101" s="101" t="str">
        <f t="shared" si="20"/>
        <v/>
      </c>
      <c r="S101" s="100" t="str">
        <f t="shared" si="21"/>
        <v/>
      </c>
      <c r="T101" s="95" t="str">
        <f t="shared" si="22"/>
        <v/>
      </c>
      <c r="U101" s="95" t="str">
        <f t="shared" si="23"/>
        <v/>
      </c>
      <c r="V101" s="95" t="str">
        <f>IFERROR(AK101*
(Assumptions!$S$7*(U101/AI101)^3+
Assumptions!$S$8*(U101/AI101)^2+
Assumptions!$S$9*(U101/AI101)+
Assumptions!$S$10),"")</f>
        <v/>
      </c>
      <c r="W101" s="96" t="str">
        <f>IFERROR(S101*T101*Assumptions!$B$15/3956,"")</f>
        <v/>
      </c>
      <c r="X101" s="102" t="str">
        <f t="shared" si="24"/>
        <v/>
      </c>
      <c r="Y101" s="95" t="str">
        <f t="shared" si="25"/>
        <v/>
      </c>
      <c r="Z101" s="95" t="str">
        <f t="shared" si="26"/>
        <v/>
      </c>
      <c r="AA101" s="95" t="str">
        <f>IFERROR(AK101*
(Assumptions!$S$7*(Z101/AI101)^3+
Assumptions!$S$8*(Z101/AI101)^2+
Assumptions!$S$9*(Z101/AI101)+
Assumptions!$S$10),"")</f>
        <v/>
      </c>
      <c r="AB101" s="96" t="str">
        <f>IFERROR(X101*Y101*Assumptions!$B$15/3956,"")</f>
        <v/>
      </c>
      <c r="AC101" s="102" t="str">
        <f t="shared" si="27"/>
        <v/>
      </c>
      <c r="AD101" s="95" t="str">
        <f t="shared" si="28"/>
        <v/>
      </c>
      <c r="AE101" s="95" t="str">
        <f t="shared" si="29"/>
        <v/>
      </c>
      <c r="AF101" s="95" t="str">
        <f>IFERROR(AK101*
(Assumptions!$S$7*(AE101/AI101)^3+
Assumptions!$S$8*(AE101/AI101)^2+
Assumptions!$S$9*(AE101/AI101)+
Assumptions!$S$10),"")</f>
        <v/>
      </c>
      <c r="AG101" s="96" t="str">
        <f>IFERROR(AC101*AD101*Assumptions!$B$15/3956,"")</f>
        <v/>
      </c>
      <c r="AH101" s="94" t="str">
        <f t="shared" si="18"/>
        <v/>
      </c>
      <c r="AI101" s="93" t="str">
        <f>IFERROR(
IF(C101="VTS",
INDEX(Assumptions!$I$38:$I$57,MATCH(AH101,Assumptions!$I$38:$I$57,-1)),
INDEX(Assumptions!$I$13:$I$32,MATCH(AH101,Assumptions!$I$13:$I$32,-1))),
"")</f>
        <v/>
      </c>
      <c r="AJ101" s="96" t="str">
        <f>IFERROR(
IF(C101="VTS",
VLOOKUP(AI101,Assumptions!$I$38:$K$57,MATCH(P101,Assumptions!$I$37:$K$37,0),FALSE),
VLOOKUP(AI101,Assumptions!$I$13:$K$32,MATCH(P101,Assumptions!$I$12:$K$12,0),FALSE)),
"")</f>
        <v/>
      </c>
      <c r="AK101" s="99" t="str">
        <f t="shared" si="30"/>
        <v/>
      </c>
      <c r="AL101" s="95" t="str">
        <f>IFERROR(AK101*
(Assumptions!$S$7*(W101/(AO101*Assumptions!$AB$9/100)/AI101)^3+
Assumptions!$S$8*(W101/(AO101*Assumptions!$AB$9/100)/AI101)^2+
Assumptions!$S$9*(W101/(AO101*Assumptions!$AB$9/100)/AI101)+
Assumptions!$S$10),"")</f>
        <v/>
      </c>
      <c r="AM101" s="95" t="str">
        <f>IFERROR(AK101*
(Assumptions!$S$7*(AB101/(AO101*Assumptions!$AB$8/100)/AI101)^3+
Assumptions!$S$8*(AB101/(AO101*Assumptions!$AB$8/100)/AI101)^2+
Assumptions!$S$9*(AB101/(AO101*Assumptions!$AB$8/100)/AI101)+
Assumptions!$S$10),"")</f>
        <v/>
      </c>
      <c r="AN101" s="95" t="str">
        <f>IFERROR(AK101*
(Assumptions!$S$7*(AG101/(AO101*Assumptions!$AB$10/100)/AI101)^3+
Assumptions!$S$8*(AG101/(AO101*Assumptions!$AB$10/100)/AI101)^2+
Assumptions!$S$9*(AG101/(AO101*Assumptions!$AB$10/100)/AI101)+
Assumptions!$S$10),"")</f>
        <v/>
      </c>
      <c r="AO101" s="95" t="str">
        <f>IFERROR(
Assumptions!$AD$8*LN(S101)^2+
Assumptions!$AE$8*LN(R101)*LN(S101)+
Assumptions!$AF$8*LN(R101)^2+
Assumptions!$AG$8*LN(S101)+
Assumptions!$AH$8*LN(R101)-
(IF(Q101=1800,
VLOOKUP(C101,Assumptions!$AA$13:$AC$17,3),
IF(Q101=3600,
VLOOKUP(C101,Assumptions!$AA$18:$AC$22,3),
""))+Assumptions!$AI$8),
"")</f>
        <v/>
      </c>
      <c r="AP101" s="96" t="str">
        <f>IFERROR(
Assumptions!$D$11*(W101/(Assumptions!$AB$9*AO101/100)+AL101)+
Assumptions!$D$10*(AB101/(Assumptions!$AB$8*AO101/100)+AM101)+
Assumptions!$D$12*(AG101/(Assumptions!$AB$10*AO101/100)+AN101),
"")</f>
        <v/>
      </c>
      <c r="AQ101" s="76" t="str">
        <f>IFERROR(
(U101+V101)*Assumptions!$D$11+
(Z101+AA101)*Assumptions!$D$10+
(AE101+AF101)*Assumptions!$D$12,
"")</f>
        <v/>
      </c>
      <c r="AR101" s="104" t="str">
        <f t="shared" si="31"/>
        <v/>
      </c>
      <c r="AS101" s="103" t="str">
        <f t="shared" si="32"/>
        <v/>
      </c>
      <c r="AT101" s="92"/>
    </row>
    <row r="102" spans="1:46" x14ac:dyDescent="0.25">
      <c r="A102" s="264"/>
      <c r="B102" s="265"/>
      <c r="C102" s="265"/>
      <c r="D102" s="265"/>
      <c r="E102" s="266"/>
      <c r="F102" s="270"/>
      <c r="G102" s="271"/>
      <c r="H102" s="271"/>
      <c r="I102" s="272"/>
      <c r="J102" s="270"/>
      <c r="K102" s="271"/>
      <c r="L102" s="272"/>
      <c r="M102" s="270"/>
      <c r="N102" s="271"/>
      <c r="O102" s="272"/>
      <c r="P102" s="97" t="str">
        <f t="shared" si="17"/>
        <v/>
      </c>
      <c r="Q102" s="84" t="str">
        <f t="shared" si="19"/>
        <v/>
      </c>
      <c r="R102" s="101" t="str">
        <f t="shared" si="20"/>
        <v/>
      </c>
      <c r="S102" s="100" t="str">
        <f t="shared" si="21"/>
        <v/>
      </c>
      <c r="T102" s="95" t="str">
        <f t="shared" si="22"/>
        <v/>
      </c>
      <c r="U102" s="95" t="str">
        <f t="shared" si="23"/>
        <v/>
      </c>
      <c r="V102" s="95" t="str">
        <f>IFERROR(AK102*
(Assumptions!$S$7*(U102/AI102)^3+
Assumptions!$S$8*(U102/AI102)^2+
Assumptions!$S$9*(U102/AI102)+
Assumptions!$S$10),"")</f>
        <v/>
      </c>
      <c r="W102" s="96" t="str">
        <f>IFERROR(S102*T102*Assumptions!$B$15/3956,"")</f>
        <v/>
      </c>
      <c r="X102" s="102" t="str">
        <f t="shared" si="24"/>
        <v/>
      </c>
      <c r="Y102" s="95" t="str">
        <f t="shared" si="25"/>
        <v/>
      </c>
      <c r="Z102" s="95" t="str">
        <f t="shared" si="26"/>
        <v/>
      </c>
      <c r="AA102" s="95" t="str">
        <f>IFERROR(AK102*
(Assumptions!$S$7*(Z102/AI102)^3+
Assumptions!$S$8*(Z102/AI102)^2+
Assumptions!$S$9*(Z102/AI102)+
Assumptions!$S$10),"")</f>
        <v/>
      </c>
      <c r="AB102" s="96" t="str">
        <f>IFERROR(X102*Y102*Assumptions!$B$15/3956,"")</f>
        <v/>
      </c>
      <c r="AC102" s="102" t="str">
        <f t="shared" si="27"/>
        <v/>
      </c>
      <c r="AD102" s="95" t="str">
        <f t="shared" si="28"/>
        <v/>
      </c>
      <c r="AE102" s="95" t="str">
        <f t="shared" si="29"/>
        <v/>
      </c>
      <c r="AF102" s="95" t="str">
        <f>IFERROR(AK102*
(Assumptions!$S$7*(AE102/AI102)^3+
Assumptions!$S$8*(AE102/AI102)^2+
Assumptions!$S$9*(AE102/AI102)+
Assumptions!$S$10),"")</f>
        <v/>
      </c>
      <c r="AG102" s="96" t="str">
        <f>IFERROR(AC102*AD102*Assumptions!$B$15/3956,"")</f>
        <v/>
      </c>
      <c r="AH102" s="94" t="str">
        <f t="shared" si="18"/>
        <v/>
      </c>
      <c r="AI102" s="93" t="str">
        <f>IFERROR(
IF(C102="VTS",
INDEX(Assumptions!$I$38:$I$57,MATCH(AH102,Assumptions!$I$38:$I$57,-1)),
INDEX(Assumptions!$I$13:$I$32,MATCH(AH102,Assumptions!$I$13:$I$32,-1))),
"")</f>
        <v/>
      </c>
      <c r="AJ102" s="96" t="str">
        <f>IFERROR(
IF(C102="VTS",
VLOOKUP(AI102,Assumptions!$I$38:$K$57,MATCH(P102,Assumptions!$I$37:$K$37,0),FALSE),
VLOOKUP(AI102,Assumptions!$I$13:$K$32,MATCH(P102,Assumptions!$I$12:$K$12,0),FALSE)),
"")</f>
        <v/>
      </c>
      <c r="AK102" s="99" t="str">
        <f t="shared" si="30"/>
        <v/>
      </c>
      <c r="AL102" s="95" t="str">
        <f>IFERROR(AK102*
(Assumptions!$S$7*(W102/(AO102*Assumptions!$AB$9/100)/AI102)^3+
Assumptions!$S$8*(W102/(AO102*Assumptions!$AB$9/100)/AI102)^2+
Assumptions!$S$9*(W102/(AO102*Assumptions!$AB$9/100)/AI102)+
Assumptions!$S$10),"")</f>
        <v/>
      </c>
      <c r="AM102" s="95" t="str">
        <f>IFERROR(AK102*
(Assumptions!$S$7*(AB102/(AO102*Assumptions!$AB$8/100)/AI102)^3+
Assumptions!$S$8*(AB102/(AO102*Assumptions!$AB$8/100)/AI102)^2+
Assumptions!$S$9*(AB102/(AO102*Assumptions!$AB$8/100)/AI102)+
Assumptions!$S$10),"")</f>
        <v/>
      </c>
      <c r="AN102" s="95" t="str">
        <f>IFERROR(AK102*
(Assumptions!$S$7*(AG102/(AO102*Assumptions!$AB$10/100)/AI102)^3+
Assumptions!$S$8*(AG102/(AO102*Assumptions!$AB$10/100)/AI102)^2+
Assumptions!$S$9*(AG102/(AO102*Assumptions!$AB$10/100)/AI102)+
Assumptions!$S$10),"")</f>
        <v/>
      </c>
      <c r="AO102" s="95" t="str">
        <f>IFERROR(
Assumptions!$AD$8*LN(S102)^2+
Assumptions!$AE$8*LN(R102)*LN(S102)+
Assumptions!$AF$8*LN(R102)^2+
Assumptions!$AG$8*LN(S102)+
Assumptions!$AH$8*LN(R102)-
(IF(Q102=1800,
VLOOKUP(C102,Assumptions!$AA$13:$AC$17,3),
IF(Q102=3600,
VLOOKUP(C102,Assumptions!$AA$18:$AC$22,3),
""))+Assumptions!$AI$8),
"")</f>
        <v/>
      </c>
      <c r="AP102" s="96" t="str">
        <f>IFERROR(
Assumptions!$D$11*(W102/(Assumptions!$AB$9*AO102/100)+AL102)+
Assumptions!$D$10*(AB102/(Assumptions!$AB$8*AO102/100)+AM102)+
Assumptions!$D$12*(AG102/(Assumptions!$AB$10*AO102/100)+AN102),
"")</f>
        <v/>
      </c>
      <c r="AQ102" s="76" t="str">
        <f>IFERROR(
(U102+V102)*Assumptions!$D$11+
(Z102+AA102)*Assumptions!$D$10+
(AE102+AF102)*Assumptions!$D$12,
"")</f>
        <v/>
      </c>
      <c r="AR102" s="104" t="str">
        <f t="shared" si="31"/>
        <v/>
      </c>
      <c r="AS102" s="103" t="str">
        <f t="shared" si="32"/>
        <v/>
      </c>
      <c r="AT102" s="92"/>
    </row>
    <row r="103" spans="1:46" x14ac:dyDescent="0.25">
      <c r="A103" s="264"/>
      <c r="B103" s="265"/>
      <c r="C103" s="265"/>
      <c r="D103" s="265"/>
      <c r="E103" s="266"/>
      <c r="F103" s="270"/>
      <c r="G103" s="271"/>
      <c r="H103" s="271"/>
      <c r="I103" s="272"/>
      <c r="J103" s="270"/>
      <c r="K103" s="271"/>
      <c r="L103" s="272"/>
      <c r="M103" s="270"/>
      <c r="N103" s="271"/>
      <c r="O103" s="272"/>
      <c r="P103" s="97" t="str">
        <f t="shared" si="17"/>
        <v/>
      </c>
      <c r="Q103" s="84" t="str">
        <f t="shared" si="19"/>
        <v/>
      </c>
      <c r="R103" s="101" t="str">
        <f t="shared" si="20"/>
        <v/>
      </c>
      <c r="S103" s="100" t="str">
        <f t="shared" si="21"/>
        <v/>
      </c>
      <c r="T103" s="95" t="str">
        <f t="shared" si="22"/>
        <v/>
      </c>
      <c r="U103" s="95" t="str">
        <f t="shared" si="23"/>
        <v/>
      </c>
      <c r="V103" s="95" t="str">
        <f>IFERROR(AK103*
(Assumptions!$S$7*(U103/AI103)^3+
Assumptions!$S$8*(U103/AI103)^2+
Assumptions!$S$9*(U103/AI103)+
Assumptions!$S$10),"")</f>
        <v/>
      </c>
      <c r="W103" s="96" t="str">
        <f>IFERROR(S103*T103*Assumptions!$B$15/3956,"")</f>
        <v/>
      </c>
      <c r="X103" s="102" t="str">
        <f t="shared" si="24"/>
        <v/>
      </c>
      <c r="Y103" s="95" t="str">
        <f t="shared" si="25"/>
        <v/>
      </c>
      <c r="Z103" s="95" t="str">
        <f t="shared" si="26"/>
        <v/>
      </c>
      <c r="AA103" s="95" t="str">
        <f>IFERROR(AK103*
(Assumptions!$S$7*(Z103/AI103)^3+
Assumptions!$S$8*(Z103/AI103)^2+
Assumptions!$S$9*(Z103/AI103)+
Assumptions!$S$10),"")</f>
        <v/>
      </c>
      <c r="AB103" s="96" t="str">
        <f>IFERROR(X103*Y103*Assumptions!$B$15/3956,"")</f>
        <v/>
      </c>
      <c r="AC103" s="102" t="str">
        <f t="shared" si="27"/>
        <v/>
      </c>
      <c r="AD103" s="95" t="str">
        <f t="shared" si="28"/>
        <v/>
      </c>
      <c r="AE103" s="95" t="str">
        <f t="shared" si="29"/>
        <v/>
      </c>
      <c r="AF103" s="95" t="str">
        <f>IFERROR(AK103*
(Assumptions!$S$7*(AE103/AI103)^3+
Assumptions!$S$8*(AE103/AI103)^2+
Assumptions!$S$9*(AE103/AI103)+
Assumptions!$S$10),"")</f>
        <v/>
      </c>
      <c r="AG103" s="96" t="str">
        <f>IFERROR(AC103*AD103*Assumptions!$B$15/3956,"")</f>
        <v/>
      </c>
      <c r="AH103" s="94" t="str">
        <f t="shared" si="18"/>
        <v/>
      </c>
      <c r="AI103" s="93" t="str">
        <f>IFERROR(
IF(C103="VTS",
INDEX(Assumptions!$I$38:$I$57,MATCH(AH103,Assumptions!$I$38:$I$57,-1)),
INDEX(Assumptions!$I$13:$I$32,MATCH(AH103,Assumptions!$I$13:$I$32,-1))),
"")</f>
        <v/>
      </c>
      <c r="AJ103" s="96" t="str">
        <f>IFERROR(
IF(C103="VTS",
VLOOKUP(AI103,Assumptions!$I$38:$K$57,MATCH(P103,Assumptions!$I$37:$K$37,0),FALSE),
VLOOKUP(AI103,Assumptions!$I$13:$K$32,MATCH(P103,Assumptions!$I$12:$K$12,0),FALSE)),
"")</f>
        <v/>
      </c>
      <c r="AK103" s="99" t="str">
        <f t="shared" si="30"/>
        <v/>
      </c>
      <c r="AL103" s="95" t="str">
        <f>IFERROR(AK103*
(Assumptions!$S$7*(W103/(AO103*Assumptions!$AB$9/100)/AI103)^3+
Assumptions!$S$8*(W103/(AO103*Assumptions!$AB$9/100)/AI103)^2+
Assumptions!$S$9*(W103/(AO103*Assumptions!$AB$9/100)/AI103)+
Assumptions!$S$10),"")</f>
        <v/>
      </c>
      <c r="AM103" s="95" t="str">
        <f>IFERROR(AK103*
(Assumptions!$S$7*(AB103/(AO103*Assumptions!$AB$8/100)/AI103)^3+
Assumptions!$S$8*(AB103/(AO103*Assumptions!$AB$8/100)/AI103)^2+
Assumptions!$S$9*(AB103/(AO103*Assumptions!$AB$8/100)/AI103)+
Assumptions!$S$10),"")</f>
        <v/>
      </c>
      <c r="AN103" s="95" t="str">
        <f>IFERROR(AK103*
(Assumptions!$S$7*(AG103/(AO103*Assumptions!$AB$10/100)/AI103)^3+
Assumptions!$S$8*(AG103/(AO103*Assumptions!$AB$10/100)/AI103)^2+
Assumptions!$S$9*(AG103/(AO103*Assumptions!$AB$10/100)/AI103)+
Assumptions!$S$10),"")</f>
        <v/>
      </c>
      <c r="AO103" s="95" t="str">
        <f>IFERROR(
Assumptions!$AD$8*LN(S103)^2+
Assumptions!$AE$8*LN(R103)*LN(S103)+
Assumptions!$AF$8*LN(R103)^2+
Assumptions!$AG$8*LN(S103)+
Assumptions!$AH$8*LN(R103)-
(IF(Q103=1800,
VLOOKUP(C103,Assumptions!$AA$13:$AC$17,3),
IF(Q103=3600,
VLOOKUP(C103,Assumptions!$AA$18:$AC$22,3),
""))+Assumptions!$AI$8),
"")</f>
        <v/>
      </c>
      <c r="AP103" s="96" t="str">
        <f>IFERROR(
Assumptions!$D$11*(W103/(Assumptions!$AB$9*AO103/100)+AL103)+
Assumptions!$D$10*(AB103/(Assumptions!$AB$8*AO103/100)+AM103)+
Assumptions!$D$12*(AG103/(Assumptions!$AB$10*AO103/100)+AN103),
"")</f>
        <v/>
      </c>
      <c r="AQ103" s="76" t="str">
        <f>IFERROR(
(U103+V103)*Assumptions!$D$11+
(Z103+AA103)*Assumptions!$D$10+
(AE103+AF103)*Assumptions!$D$12,
"")</f>
        <v/>
      </c>
      <c r="AR103" s="104" t="str">
        <f t="shared" si="31"/>
        <v/>
      </c>
      <c r="AS103" s="103" t="str">
        <f t="shared" si="32"/>
        <v/>
      </c>
      <c r="AT103" s="92"/>
    </row>
    <row r="104" spans="1:46" x14ac:dyDescent="0.25">
      <c r="A104" s="264"/>
      <c r="B104" s="265"/>
      <c r="C104" s="265"/>
      <c r="D104" s="265"/>
      <c r="E104" s="266"/>
      <c r="F104" s="270"/>
      <c r="G104" s="271"/>
      <c r="H104" s="271"/>
      <c r="I104" s="272"/>
      <c r="J104" s="270"/>
      <c r="K104" s="271"/>
      <c r="L104" s="272"/>
      <c r="M104" s="270"/>
      <c r="N104" s="271"/>
      <c r="O104" s="272"/>
      <c r="P104" s="97" t="str">
        <f t="shared" si="17"/>
        <v/>
      </c>
      <c r="Q104" s="84" t="str">
        <f t="shared" si="19"/>
        <v/>
      </c>
      <c r="R104" s="101" t="str">
        <f t="shared" si="20"/>
        <v/>
      </c>
      <c r="S104" s="100" t="str">
        <f t="shared" si="21"/>
        <v/>
      </c>
      <c r="T104" s="95" t="str">
        <f t="shared" si="22"/>
        <v/>
      </c>
      <c r="U104" s="95" t="str">
        <f t="shared" si="23"/>
        <v/>
      </c>
      <c r="V104" s="95" t="str">
        <f>IFERROR(AK104*
(Assumptions!$S$7*(U104/AI104)^3+
Assumptions!$S$8*(U104/AI104)^2+
Assumptions!$S$9*(U104/AI104)+
Assumptions!$S$10),"")</f>
        <v/>
      </c>
      <c r="W104" s="96" t="str">
        <f>IFERROR(S104*T104*Assumptions!$B$15/3956,"")</f>
        <v/>
      </c>
      <c r="X104" s="102" t="str">
        <f t="shared" si="24"/>
        <v/>
      </c>
      <c r="Y104" s="95" t="str">
        <f t="shared" si="25"/>
        <v/>
      </c>
      <c r="Z104" s="95" t="str">
        <f t="shared" si="26"/>
        <v/>
      </c>
      <c r="AA104" s="95" t="str">
        <f>IFERROR(AK104*
(Assumptions!$S$7*(Z104/AI104)^3+
Assumptions!$S$8*(Z104/AI104)^2+
Assumptions!$S$9*(Z104/AI104)+
Assumptions!$S$10),"")</f>
        <v/>
      </c>
      <c r="AB104" s="96" t="str">
        <f>IFERROR(X104*Y104*Assumptions!$B$15/3956,"")</f>
        <v/>
      </c>
      <c r="AC104" s="102" t="str">
        <f t="shared" si="27"/>
        <v/>
      </c>
      <c r="AD104" s="95" t="str">
        <f t="shared" si="28"/>
        <v/>
      </c>
      <c r="AE104" s="95" t="str">
        <f t="shared" si="29"/>
        <v/>
      </c>
      <c r="AF104" s="95" t="str">
        <f>IFERROR(AK104*
(Assumptions!$S$7*(AE104/AI104)^3+
Assumptions!$S$8*(AE104/AI104)^2+
Assumptions!$S$9*(AE104/AI104)+
Assumptions!$S$10),"")</f>
        <v/>
      </c>
      <c r="AG104" s="96" t="str">
        <f>IFERROR(AC104*AD104*Assumptions!$B$15/3956,"")</f>
        <v/>
      </c>
      <c r="AH104" s="94" t="str">
        <f t="shared" si="18"/>
        <v/>
      </c>
      <c r="AI104" s="93" t="str">
        <f>IFERROR(
IF(C104="VTS",
INDEX(Assumptions!$I$38:$I$57,MATCH(AH104,Assumptions!$I$38:$I$57,-1)),
INDEX(Assumptions!$I$13:$I$32,MATCH(AH104,Assumptions!$I$13:$I$32,-1))),
"")</f>
        <v/>
      </c>
      <c r="AJ104" s="96" t="str">
        <f>IFERROR(
IF(C104="VTS",
VLOOKUP(AI104,Assumptions!$I$38:$K$57,MATCH(P104,Assumptions!$I$37:$K$37,0),FALSE),
VLOOKUP(AI104,Assumptions!$I$13:$K$32,MATCH(P104,Assumptions!$I$12:$K$12,0),FALSE)),
"")</f>
        <v/>
      </c>
      <c r="AK104" s="99" t="str">
        <f t="shared" si="30"/>
        <v/>
      </c>
      <c r="AL104" s="95" t="str">
        <f>IFERROR(AK104*
(Assumptions!$S$7*(W104/(AO104*Assumptions!$AB$9/100)/AI104)^3+
Assumptions!$S$8*(W104/(AO104*Assumptions!$AB$9/100)/AI104)^2+
Assumptions!$S$9*(W104/(AO104*Assumptions!$AB$9/100)/AI104)+
Assumptions!$S$10),"")</f>
        <v/>
      </c>
      <c r="AM104" s="95" t="str">
        <f>IFERROR(AK104*
(Assumptions!$S$7*(AB104/(AO104*Assumptions!$AB$8/100)/AI104)^3+
Assumptions!$S$8*(AB104/(AO104*Assumptions!$AB$8/100)/AI104)^2+
Assumptions!$S$9*(AB104/(AO104*Assumptions!$AB$8/100)/AI104)+
Assumptions!$S$10),"")</f>
        <v/>
      </c>
      <c r="AN104" s="95" t="str">
        <f>IFERROR(AK104*
(Assumptions!$S$7*(AG104/(AO104*Assumptions!$AB$10/100)/AI104)^3+
Assumptions!$S$8*(AG104/(AO104*Assumptions!$AB$10/100)/AI104)^2+
Assumptions!$S$9*(AG104/(AO104*Assumptions!$AB$10/100)/AI104)+
Assumptions!$S$10),"")</f>
        <v/>
      </c>
      <c r="AO104" s="95" t="str">
        <f>IFERROR(
Assumptions!$AD$8*LN(S104)^2+
Assumptions!$AE$8*LN(R104)*LN(S104)+
Assumptions!$AF$8*LN(R104)^2+
Assumptions!$AG$8*LN(S104)+
Assumptions!$AH$8*LN(R104)-
(IF(Q104=1800,
VLOOKUP(C104,Assumptions!$AA$13:$AC$17,3),
IF(Q104=3600,
VLOOKUP(C104,Assumptions!$AA$18:$AC$22,3),
""))+Assumptions!$AI$8),
"")</f>
        <v/>
      </c>
      <c r="AP104" s="96" t="str">
        <f>IFERROR(
Assumptions!$D$11*(W104/(Assumptions!$AB$9*AO104/100)+AL104)+
Assumptions!$D$10*(AB104/(Assumptions!$AB$8*AO104/100)+AM104)+
Assumptions!$D$12*(AG104/(Assumptions!$AB$10*AO104/100)+AN104),
"")</f>
        <v/>
      </c>
      <c r="AQ104" s="76" t="str">
        <f>IFERROR(
(U104+V104)*Assumptions!$D$11+
(Z104+AA104)*Assumptions!$D$10+
(AE104+AF104)*Assumptions!$D$12,
"")</f>
        <v/>
      </c>
      <c r="AR104" s="104" t="str">
        <f t="shared" si="31"/>
        <v/>
      </c>
      <c r="AS104" s="103" t="str">
        <f t="shared" si="32"/>
        <v/>
      </c>
      <c r="AT104" s="92"/>
    </row>
    <row r="105" spans="1:46" x14ac:dyDescent="0.25">
      <c r="A105" s="264"/>
      <c r="B105" s="265"/>
      <c r="C105" s="265"/>
      <c r="D105" s="265"/>
      <c r="E105" s="266"/>
      <c r="F105" s="270"/>
      <c r="G105" s="271"/>
      <c r="H105" s="271"/>
      <c r="I105" s="272"/>
      <c r="J105" s="270"/>
      <c r="K105" s="271"/>
      <c r="L105" s="272"/>
      <c r="M105" s="270"/>
      <c r="N105" s="271"/>
      <c r="O105" s="272"/>
      <c r="P105" s="97" t="str">
        <f t="shared" si="17"/>
        <v/>
      </c>
      <c r="Q105" s="84" t="str">
        <f t="shared" si="19"/>
        <v/>
      </c>
      <c r="R105" s="101" t="str">
        <f t="shared" si="20"/>
        <v/>
      </c>
      <c r="S105" s="100" t="str">
        <f t="shared" si="21"/>
        <v/>
      </c>
      <c r="T105" s="95" t="str">
        <f t="shared" si="22"/>
        <v/>
      </c>
      <c r="U105" s="95" t="str">
        <f t="shared" si="23"/>
        <v/>
      </c>
      <c r="V105" s="95" t="str">
        <f>IFERROR(AK105*
(Assumptions!$S$7*(U105/AI105)^3+
Assumptions!$S$8*(U105/AI105)^2+
Assumptions!$S$9*(U105/AI105)+
Assumptions!$S$10),"")</f>
        <v/>
      </c>
      <c r="W105" s="96" t="str">
        <f>IFERROR(S105*T105*Assumptions!$B$15/3956,"")</f>
        <v/>
      </c>
      <c r="X105" s="102" t="str">
        <f t="shared" si="24"/>
        <v/>
      </c>
      <c r="Y105" s="95" t="str">
        <f t="shared" si="25"/>
        <v/>
      </c>
      <c r="Z105" s="95" t="str">
        <f t="shared" si="26"/>
        <v/>
      </c>
      <c r="AA105" s="95" t="str">
        <f>IFERROR(AK105*
(Assumptions!$S$7*(Z105/AI105)^3+
Assumptions!$S$8*(Z105/AI105)^2+
Assumptions!$S$9*(Z105/AI105)+
Assumptions!$S$10),"")</f>
        <v/>
      </c>
      <c r="AB105" s="96" t="str">
        <f>IFERROR(X105*Y105*Assumptions!$B$15/3956,"")</f>
        <v/>
      </c>
      <c r="AC105" s="102" t="str">
        <f t="shared" si="27"/>
        <v/>
      </c>
      <c r="AD105" s="95" t="str">
        <f t="shared" si="28"/>
        <v/>
      </c>
      <c r="AE105" s="95" t="str">
        <f t="shared" si="29"/>
        <v/>
      </c>
      <c r="AF105" s="95" t="str">
        <f>IFERROR(AK105*
(Assumptions!$S$7*(AE105/AI105)^3+
Assumptions!$S$8*(AE105/AI105)^2+
Assumptions!$S$9*(AE105/AI105)+
Assumptions!$S$10),"")</f>
        <v/>
      </c>
      <c r="AG105" s="96" t="str">
        <f>IFERROR(AC105*AD105*Assumptions!$B$15/3956,"")</f>
        <v/>
      </c>
      <c r="AH105" s="94" t="str">
        <f t="shared" si="18"/>
        <v/>
      </c>
      <c r="AI105" s="93" t="str">
        <f>IFERROR(
IF(C105="VTS",
INDEX(Assumptions!$I$38:$I$57,MATCH(AH105,Assumptions!$I$38:$I$57,-1)),
INDEX(Assumptions!$I$13:$I$32,MATCH(AH105,Assumptions!$I$13:$I$32,-1))),
"")</f>
        <v/>
      </c>
      <c r="AJ105" s="96" t="str">
        <f>IFERROR(
IF(C105="VTS",
VLOOKUP(AI105,Assumptions!$I$38:$K$57,MATCH(P105,Assumptions!$I$37:$K$37,0),FALSE),
VLOOKUP(AI105,Assumptions!$I$13:$K$32,MATCH(P105,Assumptions!$I$12:$K$12,0),FALSE)),
"")</f>
        <v/>
      </c>
      <c r="AK105" s="99" t="str">
        <f t="shared" si="30"/>
        <v/>
      </c>
      <c r="AL105" s="95" t="str">
        <f>IFERROR(AK105*
(Assumptions!$S$7*(W105/(AO105*Assumptions!$AB$9/100)/AI105)^3+
Assumptions!$S$8*(W105/(AO105*Assumptions!$AB$9/100)/AI105)^2+
Assumptions!$S$9*(W105/(AO105*Assumptions!$AB$9/100)/AI105)+
Assumptions!$S$10),"")</f>
        <v/>
      </c>
      <c r="AM105" s="95" t="str">
        <f>IFERROR(AK105*
(Assumptions!$S$7*(AB105/(AO105*Assumptions!$AB$8/100)/AI105)^3+
Assumptions!$S$8*(AB105/(AO105*Assumptions!$AB$8/100)/AI105)^2+
Assumptions!$S$9*(AB105/(AO105*Assumptions!$AB$8/100)/AI105)+
Assumptions!$S$10),"")</f>
        <v/>
      </c>
      <c r="AN105" s="95" t="str">
        <f>IFERROR(AK105*
(Assumptions!$S$7*(AG105/(AO105*Assumptions!$AB$10/100)/AI105)^3+
Assumptions!$S$8*(AG105/(AO105*Assumptions!$AB$10/100)/AI105)^2+
Assumptions!$S$9*(AG105/(AO105*Assumptions!$AB$10/100)/AI105)+
Assumptions!$S$10),"")</f>
        <v/>
      </c>
      <c r="AO105" s="95" t="str">
        <f>IFERROR(
Assumptions!$AD$8*LN(S105)^2+
Assumptions!$AE$8*LN(R105)*LN(S105)+
Assumptions!$AF$8*LN(R105)^2+
Assumptions!$AG$8*LN(S105)+
Assumptions!$AH$8*LN(R105)-
(IF(Q105=1800,
VLOOKUP(C105,Assumptions!$AA$13:$AC$17,3),
IF(Q105=3600,
VLOOKUP(C105,Assumptions!$AA$18:$AC$22,3),
""))+Assumptions!$AI$8),
"")</f>
        <v/>
      </c>
      <c r="AP105" s="96" t="str">
        <f>IFERROR(
Assumptions!$D$11*(W105/(Assumptions!$AB$9*AO105/100)+AL105)+
Assumptions!$D$10*(AB105/(Assumptions!$AB$8*AO105/100)+AM105)+
Assumptions!$D$12*(AG105/(Assumptions!$AB$10*AO105/100)+AN105),
"")</f>
        <v/>
      </c>
      <c r="AQ105" s="76" t="str">
        <f>IFERROR(
(U105+V105)*Assumptions!$D$11+
(Z105+AA105)*Assumptions!$D$10+
(AE105+AF105)*Assumptions!$D$12,
"")</f>
        <v/>
      </c>
      <c r="AR105" s="104" t="str">
        <f t="shared" si="31"/>
        <v/>
      </c>
      <c r="AS105" s="103" t="str">
        <f t="shared" si="32"/>
        <v/>
      </c>
      <c r="AT105" s="92"/>
    </row>
    <row r="106" spans="1:46" x14ac:dyDescent="0.25">
      <c r="A106" s="264"/>
      <c r="B106" s="265"/>
      <c r="C106" s="265"/>
      <c r="D106" s="265"/>
      <c r="E106" s="266"/>
      <c r="F106" s="270"/>
      <c r="G106" s="271"/>
      <c r="H106" s="271"/>
      <c r="I106" s="272"/>
      <c r="J106" s="270"/>
      <c r="K106" s="271"/>
      <c r="L106" s="272"/>
      <c r="M106" s="270"/>
      <c r="N106" s="271"/>
      <c r="O106" s="272"/>
      <c r="P106" s="97" t="str">
        <f t="shared" si="17"/>
        <v/>
      </c>
      <c r="Q106" s="84" t="str">
        <f t="shared" si="19"/>
        <v/>
      </c>
      <c r="R106" s="101" t="str">
        <f t="shared" si="20"/>
        <v/>
      </c>
      <c r="S106" s="100" t="str">
        <f t="shared" si="21"/>
        <v/>
      </c>
      <c r="T106" s="95" t="str">
        <f t="shared" si="22"/>
        <v/>
      </c>
      <c r="U106" s="95" t="str">
        <f t="shared" si="23"/>
        <v/>
      </c>
      <c r="V106" s="95" t="str">
        <f>IFERROR(AK106*
(Assumptions!$S$7*(U106/AI106)^3+
Assumptions!$S$8*(U106/AI106)^2+
Assumptions!$S$9*(U106/AI106)+
Assumptions!$S$10),"")</f>
        <v/>
      </c>
      <c r="W106" s="96" t="str">
        <f>IFERROR(S106*T106*Assumptions!$B$15/3956,"")</f>
        <v/>
      </c>
      <c r="X106" s="102" t="str">
        <f t="shared" si="24"/>
        <v/>
      </c>
      <c r="Y106" s="95" t="str">
        <f t="shared" si="25"/>
        <v/>
      </c>
      <c r="Z106" s="95" t="str">
        <f t="shared" si="26"/>
        <v/>
      </c>
      <c r="AA106" s="95" t="str">
        <f>IFERROR(AK106*
(Assumptions!$S$7*(Z106/AI106)^3+
Assumptions!$S$8*(Z106/AI106)^2+
Assumptions!$S$9*(Z106/AI106)+
Assumptions!$S$10),"")</f>
        <v/>
      </c>
      <c r="AB106" s="96" t="str">
        <f>IFERROR(X106*Y106*Assumptions!$B$15/3956,"")</f>
        <v/>
      </c>
      <c r="AC106" s="102" t="str">
        <f t="shared" si="27"/>
        <v/>
      </c>
      <c r="AD106" s="95" t="str">
        <f t="shared" si="28"/>
        <v/>
      </c>
      <c r="AE106" s="95" t="str">
        <f t="shared" si="29"/>
        <v/>
      </c>
      <c r="AF106" s="95" t="str">
        <f>IFERROR(AK106*
(Assumptions!$S$7*(AE106/AI106)^3+
Assumptions!$S$8*(AE106/AI106)^2+
Assumptions!$S$9*(AE106/AI106)+
Assumptions!$S$10),"")</f>
        <v/>
      </c>
      <c r="AG106" s="96" t="str">
        <f>IFERROR(AC106*AD106*Assumptions!$B$15/3956,"")</f>
        <v/>
      </c>
      <c r="AH106" s="94" t="str">
        <f t="shared" si="18"/>
        <v/>
      </c>
      <c r="AI106" s="93" t="str">
        <f>IFERROR(
IF(C106="VTS",
INDEX(Assumptions!$I$38:$I$57,MATCH(AH106,Assumptions!$I$38:$I$57,-1)),
INDEX(Assumptions!$I$13:$I$32,MATCH(AH106,Assumptions!$I$13:$I$32,-1))),
"")</f>
        <v/>
      </c>
      <c r="AJ106" s="96" t="str">
        <f>IFERROR(
IF(C106="VTS",
VLOOKUP(AI106,Assumptions!$I$38:$K$57,MATCH(P106,Assumptions!$I$37:$K$37,0),FALSE),
VLOOKUP(AI106,Assumptions!$I$13:$K$32,MATCH(P106,Assumptions!$I$12:$K$12,0),FALSE)),
"")</f>
        <v/>
      </c>
      <c r="AK106" s="99" t="str">
        <f t="shared" si="30"/>
        <v/>
      </c>
      <c r="AL106" s="95" t="str">
        <f>IFERROR(AK106*
(Assumptions!$S$7*(W106/(AO106*Assumptions!$AB$9/100)/AI106)^3+
Assumptions!$S$8*(W106/(AO106*Assumptions!$AB$9/100)/AI106)^2+
Assumptions!$S$9*(W106/(AO106*Assumptions!$AB$9/100)/AI106)+
Assumptions!$S$10),"")</f>
        <v/>
      </c>
      <c r="AM106" s="95" t="str">
        <f>IFERROR(AK106*
(Assumptions!$S$7*(AB106/(AO106*Assumptions!$AB$8/100)/AI106)^3+
Assumptions!$S$8*(AB106/(AO106*Assumptions!$AB$8/100)/AI106)^2+
Assumptions!$S$9*(AB106/(AO106*Assumptions!$AB$8/100)/AI106)+
Assumptions!$S$10),"")</f>
        <v/>
      </c>
      <c r="AN106" s="95" t="str">
        <f>IFERROR(AK106*
(Assumptions!$S$7*(AG106/(AO106*Assumptions!$AB$10/100)/AI106)^3+
Assumptions!$S$8*(AG106/(AO106*Assumptions!$AB$10/100)/AI106)^2+
Assumptions!$S$9*(AG106/(AO106*Assumptions!$AB$10/100)/AI106)+
Assumptions!$S$10),"")</f>
        <v/>
      </c>
      <c r="AO106" s="95" t="str">
        <f>IFERROR(
Assumptions!$AD$8*LN(S106)^2+
Assumptions!$AE$8*LN(R106)*LN(S106)+
Assumptions!$AF$8*LN(R106)^2+
Assumptions!$AG$8*LN(S106)+
Assumptions!$AH$8*LN(R106)-
(IF(Q106=1800,
VLOOKUP(C106,Assumptions!$AA$13:$AC$17,3),
IF(Q106=3600,
VLOOKUP(C106,Assumptions!$AA$18:$AC$22,3),
""))+Assumptions!$AI$8),
"")</f>
        <v/>
      </c>
      <c r="AP106" s="96" t="str">
        <f>IFERROR(
Assumptions!$D$11*(W106/(Assumptions!$AB$9*AO106/100)+AL106)+
Assumptions!$D$10*(AB106/(Assumptions!$AB$8*AO106/100)+AM106)+
Assumptions!$D$12*(AG106/(Assumptions!$AB$10*AO106/100)+AN106),
"")</f>
        <v/>
      </c>
      <c r="AQ106" s="76" t="str">
        <f>IFERROR(
(U106+V106)*Assumptions!$D$11+
(Z106+AA106)*Assumptions!$D$10+
(AE106+AF106)*Assumptions!$D$12,
"")</f>
        <v/>
      </c>
      <c r="AR106" s="104" t="str">
        <f t="shared" si="31"/>
        <v/>
      </c>
      <c r="AS106" s="103" t="str">
        <f t="shared" si="32"/>
        <v/>
      </c>
      <c r="AT106" s="92"/>
    </row>
    <row r="107" spans="1:46" ht="15.75" thickBot="1" x14ac:dyDescent="0.3">
      <c r="A107" s="273"/>
      <c r="B107" s="274"/>
      <c r="C107" s="265"/>
      <c r="D107" s="265"/>
      <c r="E107" s="266"/>
      <c r="F107" s="270"/>
      <c r="G107" s="271"/>
      <c r="H107" s="271"/>
      <c r="I107" s="272"/>
      <c r="J107" s="270"/>
      <c r="K107" s="271"/>
      <c r="L107" s="272"/>
      <c r="M107" s="270"/>
      <c r="N107" s="271"/>
      <c r="O107" s="272"/>
      <c r="P107" s="97" t="str">
        <f t="shared" si="17"/>
        <v/>
      </c>
      <c r="Q107" s="84" t="str">
        <f t="shared" si="19"/>
        <v/>
      </c>
      <c r="R107" s="101" t="str">
        <f t="shared" si="20"/>
        <v/>
      </c>
      <c r="S107" s="100" t="str">
        <f t="shared" si="21"/>
        <v/>
      </c>
      <c r="T107" s="95" t="str">
        <f t="shared" si="22"/>
        <v/>
      </c>
      <c r="U107" s="95" t="str">
        <f t="shared" si="23"/>
        <v/>
      </c>
      <c r="V107" s="95" t="str">
        <f>IFERROR(AK107*
(Assumptions!$S$7*(U107/AI107)^3+
Assumptions!$S$8*(U107/AI107)^2+
Assumptions!$S$9*(U107/AI107)+
Assumptions!$S$10),"")</f>
        <v/>
      </c>
      <c r="W107" s="96" t="str">
        <f>IFERROR(S107*T107*Assumptions!$B$15/3956,"")</f>
        <v/>
      </c>
      <c r="X107" s="102" t="str">
        <f t="shared" si="24"/>
        <v/>
      </c>
      <c r="Y107" s="95" t="str">
        <f t="shared" si="25"/>
        <v/>
      </c>
      <c r="Z107" s="95" t="str">
        <f t="shared" si="26"/>
        <v/>
      </c>
      <c r="AA107" s="95" t="str">
        <f>IFERROR(AK107*
(Assumptions!$S$7*(Z107/AI107)^3+
Assumptions!$S$8*(Z107/AI107)^2+
Assumptions!$S$9*(Z107/AI107)+
Assumptions!$S$10),"")</f>
        <v/>
      </c>
      <c r="AB107" s="96" t="str">
        <f>IFERROR(X107*Y107*Assumptions!$B$15/3956,"")</f>
        <v/>
      </c>
      <c r="AC107" s="102" t="str">
        <f t="shared" si="27"/>
        <v/>
      </c>
      <c r="AD107" s="95" t="str">
        <f t="shared" si="28"/>
        <v/>
      </c>
      <c r="AE107" s="95" t="str">
        <f t="shared" si="29"/>
        <v/>
      </c>
      <c r="AF107" s="95" t="str">
        <f>IFERROR(AK107*
(Assumptions!$S$7*(AE107/AI107)^3+
Assumptions!$S$8*(AE107/AI107)^2+
Assumptions!$S$9*(AE107/AI107)+
Assumptions!$S$10),"")</f>
        <v/>
      </c>
      <c r="AG107" s="96" t="str">
        <f>IFERROR(AC107*AD107*Assumptions!$B$15/3956,"")</f>
        <v/>
      </c>
      <c r="AH107" s="108" t="str">
        <f t="shared" si="18"/>
        <v/>
      </c>
      <c r="AI107" s="250" t="str">
        <f>IFERROR(
IF(C107="VTS",
INDEX(Assumptions!$I$38:$I$57,MATCH(AH107,Assumptions!$I$38:$I$57,-1)),
INDEX(Assumptions!$I$13:$I$32,MATCH(AH107,Assumptions!$I$13:$I$32,-1))),
"")</f>
        <v/>
      </c>
      <c r="AJ107" s="62" t="str">
        <f>IFERROR(
IF(C107="VTS",
VLOOKUP(AI107,Assumptions!$I$38:$K$57,MATCH(P107,Assumptions!$I$37:$K$37,0),FALSE),
VLOOKUP(AI107,Assumptions!$I$13:$K$32,MATCH(P107,Assumptions!$I$12:$K$12,0),FALSE)),
"")</f>
        <v/>
      </c>
      <c r="AK107" s="99" t="str">
        <f t="shared" si="30"/>
        <v/>
      </c>
      <c r="AL107" s="95" t="str">
        <f>IFERROR(AK107*
(Assumptions!$S$7*(W107/(AO107*Assumptions!$AB$9/100)/AI107)^3+
Assumptions!$S$8*(W107/(AO107*Assumptions!$AB$9/100)/AI107)^2+
Assumptions!$S$9*(W107/(AO107*Assumptions!$AB$9/100)/AI107)+
Assumptions!$S$10),"")</f>
        <v/>
      </c>
      <c r="AM107" s="95" t="str">
        <f>IFERROR(AK107*
(Assumptions!$S$7*(AB107/(AO107*Assumptions!$AB$8/100)/AI107)^3+
Assumptions!$S$8*(AB107/(AO107*Assumptions!$AB$8/100)/AI107)^2+
Assumptions!$S$9*(AB107/(AO107*Assumptions!$AB$8/100)/AI107)+
Assumptions!$S$10),"")</f>
        <v/>
      </c>
      <c r="AN107" s="95" t="str">
        <f>IFERROR(AK107*
(Assumptions!$S$7*(AG107/(AO107*Assumptions!$AB$10/100)/AI107)^3+
Assumptions!$S$8*(AG107/(AO107*Assumptions!$AB$10/100)/AI107)^2+
Assumptions!$S$9*(AG107/(AO107*Assumptions!$AB$10/100)/AI107)+
Assumptions!$S$10),"")</f>
        <v/>
      </c>
      <c r="AO107" s="95" t="str">
        <f>IFERROR(
Assumptions!$AD$8*LN(S107)^2+
Assumptions!$AE$8*LN(R107)*LN(S107)+
Assumptions!$AF$8*LN(R107)^2+
Assumptions!$AG$8*LN(S107)+
Assumptions!$AH$8*LN(R107)-
(IF(Q107=1800,
VLOOKUP(C107,Assumptions!$AA$13:$AC$17,3),
IF(Q107=3600,
VLOOKUP(C107,Assumptions!$AA$18:$AC$22,3),
""))+Assumptions!$AI$8),
"")</f>
        <v/>
      </c>
      <c r="AP107" s="96" t="str">
        <f>IFERROR(
Assumptions!$D$11*(W107/(Assumptions!$AB$9*AO107/100)+AL107)+
Assumptions!$D$10*(AB107/(Assumptions!$AB$8*AO107/100)+AM107)+
Assumptions!$D$12*(AG107/(Assumptions!$AB$10*AO107/100)+AN107),
"")</f>
        <v/>
      </c>
      <c r="AQ107" s="76" t="str">
        <f>IFERROR(
(U107+V107)*Assumptions!$D$11+
(Z107+AA107)*Assumptions!$D$10+
(AE107+AF107)*Assumptions!$D$12,
"")</f>
        <v/>
      </c>
      <c r="AR107" s="104" t="str">
        <f t="shared" si="31"/>
        <v/>
      </c>
      <c r="AS107" s="103" t="str">
        <f t="shared" si="32"/>
        <v/>
      </c>
      <c r="AT107" s="92"/>
    </row>
  </sheetData>
  <sheetProtection password="8ABE" sheet="1" objects="1" scenarios="1"/>
  <mergeCells count="17">
    <mergeCell ref="B3:L5"/>
    <mergeCell ref="AQ7:AS7"/>
    <mergeCell ref="A7:O7"/>
    <mergeCell ref="P7:AP7"/>
    <mergeCell ref="M3:O3"/>
    <mergeCell ref="M4:O4"/>
    <mergeCell ref="M5:O5"/>
    <mergeCell ref="A8:E8"/>
    <mergeCell ref="F8:I8"/>
    <mergeCell ref="J8:L8"/>
    <mergeCell ref="M8:O8"/>
    <mergeCell ref="AK8:AP8"/>
    <mergeCell ref="P8:R8"/>
    <mergeCell ref="S8:W8"/>
    <mergeCell ref="X8:AB8"/>
    <mergeCell ref="AC8:AG8"/>
    <mergeCell ref="AH8:AJ8"/>
  </mergeCells>
  <conditionalFormatting sqref="AS10:AS107">
    <cfRule type="containsText" dxfId="9" priority="5" operator="containsText" text="FAIL">
      <formula>NOT(ISERROR(SEARCH("FAIL",AS10)))</formula>
    </cfRule>
    <cfRule type="containsText" dxfId="8" priority="6" operator="containsText" text="PASS">
      <formula>NOT(ISERROR(SEARCH("PASS",AS10)))</formula>
    </cfRule>
  </conditionalFormatting>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Assumptions!$AA$13:$AA$17</xm:f>
          </x14:formula1>
          <xm:sqref>C10:C107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AU107"/>
  <sheetViews>
    <sheetView showGridLines="0" zoomScale="80" zoomScaleNormal="80" workbookViewId="0"/>
  </sheetViews>
  <sheetFormatPr defaultColWidth="8.85546875" defaultRowHeight="15" outlineLevelCol="1" x14ac:dyDescent="0.25"/>
  <cols>
    <col min="1" max="1" width="10.7109375" style="1" customWidth="1"/>
    <col min="2" max="2" width="32" style="1" customWidth="1"/>
    <col min="3" max="4" width="10.5703125" style="6" customWidth="1"/>
    <col min="5" max="5" width="8" style="1" customWidth="1"/>
    <col min="6" max="7" width="10.42578125" style="10" customWidth="1"/>
    <col min="8" max="8" width="12.28515625" style="10" customWidth="1"/>
    <col min="9" max="9" width="10.28515625" style="10" customWidth="1"/>
    <col min="10" max="10" width="9.42578125" style="10" customWidth="1"/>
    <col min="11" max="11" width="11.28515625" style="10" customWidth="1"/>
    <col min="12" max="12" width="10.7109375" style="10" customWidth="1"/>
    <col min="13" max="13" width="9.42578125" style="10" customWidth="1"/>
    <col min="14" max="15" width="12" style="10" customWidth="1"/>
    <col min="16" max="16" width="12.85546875" style="6" customWidth="1"/>
    <col min="17" max="17" width="10.85546875" style="6" customWidth="1"/>
    <col min="18" max="18" width="10.7109375" style="15" customWidth="1" outlineLevel="1"/>
    <col min="19" max="19" width="10.7109375" style="92" customWidth="1" outlineLevel="1"/>
    <col min="20" max="20" width="10.7109375" style="15" customWidth="1" outlineLevel="1"/>
    <col min="21" max="22" width="10.7109375" style="10" customWidth="1" outlineLevel="1"/>
    <col min="23" max="23" width="10.28515625" style="10" customWidth="1" outlineLevel="1"/>
    <col min="24" max="24" width="11" style="15" customWidth="1" outlineLevel="1"/>
    <col min="25" max="25" width="11.5703125" style="15" customWidth="1" outlineLevel="1"/>
    <col min="26" max="26" width="9.42578125" style="10" customWidth="1" outlineLevel="1"/>
    <col min="27" max="27" width="11.28515625" style="10" customWidth="1" outlineLevel="1"/>
    <col min="28" max="28" width="10.7109375" style="10" customWidth="1" outlineLevel="1"/>
    <col min="29" max="29" width="11" style="15" customWidth="1" outlineLevel="1"/>
    <col min="30" max="30" width="13.28515625" style="15" customWidth="1" outlineLevel="1"/>
    <col min="31" max="31" width="9.42578125" style="10" customWidth="1" outlineLevel="1"/>
    <col min="32" max="33" width="12" style="10" customWidth="1" outlineLevel="1"/>
    <col min="34" max="35" width="12" style="15" customWidth="1" outlineLevel="1"/>
    <col min="36" max="36" width="10.85546875" style="15" customWidth="1" outlineLevel="1"/>
    <col min="37" max="39" width="12.140625" style="15" customWidth="1" outlineLevel="1"/>
    <col min="40" max="42" width="13.140625" style="15" customWidth="1" outlineLevel="1"/>
    <col min="43" max="43" width="13.28515625" style="15" customWidth="1" outlineLevel="1"/>
    <col min="44" max="44" width="11.42578125" style="15" customWidth="1" outlineLevel="1"/>
    <col min="45" max="45" width="11" style="1" customWidth="1"/>
    <col min="46" max="46" width="11.7109375" style="7" customWidth="1"/>
    <col min="47" max="47" width="8.85546875" style="7"/>
    <col min="48" max="16384" width="8.85546875" style="1"/>
  </cols>
  <sheetData>
    <row r="1" spans="1:47" s="92" customFormat="1" ht="15.75" thickBot="1" x14ac:dyDescent="0.3">
      <c r="F1" s="39"/>
      <c r="G1" s="39"/>
      <c r="H1" s="39"/>
      <c r="I1" s="39"/>
      <c r="J1" s="39"/>
      <c r="K1" s="39"/>
      <c r="L1" s="39"/>
      <c r="M1" s="39"/>
      <c r="N1" s="39"/>
      <c r="O1" s="39"/>
      <c r="U1" s="39"/>
      <c r="V1" s="39"/>
      <c r="W1" s="39"/>
      <c r="Z1" s="39"/>
      <c r="AA1" s="39"/>
      <c r="AB1" s="39"/>
      <c r="AE1" s="39"/>
      <c r="AF1" s="39"/>
      <c r="AG1" s="39"/>
    </row>
    <row r="2" spans="1:47" s="92" customFormat="1" ht="24" thickBot="1" x14ac:dyDescent="0.3">
      <c r="B2" s="220" t="s">
        <v>151</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2"/>
    </row>
    <row r="3" spans="1:47" s="92" customFormat="1" ht="27" customHeight="1" thickBot="1" x14ac:dyDescent="0.3">
      <c r="B3" s="506" t="s">
        <v>176</v>
      </c>
      <c r="C3" s="507"/>
      <c r="D3" s="507"/>
      <c r="E3" s="507"/>
      <c r="F3" s="507"/>
      <c r="G3" s="507"/>
      <c r="H3" s="507"/>
      <c r="I3" s="507"/>
      <c r="J3" s="507"/>
      <c r="K3" s="507"/>
      <c r="L3" s="507"/>
      <c r="M3" s="508"/>
      <c r="N3" s="515" t="s">
        <v>7</v>
      </c>
      <c r="O3" s="516"/>
      <c r="P3" s="516"/>
      <c r="Q3" s="517"/>
      <c r="U3" s="39"/>
      <c r="V3" s="39"/>
      <c r="W3" s="39"/>
      <c r="Z3" s="39"/>
      <c r="AA3" s="39"/>
      <c r="AB3" s="39"/>
      <c r="AE3" s="39"/>
      <c r="AF3" s="39"/>
      <c r="AG3" s="39"/>
      <c r="AS3" s="223"/>
      <c r="AT3" s="224"/>
      <c r="AU3" s="225"/>
    </row>
    <row r="4" spans="1:47" s="92" customFormat="1" ht="27" customHeight="1" x14ac:dyDescent="0.25">
      <c r="B4" s="509"/>
      <c r="C4" s="510"/>
      <c r="D4" s="510"/>
      <c r="E4" s="510"/>
      <c r="F4" s="510"/>
      <c r="G4" s="510"/>
      <c r="H4" s="510"/>
      <c r="I4" s="510"/>
      <c r="J4" s="510"/>
      <c r="K4" s="510"/>
      <c r="L4" s="510"/>
      <c r="M4" s="511"/>
      <c r="N4" s="501" t="s">
        <v>6</v>
      </c>
      <c r="O4" s="502"/>
      <c r="P4" s="502"/>
      <c r="Q4" s="518"/>
      <c r="U4" s="39"/>
      <c r="V4" s="39"/>
      <c r="W4" s="39"/>
      <c r="Z4" s="39"/>
      <c r="AA4" s="39"/>
      <c r="AB4" s="39"/>
      <c r="AE4" s="39"/>
      <c r="AF4" s="39"/>
      <c r="AG4" s="39"/>
      <c r="AS4" s="81" t="s">
        <v>82</v>
      </c>
      <c r="AT4" s="79"/>
      <c r="AU4" s="74">
        <f>COUNTIF(AU10:AU1245,"FAIL")</f>
        <v>0</v>
      </c>
    </row>
    <row r="5" spans="1:47" s="92" customFormat="1" ht="27" customHeight="1" thickBot="1" x14ac:dyDescent="0.3">
      <c r="B5" s="512"/>
      <c r="C5" s="513"/>
      <c r="D5" s="513"/>
      <c r="E5" s="513"/>
      <c r="F5" s="513"/>
      <c r="G5" s="513"/>
      <c r="H5" s="513"/>
      <c r="I5" s="513"/>
      <c r="J5" s="513"/>
      <c r="K5" s="513"/>
      <c r="L5" s="513"/>
      <c r="M5" s="514"/>
      <c r="N5" s="519" t="s">
        <v>8</v>
      </c>
      <c r="O5" s="520"/>
      <c r="P5" s="520"/>
      <c r="Q5" s="521"/>
      <c r="U5" s="39"/>
      <c r="V5" s="39"/>
      <c r="W5" s="39"/>
      <c r="Z5" s="39"/>
      <c r="AA5" s="39"/>
      <c r="AB5" s="39"/>
      <c r="AE5" s="39"/>
      <c r="AF5" s="39"/>
      <c r="AG5" s="39"/>
      <c r="AS5" s="82" t="s">
        <v>83</v>
      </c>
      <c r="AT5" s="80"/>
      <c r="AU5" s="75">
        <f>AU4/COUNTA($A$10:$A$1245)</f>
        <v>0</v>
      </c>
    </row>
    <row r="6" spans="1:47" s="3" customFormat="1" ht="15.75" thickBot="1" x14ac:dyDescent="0.3">
      <c r="A6" s="4"/>
      <c r="B6" s="4"/>
      <c r="C6" s="4"/>
      <c r="D6" s="4"/>
      <c r="E6" s="5"/>
      <c r="F6" s="12"/>
      <c r="G6" s="12"/>
      <c r="H6" s="11"/>
      <c r="I6" s="11"/>
      <c r="J6" s="11"/>
      <c r="K6" s="11"/>
      <c r="L6" s="11"/>
      <c r="M6" s="11"/>
      <c r="N6" s="11"/>
      <c r="O6" s="11"/>
      <c r="R6" s="19"/>
      <c r="S6" s="29"/>
      <c r="T6" s="19"/>
      <c r="U6" s="12"/>
      <c r="V6" s="12"/>
      <c r="W6" s="11"/>
      <c r="X6" s="17"/>
      <c r="Y6" s="17"/>
      <c r="Z6" s="11"/>
      <c r="AA6" s="11"/>
      <c r="AB6" s="11"/>
      <c r="AC6" s="17"/>
      <c r="AD6" s="17"/>
      <c r="AE6" s="11"/>
      <c r="AF6" s="11"/>
      <c r="AG6" s="11"/>
      <c r="AH6" s="17"/>
      <c r="AI6" s="17"/>
      <c r="AJ6" s="17"/>
      <c r="AK6" s="17"/>
      <c r="AL6" s="17"/>
      <c r="AM6" s="17"/>
      <c r="AN6" s="17"/>
      <c r="AO6" s="17"/>
      <c r="AP6" s="17"/>
      <c r="AQ6" s="17"/>
      <c r="AR6" s="17"/>
      <c r="AT6" s="17"/>
    </row>
    <row r="7" spans="1:47" s="9" customFormat="1" ht="19.5" customHeight="1" thickBot="1" x14ac:dyDescent="0.3">
      <c r="A7" s="494" t="s">
        <v>64</v>
      </c>
      <c r="B7" s="495"/>
      <c r="C7" s="495"/>
      <c r="D7" s="495"/>
      <c r="E7" s="495"/>
      <c r="F7" s="495"/>
      <c r="G7" s="495"/>
      <c r="H7" s="495"/>
      <c r="I7" s="495"/>
      <c r="J7" s="495"/>
      <c r="K7" s="495"/>
      <c r="L7" s="495"/>
      <c r="M7" s="495"/>
      <c r="N7" s="495"/>
      <c r="O7" s="495"/>
      <c r="P7" s="495"/>
      <c r="Q7" s="505"/>
      <c r="R7" s="496" t="s">
        <v>36</v>
      </c>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97"/>
      <c r="AR7" s="498"/>
      <c r="AS7" s="491" t="s">
        <v>80</v>
      </c>
      <c r="AT7" s="492"/>
      <c r="AU7" s="493"/>
    </row>
    <row r="8" spans="1:47" s="8" customFormat="1" ht="43.5" customHeight="1" thickBot="1" x14ac:dyDescent="0.3">
      <c r="A8" s="465" t="s">
        <v>23</v>
      </c>
      <c r="B8" s="466"/>
      <c r="C8" s="466"/>
      <c r="D8" s="466"/>
      <c r="E8" s="466"/>
      <c r="F8" s="467" t="s">
        <v>65</v>
      </c>
      <c r="G8" s="468"/>
      <c r="H8" s="468"/>
      <c r="I8" s="469"/>
      <c r="J8" s="470" t="s">
        <v>4</v>
      </c>
      <c r="K8" s="471"/>
      <c r="L8" s="472"/>
      <c r="M8" s="473" t="s">
        <v>5</v>
      </c>
      <c r="N8" s="474"/>
      <c r="O8" s="475"/>
      <c r="P8" s="523" t="s">
        <v>37</v>
      </c>
      <c r="Q8" s="524"/>
      <c r="R8" s="479" t="s">
        <v>23</v>
      </c>
      <c r="S8" s="480"/>
      <c r="T8" s="480"/>
      <c r="U8" s="525" t="s">
        <v>86</v>
      </c>
      <c r="V8" s="526"/>
      <c r="W8" s="526"/>
      <c r="X8" s="526"/>
      <c r="Y8" s="526"/>
      <c r="Z8" s="470" t="s">
        <v>61</v>
      </c>
      <c r="AA8" s="471"/>
      <c r="AB8" s="471"/>
      <c r="AC8" s="471"/>
      <c r="AD8" s="472"/>
      <c r="AE8" s="483" t="s">
        <v>62</v>
      </c>
      <c r="AF8" s="474"/>
      <c r="AG8" s="474"/>
      <c r="AH8" s="474"/>
      <c r="AI8" s="475"/>
      <c r="AJ8" s="245" t="s">
        <v>37</v>
      </c>
      <c r="AK8" s="476" t="s">
        <v>77</v>
      </c>
      <c r="AL8" s="477"/>
      <c r="AM8" s="477"/>
      <c r="AN8" s="477"/>
      <c r="AO8" s="477"/>
      <c r="AP8" s="477"/>
      <c r="AQ8" s="477"/>
      <c r="AR8" s="478"/>
      <c r="AS8" s="230" t="s">
        <v>156</v>
      </c>
      <c r="AT8" s="55" t="s">
        <v>134</v>
      </c>
      <c r="AU8" s="522"/>
    </row>
    <row r="9" spans="1:47" s="2" customFormat="1" ht="75.75" thickBot="1" x14ac:dyDescent="0.3">
      <c r="A9" s="275" t="s">
        <v>1</v>
      </c>
      <c r="B9" s="276" t="s">
        <v>3</v>
      </c>
      <c r="C9" s="276" t="s">
        <v>33</v>
      </c>
      <c r="D9" s="276" t="s">
        <v>34</v>
      </c>
      <c r="E9" s="276" t="s">
        <v>178</v>
      </c>
      <c r="F9" s="277" t="s">
        <v>2</v>
      </c>
      <c r="G9" s="278" t="s">
        <v>35</v>
      </c>
      <c r="H9" s="278" t="s">
        <v>119</v>
      </c>
      <c r="I9" s="279" t="s">
        <v>163</v>
      </c>
      <c r="J9" s="277" t="s">
        <v>2</v>
      </c>
      <c r="K9" s="278" t="s">
        <v>35</v>
      </c>
      <c r="L9" s="279" t="s">
        <v>163</v>
      </c>
      <c r="M9" s="277" t="s">
        <v>2</v>
      </c>
      <c r="N9" s="278" t="s">
        <v>35</v>
      </c>
      <c r="O9" s="279" t="s">
        <v>163</v>
      </c>
      <c r="P9" s="280" t="s">
        <v>181</v>
      </c>
      <c r="Q9" s="281" t="s">
        <v>11</v>
      </c>
      <c r="R9" s="50" t="s">
        <v>127</v>
      </c>
      <c r="S9" s="83" t="s">
        <v>125</v>
      </c>
      <c r="T9" s="57" t="s">
        <v>126</v>
      </c>
      <c r="U9" s="58" t="s">
        <v>2</v>
      </c>
      <c r="V9" s="59" t="s">
        <v>35</v>
      </c>
      <c r="W9" s="42" t="s">
        <v>163</v>
      </c>
      <c r="X9" s="53" t="s">
        <v>117</v>
      </c>
      <c r="Y9" s="70" t="s">
        <v>21</v>
      </c>
      <c r="Z9" s="43" t="s">
        <v>2</v>
      </c>
      <c r="AA9" s="59" t="s">
        <v>35</v>
      </c>
      <c r="AB9" s="42" t="s">
        <v>163</v>
      </c>
      <c r="AC9" s="32" t="s">
        <v>117</v>
      </c>
      <c r="AD9" s="49" t="s">
        <v>21</v>
      </c>
      <c r="AE9" s="64" t="s">
        <v>2</v>
      </c>
      <c r="AF9" s="44" t="s">
        <v>35</v>
      </c>
      <c r="AG9" s="42" t="s">
        <v>163</v>
      </c>
      <c r="AH9" s="32" t="s">
        <v>117</v>
      </c>
      <c r="AI9" s="49" t="s">
        <v>21</v>
      </c>
      <c r="AJ9" s="246" t="s">
        <v>17</v>
      </c>
      <c r="AK9" s="242" t="s">
        <v>180</v>
      </c>
      <c r="AL9" s="32" t="s">
        <v>128</v>
      </c>
      <c r="AM9" s="32" t="s">
        <v>130</v>
      </c>
      <c r="AN9" s="232" t="s">
        <v>129</v>
      </c>
      <c r="AO9" s="232" t="s">
        <v>131</v>
      </c>
      <c r="AP9" s="232" t="s">
        <v>132</v>
      </c>
      <c r="AQ9" s="232" t="s">
        <v>78</v>
      </c>
      <c r="AR9" s="233" t="s">
        <v>79</v>
      </c>
      <c r="AS9" s="231" t="s">
        <v>52</v>
      </c>
      <c r="AT9" s="33" t="s">
        <v>53</v>
      </c>
      <c r="AU9" s="73" t="s">
        <v>81</v>
      </c>
    </row>
    <row r="10" spans="1:47" s="7" customFormat="1" x14ac:dyDescent="0.25">
      <c r="A10" s="282" t="s">
        <v>55</v>
      </c>
      <c r="B10" s="283" t="s">
        <v>57</v>
      </c>
      <c r="C10" s="283" t="s">
        <v>38</v>
      </c>
      <c r="D10" s="283">
        <v>1</v>
      </c>
      <c r="E10" s="284">
        <v>1750</v>
      </c>
      <c r="F10" s="282">
        <v>940</v>
      </c>
      <c r="G10" s="284">
        <v>162.58000000000001</v>
      </c>
      <c r="H10" s="284">
        <v>77.86</v>
      </c>
      <c r="I10" s="285">
        <v>47.66</v>
      </c>
      <c r="J10" s="286">
        <v>705</v>
      </c>
      <c r="K10" s="287">
        <v>178.4</v>
      </c>
      <c r="L10" s="285">
        <v>40.158499999999997</v>
      </c>
      <c r="M10" s="286">
        <v>1034</v>
      </c>
      <c r="N10" s="284">
        <v>157.91</v>
      </c>
      <c r="O10" s="285">
        <v>50.653599999999997</v>
      </c>
      <c r="P10" s="288">
        <v>60</v>
      </c>
      <c r="Q10" s="289">
        <v>96.2</v>
      </c>
      <c r="R10" s="51">
        <f t="shared" ref="R10:R41" si="0">IF(AND(E10&gt;=1440,E10&lt;=2160),4,IF(AND(E10&gt;=2880,E10&lt;=4320),2,""))</f>
        <v>4</v>
      </c>
      <c r="S10" s="84">
        <f>IF(R10=4,1800,IF(R10=2,3600,""))</f>
        <v>1800</v>
      </c>
      <c r="T10" s="47">
        <f>IFERROR(S10*U10^0.5/(V10/D10)^0.75,"")</f>
        <v>1178.4241552820752</v>
      </c>
      <c r="U10" s="56">
        <f>IFERROR(F10*(S10/E10),"")</f>
        <v>966.85714285714278</v>
      </c>
      <c r="V10" s="45">
        <f>IFERROR(G10*(S10/E10)^2,"")</f>
        <v>172.00300408163264</v>
      </c>
      <c r="W10" s="45">
        <f>IFERROR(I10*(S10/E10)^3,"")</f>
        <v>51.862972827988322</v>
      </c>
      <c r="X10" s="45">
        <f>IFERROR(AJ10*
(Assumptions!$S$7*(W10/P10)^3+
Assumptions!$S$8*(W10/P10)^2+
Assumptions!$S$9*(W10/P10)+
Assumptions!$S$10),
"")</f>
        <v>2.1436965264872558</v>
      </c>
      <c r="Y10" s="96">
        <f>IFERROR(U10*V10*Assumptions!$B$15/3956,"")</f>
        <v>42.038001286454197</v>
      </c>
      <c r="Z10" s="66">
        <f>IFERROR(J10*(S10/E10),"")</f>
        <v>725.14285714285711</v>
      </c>
      <c r="AA10" s="95">
        <f>IFERROR(K10*(S10/E10)^2,"")</f>
        <v>188.73991836734692</v>
      </c>
      <c r="AB10" s="45">
        <f>IFERROR(L10*(S10/E10)^3,"")</f>
        <v>43.699941131195317</v>
      </c>
      <c r="AC10" s="45">
        <f>IFERROR(AJ10*
(Assumptions!$S$7*(AB10/P10)^3+
Assumptions!$S$8*(AB10/P10)^2+
Assumptions!$S$9*(AB10/P10)+
Assumptions!$S$10),
"")</f>
        <v>1.9228358764798437</v>
      </c>
      <c r="AD10" s="96">
        <f>IFERROR(Z10*AA10*Assumptions!$B$15/3956,"")</f>
        <v>34.596411441306259</v>
      </c>
      <c r="AE10" s="66">
        <f>IFERROR(M10*(S10/E10),"")</f>
        <v>1063.542857142857</v>
      </c>
      <c r="AF10" s="95">
        <f>IFERROR(N10*(S10/E10)^2,"")</f>
        <v>167.06233469387752</v>
      </c>
      <c r="AG10" s="45">
        <f>IFERROR(O10*(S10/E10)^3,"")</f>
        <v>55.120568200583072</v>
      </c>
      <c r="AH10" s="45">
        <f>IFERROR(AJ10*
(Assumptions!$S$7*(AG10/P10)^3+
Assumptions!$S$8*(AG10/P10)^2+
Assumptions!$S$9*(AG10/P10)+
Assumptions!$S$10),
"")</f>
        <v>2.2344741881046257</v>
      </c>
      <c r="AI10" s="96">
        <f>IFERROR(AE10*AF10*Assumptions!$B$15/3956,"")</f>
        <v>44.913537098403118</v>
      </c>
      <c r="AJ10" s="247">
        <f>IFERROR(P10/Q10*100-P10,"")</f>
        <v>2.3700623700623709</v>
      </c>
      <c r="AK10" s="99">
        <f>IFERROR(
IF(C10="VTS",
IF(P10&gt;=AVERAGE(
INDEX(Assumptions!$I$38:$I$57,MATCH(P10,Assumptions!$I$38:$I$57,-1)),
INDEX(Assumptions!$I$38:$I$57,MATCH(P10,Assumptions!$I$38:$I$57,-1)+1)),
INDEX(Assumptions!$I$38:$I$57,MATCH(P10,Assumptions!$I$38:$I$57,-1)),
INDEX(Assumptions!$I$38:$I$57,MATCH(P10,Assumptions!$I$38:$I$57,-1)+1)),
IF(P10&gt;=AVERAGE(
INDEX(Assumptions!$I$13:$I$32,MATCH(P10,Assumptions!$I$13:$I$32,-1)),
INDEX(Assumptions!$I$13:$I$32,MATCH(P10,Assumptions!$I$13:$I$32,-1)+1)),
INDEX(Assumptions!$I$13:$I$32,MATCH(P10,Assumptions!$I$13:$I$32,-1)),
INDEX(Assumptions!$I$13:$I$32,MATCH(P10,Assumptions!$I$13:$I$32,-1)+1))),
"")</f>
        <v>60</v>
      </c>
      <c r="AL10" s="95">
        <f>IFERROR(
IF(C10="VTS",
VLOOKUP(AK10,Assumptions!$I$38:$K$57,MATCH(R10,Assumptions!$I$37:$K$37,0),FALSE),
VLOOKUP(AK10,Assumptions!$I$13:$K$32,MATCH(R10,Assumptions!$I$12:$K$12,0),FALSE)),
"")</f>
        <v>95</v>
      </c>
      <c r="AM10" s="95">
        <f>IFERROR(P10/(AL10/100)-P10,"")</f>
        <v>3.1578947368421098</v>
      </c>
      <c r="AN10" s="95">
        <f>IFERROR(AM10*
(Assumptions!$S$7*(Y10/(AQ10*Assumptions!$AB$9/100)/P10)^3+
Assumptions!$S$8*(Y10/(AQ10*Assumptions!$AB$9/100)/P10)^2+
Assumptions!$S$9*(Y10/(AQ10*Assumptions!$AB$9/100)/P10)+
Assumptions!$S$10),"")</f>
        <v>2.9565320665308028</v>
      </c>
      <c r="AO10" s="95">
        <f>IFERROR(AM10*
(Assumptions!$S$7*(AD10/(AQ10*Assumptions!$AB$8/100)/P10)^3+
Assumptions!$S$8*(AD10/(AQ10*Assumptions!$AB$8/100)/P10)^2+
Assumptions!$S$9*(AD10/(AQ10*Assumptions!$AB$8/100)/P10)+
Assumptions!$S$10),"")</f>
        <v>2.6936447208860819</v>
      </c>
      <c r="AP10" s="95">
        <f>IFERROR(AM10*
(Assumptions!$S$7*(AI10/(AQ10*Assumptions!$AB$10/100)/P10)^3+
Assumptions!$S$8*(AI10/(AQ10*Assumptions!$AB$10/100)/P10)^2+
Assumptions!$S$9*(AI10/(AQ10*Assumptions!$AB$10/100)/P10)+
Assumptions!$S$10),"")</f>
        <v>3.1278853762089609</v>
      </c>
      <c r="AQ10" s="95">
        <f>IFERROR(
Assumptions!$AD$8*LN(U10)^2+
Assumptions!$AE$8*LN(T10)*LN(U10)+
Assumptions!$AF$8*LN(T10)^2+
Assumptions!$AG$8*LN(U10)+
Assumptions!$AH$8*LN(T10)-
(IF(S10=1800,
VLOOKUP(C10,Assumptions!$AA$13:$AC$17,3),
IF(S10=3600,
VLOOKUP(C10,Assumptions!$AA$18:$AC$22,3),
""))+Assumptions!$AI$8),
"")</f>
        <v>77.04362710133546</v>
      </c>
      <c r="AR10" s="96">
        <f>IFERROR(
Assumptions!$D$11*(Y10/(Assumptions!$AB$9*AQ10/100)+AN10)+
Assumptions!$D$10*(AD10/(Assumptions!$AB$8*AQ10/100)+AO10)+
Assumptions!$D$12*(AI10/(Assumptions!$AB$10*AQ10/100)+AP10),
"")</f>
        <v>56.648025161159119</v>
      </c>
      <c r="AS10" s="76">
        <f>IFERROR(
(W10+X10)*Assumptions!$D$11+
(AB10+AC10)*Assumptions!$D$10+
(AG10+AH10)*Assumptions!$D$12,
"")</f>
        <v>52.328162916946141</v>
      </c>
      <c r="AT10" s="77">
        <f>IFERROR(AS10/AR10,"")</f>
        <v>0.92374205046118885</v>
      </c>
      <c r="AU10" s="68" t="str">
        <f t="shared" ref="AU10:AU72" si="1">IF(AT10="","",IF(AT10&gt;1,"FAIL","PASS"))</f>
        <v>PASS</v>
      </c>
    </row>
    <row r="11" spans="1:47" s="7" customFormat="1" x14ac:dyDescent="0.25">
      <c r="A11" s="264" t="s">
        <v>55</v>
      </c>
      <c r="B11" s="265" t="s">
        <v>57</v>
      </c>
      <c r="C11" s="265" t="s">
        <v>42</v>
      </c>
      <c r="D11" s="265">
        <v>9</v>
      </c>
      <c r="E11" s="266">
        <v>3450</v>
      </c>
      <c r="F11" s="268">
        <v>398.82512700000001</v>
      </c>
      <c r="G11" s="269">
        <v>382.44670789999998</v>
      </c>
      <c r="H11" s="269">
        <v>75.999724580000006</v>
      </c>
      <c r="I11" s="267">
        <v>50.681123607560444</v>
      </c>
      <c r="J11" s="268">
        <v>299.11884529999998</v>
      </c>
      <c r="K11" s="269">
        <v>407.43951769999899</v>
      </c>
      <c r="L11" s="267">
        <v>45.785506762607547</v>
      </c>
      <c r="M11" s="268">
        <v>438.70763979999998</v>
      </c>
      <c r="N11" s="269">
        <v>350.698454999999</v>
      </c>
      <c r="O11" s="267">
        <v>52.355394635508951</v>
      </c>
      <c r="P11" s="290">
        <v>75</v>
      </c>
      <c r="Q11" s="291">
        <v>87</v>
      </c>
      <c r="R11" s="51">
        <f t="shared" si="0"/>
        <v>2</v>
      </c>
      <c r="S11" s="84">
        <f t="shared" ref="S11:S74" si="2">IF(R11=4,1800,IF(R11=2,3600,""))</f>
        <v>3600</v>
      </c>
      <c r="T11" s="93">
        <f t="shared" ref="T11:T74" si="3">IFERROR(S11*U11^0.5/(V11/D11)^0.75,"")</f>
        <v>4139.6539483994293</v>
      </c>
      <c r="U11" s="100">
        <f t="shared" ref="U11:U74" si="4">IFERROR(F11*(S11/E11),"")</f>
        <v>416.16534991304349</v>
      </c>
      <c r="V11" s="95">
        <f t="shared" ref="V11:V74" si="5">IFERROR(G11*(S11/E11)^2,"")</f>
        <v>416.42590501020788</v>
      </c>
      <c r="W11" s="95">
        <f t="shared" ref="W11:W74" si="6">IFERROR(I11*(S11/E11)^3,"")</f>
        <v>57.583286985363323</v>
      </c>
      <c r="X11" s="95">
        <f>IFERROR(AJ11*
(Assumptions!$S$7*(W11/P11)^3+
Assumptions!$S$8*(W11/P11)^2+
Assumptions!$S$9*(W11/P11)+
Assumptions!$S$10),
"")</f>
        <v>9.387452721942827</v>
      </c>
      <c r="Y11" s="96">
        <f>IFERROR(U11*V11*Assumptions!$B$15/3956,"")</f>
        <v>43.80738940127123</v>
      </c>
      <c r="Z11" s="102">
        <f t="shared" ref="Z11:Z74" si="7">IFERROR(J11*(S11/E11),"")</f>
        <v>312.12401248695647</v>
      </c>
      <c r="AA11" s="95">
        <f t="shared" ref="AA11:AA74" si="8">IFERROR(K11*(S11/E11)^2,"")</f>
        <v>443.63924800604804</v>
      </c>
      <c r="AB11" s="95">
        <f t="shared" ref="AB11:AB74" si="9">IFERROR(L11*(S11/E11)^3,"")</f>
        <v>52.02094563049944</v>
      </c>
      <c r="AC11" s="95">
        <f>IFERROR(AJ11*
(Assumptions!$S$7*(AB11/P11)^3+
Assumptions!$S$8*(AB11/P11)^2+
Assumptions!$S$9*(AB11/P11)+
Assumptions!$S$10),
"")</f>
        <v>8.8395635043544729</v>
      </c>
      <c r="AD11" s="96">
        <f>IFERROR(Z11*AA11*Assumptions!$B$15/3956,"")</f>
        <v>35.002644637093965</v>
      </c>
      <c r="AE11" s="102">
        <f t="shared" ref="AE11:AE74" si="10">IFERROR(M11*(S11/E11),"")</f>
        <v>457.78188500869561</v>
      </c>
      <c r="AF11" s="95">
        <f t="shared" ref="AF11:AF74" si="11">IFERROR(N11*(S11/E11)^2,"")</f>
        <v>381.85691886578337</v>
      </c>
      <c r="AG11" s="95">
        <f t="shared" ref="AG11:AG74" si="12">IFERROR(O11*(S11/E11)^3,"")</f>
        <v>59.485573719181033</v>
      </c>
      <c r="AH11" s="95">
        <f>IFERROR(AJ11*
(Assumptions!$S$7*(AG11/P11)^3+
Assumptions!$S$8*(AG11/P11)^2+
Assumptions!$S$9*(AG11/P11)+
Assumptions!$S$10),
"")</f>
        <v>9.5811521316609092</v>
      </c>
      <c r="AI11" s="96">
        <f>IFERROR(AE11*AF11*Assumptions!$B$15/3956,"")</f>
        <v>44.187861507075546</v>
      </c>
      <c r="AJ11" s="247">
        <f t="shared" ref="AJ11:AJ41" si="13">IFERROR(P11/Q11*100-P11,"")</f>
        <v>11.206896551724128</v>
      </c>
      <c r="AK11" s="99">
        <f>IFERROR(
IF(C11="VTS",
IF(P11&gt;=AVERAGE(
INDEX(Assumptions!$I$38:$I$57,MATCH(P11,Assumptions!$I$38:$I$57,-1)),
INDEX(Assumptions!$I$38:$I$57,MATCH(P11,Assumptions!$I$38:$I$57,-1)+1)),
INDEX(Assumptions!$I$38:$I$57,MATCH(P11,Assumptions!$I$38:$I$57,-1)),
INDEX(Assumptions!$I$38:$I$57,MATCH(P11,Assumptions!$I$38:$I$57,-1)+1)),
IF(P11&gt;=AVERAGE(
INDEX(Assumptions!$I$13:$I$32,MATCH(P11,Assumptions!$I$13:$I$32,-1)),
INDEX(Assumptions!$I$13:$I$32,MATCH(P11,Assumptions!$I$13:$I$32,-1)+1)),
INDEX(Assumptions!$I$13:$I$32,MATCH(P11,Assumptions!$I$13:$I$32,-1)),
INDEX(Assumptions!$I$13:$I$32,MATCH(P11,Assumptions!$I$13:$I$32,-1)+1))),
"")</f>
        <v>75</v>
      </c>
      <c r="AL11" s="95">
        <f>IFERROR(
IF(C11="VTS",
VLOOKUP(AK11,Assumptions!$I$38:$K$57,MATCH(R11,Assumptions!$I$37:$K$37,0),FALSE),
VLOOKUP(AK11,Assumptions!$I$13:$K$32,MATCH(R11,Assumptions!$I$12:$K$12,0),FALSE)),
"")</f>
        <v>82.5</v>
      </c>
      <c r="AM11" s="95">
        <f t="shared" ref="AM11:AM74" si="14">IFERROR(P11/(AL11/100)-P11,"")</f>
        <v>15.909090909090921</v>
      </c>
      <c r="AN11" s="95">
        <f>IFERROR(AM11*
(Assumptions!$S$7*(Y11/(AQ11*Assumptions!$AB$9/100)/P11)^3+
Assumptions!$S$8*(Y11/(AQ11*Assumptions!$AB$9/100)/P11)^2+
Assumptions!$S$9*(Y11/(AQ11*Assumptions!$AB$9/100)/P11)+
Assumptions!$S$10),"")</f>
        <v>14.219513706326127</v>
      </c>
      <c r="AO11" s="95">
        <f>IFERROR(AM11*
(Assumptions!$S$7*(AD11/(AQ11*Assumptions!$AB$8/100)/P11)^3+
Assumptions!$S$8*(AD11/(AQ11*Assumptions!$AB$8/100)/P11)^2+
Assumptions!$S$9*(AD11/(AQ11*Assumptions!$AB$8/100)/P11)+
Assumptions!$S$10),"")</f>
        <v>12.783169281704616</v>
      </c>
      <c r="AP11" s="95">
        <f>IFERROR(AM11*
(Assumptions!$S$7*(AI11/(AQ11*Assumptions!$AB$10/100)/P11)^3+
Assumptions!$S$8*(AI11/(AQ11*Assumptions!$AB$10/100)/P11)^2+
Assumptions!$S$9*(AI11/(AQ11*Assumptions!$AB$10/100)/P11)+
Assumptions!$S$10),"")</f>
        <v>14.447598067315358</v>
      </c>
      <c r="AQ11" s="95">
        <f>IFERROR(
Assumptions!$AD$8*LN(U11)^2+
Assumptions!$AE$8*LN(T11)*LN(U11)+
Assumptions!$AF$8*LN(T11)^2+
Assumptions!$AG$8*LN(U11)+
Assumptions!$AH$8*LN(T11)-
(IF(S11=1800,
VLOOKUP(C11,Assumptions!$AA$13:$AC$17,3),
IF(S11=3600,
VLOOKUP(C11,Assumptions!$AA$18:$AC$22,3),
""))+Assumptions!$AI$8),
"")</f>
        <v>68.786460281667814</v>
      </c>
      <c r="AR11" s="96">
        <f>IFERROR(
Assumptions!$D$11*(Y11/(Assumptions!$AB$9*AQ11/100)+AN11)+
Assumptions!$D$10*(AD11/(Assumptions!$AB$8*AQ11/100)+AO11)+
Assumptions!$D$12*(AI11/(Assumptions!$AB$10*AQ11/100)+AP11),
"")</f>
        <v>74.695879079374109</v>
      </c>
      <c r="AS11" s="76">
        <f>IFERROR(
(W11+X11)*Assumptions!$D$11+
(AB11+AC11)*Assumptions!$D$10+
(AG11+AH11)*Assumptions!$D$12,
"")</f>
        <v>65.632658231000661</v>
      </c>
      <c r="AT11" s="77">
        <f t="shared" ref="AT11:AT74" si="15">IFERROR(AS11/AR11,"")</f>
        <v>0.8786650487272184</v>
      </c>
      <c r="AU11" s="68" t="str">
        <f t="shared" si="1"/>
        <v>PASS</v>
      </c>
    </row>
    <row r="12" spans="1:47" s="7" customFormat="1" x14ac:dyDescent="0.25">
      <c r="A12" s="264"/>
      <c r="B12" s="265"/>
      <c r="C12" s="265"/>
      <c r="D12" s="265"/>
      <c r="E12" s="266"/>
      <c r="F12" s="268"/>
      <c r="G12" s="269"/>
      <c r="H12" s="269"/>
      <c r="I12" s="267"/>
      <c r="J12" s="268"/>
      <c r="K12" s="269"/>
      <c r="L12" s="267"/>
      <c r="M12" s="268"/>
      <c r="N12" s="269"/>
      <c r="O12" s="267"/>
      <c r="P12" s="290"/>
      <c r="Q12" s="291"/>
      <c r="R12" s="51" t="str">
        <f t="shared" si="0"/>
        <v/>
      </c>
      <c r="S12" s="84" t="str">
        <f t="shared" si="2"/>
        <v/>
      </c>
      <c r="T12" s="93" t="str">
        <f t="shared" si="3"/>
        <v/>
      </c>
      <c r="U12" s="100" t="str">
        <f t="shared" si="4"/>
        <v/>
      </c>
      <c r="V12" s="95" t="str">
        <f t="shared" si="5"/>
        <v/>
      </c>
      <c r="W12" s="95" t="str">
        <f t="shared" si="6"/>
        <v/>
      </c>
      <c r="X12" s="95" t="str">
        <f>IFERROR(AJ12*
(Assumptions!$S$7*(W12/P12)^3+
Assumptions!$S$8*(W12/P12)^2+
Assumptions!$S$9*(W12/P12)+
Assumptions!$S$10),
"")</f>
        <v/>
      </c>
      <c r="Y12" s="96" t="str">
        <f>IFERROR(U12*V12*Assumptions!$B$15/3956,"")</f>
        <v/>
      </c>
      <c r="Z12" s="102" t="str">
        <f t="shared" si="7"/>
        <v/>
      </c>
      <c r="AA12" s="95" t="str">
        <f t="shared" si="8"/>
        <v/>
      </c>
      <c r="AB12" s="95" t="str">
        <f t="shared" si="9"/>
        <v/>
      </c>
      <c r="AC12" s="95" t="str">
        <f>IFERROR(AJ12*
(Assumptions!$S$7*(AB12/P12)^3+
Assumptions!$S$8*(AB12/P12)^2+
Assumptions!$S$9*(AB12/P12)+
Assumptions!$S$10),
"")</f>
        <v/>
      </c>
      <c r="AD12" s="96" t="str">
        <f>IFERROR(Z12*AA12*Assumptions!$B$15/3956,"")</f>
        <v/>
      </c>
      <c r="AE12" s="102" t="str">
        <f t="shared" si="10"/>
        <v/>
      </c>
      <c r="AF12" s="95" t="str">
        <f t="shared" si="11"/>
        <v/>
      </c>
      <c r="AG12" s="95" t="str">
        <f t="shared" si="12"/>
        <v/>
      </c>
      <c r="AH12" s="95" t="str">
        <f>IFERROR(AJ12*
(Assumptions!$S$7*(AG12/P12)^3+
Assumptions!$S$8*(AG12/P12)^2+
Assumptions!$S$9*(AG12/P12)+
Assumptions!$S$10),
"")</f>
        <v/>
      </c>
      <c r="AI12" s="96" t="str">
        <f>IFERROR(AE12*AF12*Assumptions!$B$15/3956,"")</f>
        <v/>
      </c>
      <c r="AJ12" s="247" t="str">
        <f t="shared" si="13"/>
        <v/>
      </c>
      <c r="AK12" s="99" t="str">
        <f>IFERROR(
IF(C12="VTS",
IF(P12&gt;=AVERAGE(
INDEX(Assumptions!$I$38:$I$57,MATCH(P12,Assumptions!$I$38:$I$57,-1)),
INDEX(Assumptions!$I$38:$I$57,MATCH(P12,Assumptions!$I$38:$I$57,-1)+1)),
INDEX(Assumptions!$I$38:$I$57,MATCH(P12,Assumptions!$I$38:$I$57,-1)),
INDEX(Assumptions!$I$38:$I$57,MATCH(P12,Assumptions!$I$38:$I$57,-1)+1)),
IF(P12&gt;=AVERAGE(
INDEX(Assumptions!$I$13:$I$32,MATCH(P12,Assumptions!$I$13:$I$32,-1)),
INDEX(Assumptions!$I$13:$I$32,MATCH(P12,Assumptions!$I$13:$I$32,-1)+1)),
INDEX(Assumptions!$I$13:$I$32,MATCH(P12,Assumptions!$I$13:$I$32,-1)),
INDEX(Assumptions!$I$13:$I$32,MATCH(P12,Assumptions!$I$13:$I$32,-1)+1))),
"")</f>
        <v/>
      </c>
      <c r="AL12" s="95" t="str">
        <f>IFERROR(
IF(C12="VTS",
VLOOKUP(AK12,Assumptions!$I$38:$K$57,MATCH(R12,Assumptions!$I$37:$K$37,0),FALSE),
VLOOKUP(AK12,Assumptions!$I$13:$K$32,MATCH(R12,Assumptions!$I$12:$K$12,0),FALSE)),
"")</f>
        <v/>
      </c>
      <c r="AM12" s="95" t="str">
        <f t="shared" si="14"/>
        <v/>
      </c>
      <c r="AN12" s="95" t="str">
        <f>IFERROR(AM12*
(Assumptions!$S$7*(Y12/(AQ12*Assumptions!$AB$9/100)/P12)^3+
Assumptions!$S$8*(Y12/(AQ12*Assumptions!$AB$9/100)/P12)^2+
Assumptions!$S$9*(Y12/(AQ12*Assumptions!$AB$9/100)/P12)+
Assumptions!$S$10),"")</f>
        <v/>
      </c>
      <c r="AO12" s="95" t="str">
        <f>IFERROR(AM12*
(Assumptions!$S$7*(AD12/(AQ12*Assumptions!$AB$8/100)/P12)^3+
Assumptions!$S$8*(AD12/(AQ12*Assumptions!$AB$8/100)/P12)^2+
Assumptions!$S$9*(AD12/(AQ12*Assumptions!$AB$8/100)/P12)+
Assumptions!$S$10),"")</f>
        <v/>
      </c>
      <c r="AP12" s="95" t="str">
        <f>IFERROR(AM12*
(Assumptions!$S$7*(AI12/(AQ12*Assumptions!$AB$10/100)/P12)^3+
Assumptions!$S$8*(AI12/(AQ12*Assumptions!$AB$10/100)/P12)^2+
Assumptions!$S$9*(AI12/(AQ12*Assumptions!$AB$10/100)/P12)+
Assumptions!$S$10),"")</f>
        <v/>
      </c>
      <c r="AQ12" s="95" t="str">
        <f>IFERROR(
Assumptions!$AD$8*LN(U12)^2+
Assumptions!$AE$8*LN(T12)*LN(U12)+
Assumptions!$AF$8*LN(T12)^2+
Assumptions!$AG$8*LN(U12)+
Assumptions!$AH$8*LN(T12)-
(IF(S12=1800,
VLOOKUP(C12,Assumptions!$AA$13:$AC$17,3),
IF(S12=3600,
VLOOKUP(C12,Assumptions!$AA$18:$AC$22,3),
""))+Assumptions!$AI$8),
"")</f>
        <v/>
      </c>
      <c r="AR12" s="96" t="str">
        <f>IFERROR(
Assumptions!$D$11*(Y12/(Assumptions!$AB$9*AQ12/100)+AN12)+
Assumptions!$D$10*(AD12/(Assumptions!$AB$8*AQ12/100)+AO12)+
Assumptions!$D$12*(AI12/(Assumptions!$AB$10*AQ12/100)+AP12),
"")</f>
        <v/>
      </c>
      <c r="AS12" s="76" t="str">
        <f>IFERROR(
(W12+X12)*Assumptions!$D$11+
(AB12+AC12)*Assumptions!$D$10+
(AG12+AH12)*Assumptions!$D$12,
"")</f>
        <v/>
      </c>
      <c r="AT12" s="77" t="str">
        <f t="shared" si="15"/>
        <v/>
      </c>
      <c r="AU12" s="68" t="str">
        <f t="shared" si="1"/>
        <v/>
      </c>
    </row>
    <row r="13" spans="1:47" s="7" customFormat="1" x14ac:dyDescent="0.25">
      <c r="A13" s="264"/>
      <c r="B13" s="265"/>
      <c r="C13" s="265"/>
      <c r="D13" s="265"/>
      <c r="E13" s="266"/>
      <c r="F13" s="270"/>
      <c r="G13" s="271"/>
      <c r="H13" s="271"/>
      <c r="I13" s="272"/>
      <c r="J13" s="270"/>
      <c r="K13" s="271"/>
      <c r="L13" s="272"/>
      <c r="M13" s="270"/>
      <c r="N13" s="271"/>
      <c r="O13" s="272"/>
      <c r="P13" s="290"/>
      <c r="Q13" s="291"/>
      <c r="R13" s="51" t="str">
        <f t="shared" si="0"/>
        <v/>
      </c>
      <c r="S13" s="84" t="str">
        <f t="shared" si="2"/>
        <v/>
      </c>
      <c r="T13" s="93" t="str">
        <f t="shared" si="3"/>
        <v/>
      </c>
      <c r="U13" s="100" t="str">
        <f t="shared" si="4"/>
        <v/>
      </c>
      <c r="V13" s="95" t="str">
        <f t="shared" si="5"/>
        <v/>
      </c>
      <c r="W13" s="95" t="str">
        <f t="shared" si="6"/>
        <v/>
      </c>
      <c r="X13" s="95" t="str">
        <f>IFERROR(AJ13*
(Assumptions!$S$7*(W13/P13)^3+
Assumptions!$S$8*(W13/P13)^2+
Assumptions!$S$9*(W13/P13)+
Assumptions!$S$10),
"")</f>
        <v/>
      </c>
      <c r="Y13" s="96" t="str">
        <f>IFERROR(U13*V13*Assumptions!$B$15/3956,"")</f>
        <v/>
      </c>
      <c r="Z13" s="102" t="str">
        <f t="shared" si="7"/>
        <v/>
      </c>
      <c r="AA13" s="95" t="str">
        <f t="shared" si="8"/>
        <v/>
      </c>
      <c r="AB13" s="95" t="str">
        <f t="shared" si="9"/>
        <v/>
      </c>
      <c r="AC13" s="95" t="str">
        <f>IFERROR(AJ13*
(Assumptions!$S$7*(AB13/P13)^3+
Assumptions!$S$8*(AB13/P13)^2+
Assumptions!$S$9*(AB13/P13)+
Assumptions!$S$10),
"")</f>
        <v/>
      </c>
      <c r="AD13" s="96" t="str">
        <f>IFERROR(Z13*AA13*Assumptions!$B$15/3956,"")</f>
        <v/>
      </c>
      <c r="AE13" s="102" t="str">
        <f t="shared" si="10"/>
        <v/>
      </c>
      <c r="AF13" s="95" t="str">
        <f t="shared" si="11"/>
        <v/>
      </c>
      <c r="AG13" s="95" t="str">
        <f t="shared" si="12"/>
        <v/>
      </c>
      <c r="AH13" s="95" t="str">
        <f>IFERROR(AJ13*
(Assumptions!$S$7*(AG13/P13)^3+
Assumptions!$S$8*(AG13/P13)^2+
Assumptions!$S$9*(AG13/P13)+
Assumptions!$S$10),
"")</f>
        <v/>
      </c>
      <c r="AI13" s="96" t="str">
        <f>IFERROR(AE13*AF13*Assumptions!$B$15/3956,"")</f>
        <v/>
      </c>
      <c r="AJ13" s="247" t="str">
        <f t="shared" si="13"/>
        <v/>
      </c>
      <c r="AK13" s="99" t="str">
        <f>IFERROR(
IF(C13="VTS",
IF(P13&gt;=AVERAGE(
INDEX(Assumptions!$I$38:$I$57,MATCH(P13,Assumptions!$I$38:$I$57,-1)),
INDEX(Assumptions!$I$38:$I$57,MATCH(P13,Assumptions!$I$38:$I$57,-1)+1)),
INDEX(Assumptions!$I$38:$I$57,MATCH(P13,Assumptions!$I$38:$I$57,-1)),
INDEX(Assumptions!$I$38:$I$57,MATCH(P13,Assumptions!$I$38:$I$57,-1)+1)),
IF(P13&gt;=AVERAGE(
INDEX(Assumptions!$I$13:$I$32,MATCH(P13,Assumptions!$I$13:$I$32,-1)),
INDEX(Assumptions!$I$13:$I$32,MATCH(P13,Assumptions!$I$13:$I$32,-1)+1)),
INDEX(Assumptions!$I$13:$I$32,MATCH(P13,Assumptions!$I$13:$I$32,-1)),
INDEX(Assumptions!$I$13:$I$32,MATCH(P13,Assumptions!$I$13:$I$32,-1)+1))),
"")</f>
        <v/>
      </c>
      <c r="AL13" s="95" t="str">
        <f>IFERROR(
IF(C13="VTS",
VLOOKUP(AK13,Assumptions!$I$38:$K$57,MATCH(R13,Assumptions!$I$37:$K$37,0),FALSE),
VLOOKUP(AK13,Assumptions!$I$13:$K$32,MATCH(R13,Assumptions!$I$12:$K$12,0),FALSE)),
"")</f>
        <v/>
      </c>
      <c r="AM13" s="95" t="str">
        <f t="shared" si="14"/>
        <v/>
      </c>
      <c r="AN13" s="95" t="str">
        <f>IFERROR(AM13*
(Assumptions!$S$7*(Y13/(AQ13*Assumptions!$AB$9/100)/P13)^3+
Assumptions!$S$8*(Y13/(AQ13*Assumptions!$AB$9/100)/P13)^2+
Assumptions!$S$9*(Y13/(AQ13*Assumptions!$AB$9/100)/P13)+
Assumptions!$S$10),"")</f>
        <v/>
      </c>
      <c r="AO13" s="95" t="str">
        <f>IFERROR(AM13*
(Assumptions!$S$7*(AD13/(AQ13*Assumptions!$AB$8/100)/P13)^3+
Assumptions!$S$8*(AD13/(AQ13*Assumptions!$AB$8/100)/P13)^2+
Assumptions!$S$9*(AD13/(AQ13*Assumptions!$AB$8/100)/P13)+
Assumptions!$S$10),"")</f>
        <v/>
      </c>
      <c r="AP13" s="95" t="str">
        <f>IFERROR(AM13*
(Assumptions!$S$7*(AI13/(AQ13*Assumptions!$AB$10/100)/P13)^3+
Assumptions!$S$8*(AI13/(AQ13*Assumptions!$AB$10/100)/P13)^2+
Assumptions!$S$9*(AI13/(AQ13*Assumptions!$AB$10/100)/P13)+
Assumptions!$S$10),"")</f>
        <v/>
      </c>
      <c r="AQ13" s="95" t="str">
        <f>IFERROR(
Assumptions!$AD$8*LN(U13)^2+
Assumptions!$AE$8*LN(T13)*LN(U13)+
Assumptions!$AF$8*LN(T13)^2+
Assumptions!$AG$8*LN(U13)+
Assumptions!$AH$8*LN(T13)-
(IF(S13=1800,
VLOOKUP(C13,Assumptions!$AA$13:$AC$17,3),
IF(S13=3600,
VLOOKUP(C13,Assumptions!$AA$18:$AC$22,3),
""))+Assumptions!$AI$8),
"")</f>
        <v/>
      </c>
      <c r="AR13" s="96" t="str">
        <f>IFERROR(
Assumptions!$D$11*(Y13/(Assumptions!$AB$9*AQ13/100)+AN13)+
Assumptions!$D$10*(AD13/(Assumptions!$AB$8*AQ13/100)+AO13)+
Assumptions!$D$12*(AI13/(Assumptions!$AB$10*AQ13/100)+AP13),
"")</f>
        <v/>
      </c>
      <c r="AS13" s="76" t="str">
        <f>IFERROR(
(W13+X13)*Assumptions!$D$11+
(AB13+AC13)*Assumptions!$D$10+
(AG13+AH13)*Assumptions!$D$12,
"")</f>
        <v/>
      </c>
      <c r="AT13" s="77" t="str">
        <f t="shared" si="15"/>
        <v/>
      </c>
      <c r="AU13" s="68" t="str">
        <f t="shared" si="1"/>
        <v/>
      </c>
    </row>
    <row r="14" spans="1:47" s="7" customFormat="1" x14ac:dyDescent="0.25">
      <c r="A14" s="264"/>
      <c r="B14" s="265"/>
      <c r="C14" s="265"/>
      <c r="D14" s="265"/>
      <c r="E14" s="266"/>
      <c r="F14" s="270"/>
      <c r="G14" s="271"/>
      <c r="H14" s="271"/>
      <c r="I14" s="272"/>
      <c r="J14" s="270"/>
      <c r="K14" s="271"/>
      <c r="L14" s="272"/>
      <c r="M14" s="270"/>
      <c r="N14" s="271"/>
      <c r="O14" s="272"/>
      <c r="P14" s="290"/>
      <c r="Q14" s="291"/>
      <c r="R14" s="51" t="str">
        <f t="shared" si="0"/>
        <v/>
      </c>
      <c r="S14" s="84" t="str">
        <f t="shared" si="2"/>
        <v/>
      </c>
      <c r="T14" s="93" t="str">
        <f t="shared" si="3"/>
        <v/>
      </c>
      <c r="U14" s="100" t="str">
        <f t="shared" si="4"/>
        <v/>
      </c>
      <c r="V14" s="95" t="str">
        <f t="shared" si="5"/>
        <v/>
      </c>
      <c r="W14" s="95" t="str">
        <f t="shared" si="6"/>
        <v/>
      </c>
      <c r="X14" s="95" t="str">
        <f>IFERROR(AJ14*
(Assumptions!$S$7*(W14/P14)^3+
Assumptions!$S$8*(W14/P14)^2+
Assumptions!$S$9*(W14/P14)+
Assumptions!$S$10),
"")</f>
        <v/>
      </c>
      <c r="Y14" s="96" t="str">
        <f>IFERROR(U14*V14*Assumptions!$B$15/3956,"")</f>
        <v/>
      </c>
      <c r="Z14" s="102" t="str">
        <f t="shared" si="7"/>
        <v/>
      </c>
      <c r="AA14" s="95" t="str">
        <f t="shared" si="8"/>
        <v/>
      </c>
      <c r="AB14" s="95" t="str">
        <f t="shared" si="9"/>
        <v/>
      </c>
      <c r="AC14" s="95" t="str">
        <f>IFERROR(AJ14*
(Assumptions!$S$7*(AB14/P14)^3+
Assumptions!$S$8*(AB14/P14)^2+
Assumptions!$S$9*(AB14/P14)+
Assumptions!$S$10),
"")</f>
        <v/>
      </c>
      <c r="AD14" s="96" t="str">
        <f>IFERROR(Z14*AA14*Assumptions!$B$15/3956,"")</f>
        <v/>
      </c>
      <c r="AE14" s="102" t="str">
        <f t="shared" si="10"/>
        <v/>
      </c>
      <c r="AF14" s="95" t="str">
        <f t="shared" si="11"/>
        <v/>
      </c>
      <c r="AG14" s="95" t="str">
        <f t="shared" si="12"/>
        <v/>
      </c>
      <c r="AH14" s="95" t="str">
        <f>IFERROR(AJ14*
(Assumptions!$S$7*(AG14/P14)^3+
Assumptions!$S$8*(AG14/P14)^2+
Assumptions!$S$9*(AG14/P14)+
Assumptions!$S$10),
"")</f>
        <v/>
      </c>
      <c r="AI14" s="96" t="str">
        <f>IFERROR(AE14*AF14*Assumptions!$B$15/3956,"")</f>
        <v/>
      </c>
      <c r="AJ14" s="247" t="str">
        <f t="shared" si="13"/>
        <v/>
      </c>
      <c r="AK14" s="99" t="str">
        <f>IFERROR(
IF(C14="VTS",
IF(P14&gt;=AVERAGE(
INDEX(Assumptions!$I$38:$I$57,MATCH(P14,Assumptions!$I$38:$I$57,-1)),
INDEX(Assumptions!$I$38:$I$57,MATCH(P14,Assumptions!$I$38:$I$57,-1)+1)),
INDEX(Assumptions!$I$38:$I$57,MATCH(P14,Assumptions!$I$38:$I$57,-1)),
INDEX(Assumptions!$I$38:$I$57,MATCH(P14,Assumptions!$I$38:$I$57,-1)+1)),
IF(P14&gt;=AVERAGE(
INDEX(Assumptions!$I$13:$I$32,MATCH(P14,Assumptions!$I$13:$I$32,-1)),
INDEX(Assumptions!$I$13:$I$32,MATCH(P14,Assumptions!$I$13:$I$32,-1)+1)),
INDEX(Assumptions!$I$13:$I$32,MATCH(P14,Assumptions!$I$13:$I$32,-1)),
INDEX(Assumptions!$I$13:$I$32,MATCH(P14,Assumptions!$I$13:$I$32,-1)+1))),
"")</f>
        <v/>
      </c>
      <c r="AL14" s="95" t="str">
        <f>IFERROR(
IF(C14="VTS",
VLOOKUP(AK14,Assumptions!$I$38:$K$57,MATCH(R14,Assumptions!$I$37:$K$37,0),FALSE),
VLOOKUP(AK14,Assumptions!$I$13:$K$32,MATCH(R14,Assumptions!$I$12:$K$12,0),FALSE)),
"")</f>
        <v/>
      </c>
      <c r="AM14" s="95" t="str">
        <f t="shared" si="14"/>
        <v/>
      </c>
      <c r="AN14" s="95" t="str">
        <f>IFERROR(AM14*
(Assumptions!$S$7*(Y14/(AQ14*Assumptions!$AB$9/100)/P14)^3+
Assumptions!$S$8*(Y14/(AQ14*Assumptions!$AB$9/100)/P14)^2+
Assumptions!$S$9*(Y14/(AQ14*Assumptions!$AB$9/100)/P14)+
Assumptions!$S$10),"")</f>
        <v/>
      </c>
      <c r="AO14" s="95" t="str">
        <f>IFERROR(AM14*
(Assumptions!$S$7*(AD14/(AQ14*Assumptions!$AB$8/100)/P14)^3+
Assumptions!$S$8*(AD14/(AQ14*Assumptions!$AB$8/100)/P14)^2+
Assumptions!$S$9*(AD14/(AQ14*Assumptions!$AB$8/100)/P14)+
Assumptions!$S$10),"")</f>
        <v/>
      </c>
      <c r="AP14" s="95" t="str">
        <f>IFERROR(AM14*
(Assumptions!$S$7*(AI14/(AQ14*Assumptions!$AB$10/100)/P14)^3+
Assumptions!$S$8*(AI14/(AQ14*Assumptions!$AB$10/100)/P14)^2+
Assumptions!$S$9*(AI14/(AQ14*Assumptions!$AB$10/100)/P14)+
Assumptions!$S$10),"")</f>
        <v/>
      </c>
      <c r="AQ14" s="95" t="str">
        <f>IFERROR(
Assumptions!$AD$8*LN(U14)^2+
Assumptions!$AE$8*LN(T14)*LN(U14)+
Assumptions!$AF$8*LN(T14)^2+
Assumptions!$AG$8*LN(U14)+
Assumptions!$AH$8*LN(T14)-
(IF(S14=1800,
VLOOKUP(C14,Assumptions!$AA$13:$AC$17,3),
IF(S14=3600,
VLOOKUP(C14,Assumptions!$AA$18:$AC$22,3),
""))+Assumptions!$AI$8),
"")</f>
        <v/>
      </c>
      <c r="AR14" s="96" t="str">
        <f>IFERROR(
Assumptions!$D$11*(Y14/(Assumptions!$AB$9*AQ14/100)+AN14)+
Assumptions!$D$10*(AD14/(Assumptions!$AB$8*AQ14/100)+AO14)+
Assumptions!$D$12*(AI14/(Assumptions!$AB$10*AQ14/100)+AP14),
"")</f>
        <v/>
      </c>
      <c r="AS14" s="76" t="str">
        <f>IFERROR(
(W14+X14)*Assumptions!$D$11+
(AB14+AC14)*Assumptions!$D$10+
(AG14+AH14)*Assumptions!$D$12,
"")</f>
        <v/>
      </c>
      <c r="AT14" s="77" t="str">
        <f t="shared" si="15"/>
        <v/>
      </c>
      <c r="AU14" s="68" t="str">
        <f t="shared" si="1"/>
        <v/>
      </c>
    </row>
    <row r="15" spans="1:47" s="7" customFormat="1" x14ac:dyDescent="0.25">
      <c r="A15" s="264"/>
      <c r="B15" s="265"/>
      <c r="C15" s="265"/>
      <c r="D15" s="265"/>
      <c r="E15" s="266"/>
      <c r="F15" s="270"/>
      <c r="G15" s="271"/>
      <c r="H15" s="271"/>
      <c r="I15" s="272"/>
      <c r="J15" s="270"/>
      <c r="K15" s="271"/>
      <c r="L15" s="272"/>
      <c r="M15" s="270"/>
      <c r="N15" s="271"/>
      <c r="O15" s="272"/>
      <c r="P15" s="290"/>
      <c r="Q15" s="291"/>
      <c r="R15" s="51" t="str">
        <f t="shared" si="0"/>
        <v/>
      </c>
      <c r="S15" s="84" t="str">
        <f t="shared" si="2"/>
        <v/>
      </c>
      <c r="T15" s="93" t="str">
        <f t="shared" si="3"/>
        <v/>
      </c>
      <c r="U15" s="100" t="str">
        <f t="shared" si="4"/>
        <v/>
      </c>
      <c r="V15" s="95" t="str">
        <f t="shared" si="5"/>
        <v/>
      </c>
      <c r="W15" s="95" t="str">
        <f t="shared" si="6"/>
        <v/>
      </c>
      <c r="X15" s="95" t="str">
        <f>IFERROR(AJ15*
(Assumptions!$S$7*(W15/P15)^3+
Assumptions!$S$8*(W15/P15)^2+
Assumptions!$S$9*(W15/P15)+
Assumptions!$S$10),
"")</f>
        <v/>
      </c>
      <c r="Y15" s="96" t="str">
        <f>IFERROR(U15*V15*Assumptions!$B$15/3956,"")</f>
        <v/>
      </c>
      <c r="Z15" s="102" t="str">
        <f t="shared" si="7"/>
        <v/>
      </c>
      <c r="AA15" s="95" t="str">
        <f t="shared" si="8"/>
        <v/>
      </c>
      <c r="AB15" s="95" t="str">
        <f t="shared" si="9"/>
        <v/>
      </c>
      <c r="AC15" s="95" t="str">
        <f>IFERROR(AJ15*
(Assumptions!$S$7*(AB15/P15)^3+
Assumptions!$S$8*(AB15/P15)^2+
Assumptions!$S$9*(AB15/P15)+
Assumptions!$S$10),
"")</f>
        <v/>
      </c>
      <c r="AD15" s="96" t="str">
        <f>IFERROR(Z15*AA15*Assumptions!$B$15/3956,"")</f>
        <v/>
      </c>
      <c r="AE15" s="102" t="str">
        <f t="shared" si="10"/>
        <v/>
      </c>
      <c r="AF15" s="95" t="str">
        <f t="shared" si="11"/>
        <v/>
      </c>
      <c r="AG15" s="95" t="str">
        <f t="shared" si="12"/>
        <v/>
      </c>
      <c r="AH15" s="95" t="str">
        <f>IFERROR(AJ15*
(Assumptions!$S$7*(AG15/P15)^3+
Assumptions!$S$8*(AG15/P15)^2+
Assumptions!$S$9*(AG15/P15)+
Assumptions!$S$10),
"")</f>
        <v/>
      </c>
      <c r="AI15" s="96" t="str">
        <f>IFERROR(AE15*AF15*Assumptions!$B$15/3956,"")</f>
        <v/>
      </c>
      <c r="AJ15" s="247" t="str">
        <f t="shared" si="13"/>
        <v/>
      </c>
      <c r="AK15" s="99" t="str">
        <f>IFERROR(
IF(C15="VTS",
IF(P15&gt;=AVERAGE(
INDEX(Assumptions!$I$38:$I$57,MATCH(P15,Assumptions!$I$38:$I$57,-1)),
INDEX(Assumptions!$I$38:$I$57,MATCH(P15,Assumptions!$I$38:$I$57,-1)+1)),
INDEX(Assumptions!$I$38:$I$57,MATCH(P15,Assumptions!$I$38:$I$57,-1)),
INDEX(Assumptions!$I$38:$I$57,MATCH(P15,Assumptions!$I$38:$I$57,-1)+1)),
IF(P15&gt;=AVERAGE(
INDEX(Assumptions!$I$13:$I$32,MATCH(P15,Assumptions!$I$13:$I$32,-1)),
INDEX(Assumptions!$I$13:$I$32,MATCH(P15,Assumptions!$I$13:$I$32,-1)+1)),
INDEX(Assumptions!$I$13:$I$32,MATCH(P15,Assumptions!$I$13:$I$32,-1)),
INDEX(Assumptions!$I$13:$I$32,MATCH(P15,Assumptions!$I$13:$I$32,-1)+1))),
"")</f>
        <v/>
      </c>
      <c r="AL15" s="95" t="str">
        <f>IFERROR(
IF(C15="VTS",
VLOOKUP(AK15,Assumptions!$I$38:$K$57,MATCH(R15,Assumptions!$I$37:$K$37,0),FALSE),
VLOOKUP(AK15,Assumptions!$I$13:$K$32,MATCH(R15,Assumptions!$I$12:$K$12,0),FALSE)),
"")</f>
        <v/>
      </c>
      <c r="AM15" s="95" t="str">
        <f t="shared" si="14"/>
        <v/>
      </c>
      <c r="AN15" s="95" t="str">
        <f>IFERROR(AM15*
(Assumptions!$S$7*(Y15/(AQ15*Assumptions!$AB$9/100)/P15)^3+
Assumptions!$S$8*(Y15/(AQ15*Assumptions!$AB$9/100)/P15)^2+
Assumptions!$S$9*(Y15/(AQ15*Assumptions!$AB$9/100)/P15)+
Assumptions!$S$10),"")</f>
        <v/>
      </c>
      <c r="AO15" s="95" t="str">
        <f>IFERROR(AM15*
(Assumptions!$S$7*(AD15/(AQ15*Assumptions!$AB$8/100)/P15)^3+
Assumptions!$S$8*(AD15/(AQ15*Assumptions!$AB$8/100)/P15)^2+
Assumptions!$S$9*(AD15/(AQ15*Assumptions!$AB$8/100)/P15)+
Assumptions!$S$10),"")</f>
        <v/>
      </c>
      <c r="AP15" s="95" t="str">
        <f>IFERROR(AM15*
(Assumptions!$S$7*(AI15/(AQ15*Assumptions!$AB$10/100)/P15)^3+
Assumptions!$S$8*(AI15/(AQ15*Assumptions!$AB$10/100)/P15)^2+
Assumptions!$S$9*(AI15/(AQ15*Assumptions!$AB$10/100)/P15)+
Assumptions!$S$10),"")</f>
        <v/>
      </c>
      <c r="AQ15" s="95" t="str">
        <f>IFERROR(
Assumptions!$AD$8*LN(U15)^2+
Assumptions!$AE$8*LN(T15)*LN(U15)+
Assumptions!$AF$8*LN(T15)^2+
Assumptions!$AG$8*LN(U15)+
Assumptions!$AH$8*LN(T15)-
(IF(S15=1800,
VLOOKUP(C15,Assumptions!$AA$13:$AC$17,3),
IF(S15=3600,
VLOOKUP(C15,Assumptions!$AA$18:$AC$22,3),
""))+Assumptions!$AI$8),
"")</f>
        <v/>
      </c>
      <c r="AR15" s="96" t="str">
        <f>IFERROR(
Assumptions!$D$11*(Y15/(Assumptions!$AB$9*AQ15/100)+AN15)+
Assumptions!$D$10*(AD15/(Assumptions!$AB$8*AQ15/100)+AO15)+
Assumptions!$D$12*(AI15/(Assumptions!$AB$10*AQ15/100)+AP15),
"")</f>
        <v/>
      </c>
      <c r="AS15" s="76" t="str">
        <f>IFERROR(
(W15+X15)*Assumptions!$D$11+
(AB15+AC15)*Assumptions!$D$10+
(AG15+AH15)*Assumptions!$D$12,
"")</f>
        <v/>
      </c>
      <c r="AT15" s="77" t="str">
        <f t="shared" si="15"/>
        <v/>
      </c>
      <c r="AU15" s="68" t="str">
        <f t="shared" si="1"/>
        <v/>
      </c>
    </row>
    <row r="16" spans="1:47" s="7" customFormat="1" x14ac:dyDescent="0.25">
      <c r="A16" s="264"/>
      <c r="B16" s="265"/>
      <c r="C16" s="265"/>
      <c r="D16" s="265"/>
      <c r="E16" s="266"/>
      <c r="F16" s="270"/>
      <c r="G16" s="271"/>
      <c r="H16" s="271"/>
      <c r="I16" s="272"/>
      <c r="J16" s="270"/>
      <c r="K16" s="271"/>
      <c r="L16" s="272"/>
      <c r="M16" s="270"/>
      <c r="N16" s="271"/>
      <c r="O16" s="272"/>
      <c r="P16" s="290"/>
      <c r="Q16" s="291"/>
      <c r="R16" s="51" t="str">
        <f t="shared" si="0"/>
        <v/>
      </c>
      <c r="S16" s="84" t="str">
        <f t="shared" si="2"/>
        <v/>
      </c>
      <c r="T16" s="93" t="str">
        <f t="shared" si="3"/>
        <v/>
      </c>
      <c r="U16" s="100" t="str">
        <f t="shared" si="4"/>
        <v/>
      </c>
      <c r="V16" s="95" t="str">
        <f t="shared" si="5"/>
        <v/>
      </c>
      <c r="W16" s="95" t="str">
        <f t="shared" si="6"/>
        <v/>
      </c>
      <c r="X16" s="95" t="str">
        <f>IFERROR(AJ16*
(Assumptions!$S$7*(W16/P16)^3+
Assumptions!$S$8*(W16/P16)^2+
Assumptions!$S$9*(W16/P16)+
Assumptions!$S$10),
"")</f>
        <v/>
      </c>
      <c r="Y16" s="96" t="str">
        <f>IFERROR(U16*V16*Assumptions!$B$15/3956,"")</f>
        <v/>
      </c>
      <c r="Z16" s="102" t="str">
        <f t="shared" si="7"/>
        <v/>
      </c>
      <c r="AA16" s="95" t="str">
        <f t="shared" si="8"/>
        <v/>
      </c>
      <c r="AB16" s="95" t="str">
        <f t="shared" si="9"/>
        <v/>
      </c>
      <c r="AC16" s="95" t="str">
        <f>IFERROR(AJ16*
(Assumptions!$S$7*(AB16/P16)^3+
Assumptions!$S$8*(AB16/P16)^2+
Assumptions!$S$9*(AB16/P16)+
Assumptions!$S$10),
"")</f>
        <v/>
      </c>
      <c r="AD16" s="96" t="str">
        <f>IFERROR(Z16*AA16*Assumptions!$B$15/3956,"")</f>
        <v/>
      </c>
      <c r="AE16" s="102" t="str">
        <f t="shared" si="10"/>
        <v/>
      </c>
      <c r="AF16" s="95" t="str">
        <f t="shared" si="11"/>
        <v/>
      </c>
      <c r="AG16" s="95" t="str">
        <f t="shared" si="12"/>
        <v/>
      </c>
      <c r="AH16" s="95" t="str">
        <f>IFERROR(AJ16*
(Assumptions!$S$7*(AG16/P16)^3+
Assumptions!$S$8*(AG16/P16)^2+
Assumptions!$S$9*(AG16/P16)+
Assumptions!$S$10),
"")</f>
        <v/>
      </c>
      <c r="AI16" s="96" t="str">
        <f>IFERROR(AE16*AF16*Assumptions!$B$15/3956,"")</f>
        <v/>
      </c>
      <c r="AJ16" s="247" t="str">
        <f t="shared" si="13"/>
        <v/>
      </c>
      <c r="AK16" s="99" t="str">
        <f>IFERROR(
IF(C16="VTS",
IF(P16&gt;=AVERAGE(
INDEX(Assumptions!$I$38:$I$57,MATCH(P16,Assumptions!$I$38:$I$57,-1)),
INDEX(Assumptions!$I$38:$I$57,MATCH(P16,Assumptions!$I$38:$I$57,-1)+1)),
INDEX(Assumptions!$I$38:$I$57,MATCH(P16,Assumptions!$I$38:$I$57,-1)),
INDEX(Assumptions!$I$38:$I$57,MATCH(P16,Assumptions!$I$38:$I$57,-1)+1)),
IF(P16&gt;=AVERAGE(
INDEX(Assumptions!$I$13:$I$32,MATCH(P16,Assumptions!$I$13:$I$32,-1)),
INDEX(Assumptions!$I$13:$I$32,MATCH(P16,Assumptions!$I$13:$I$32,-1)+1)),
INDEX(Assumptions!$I$13:$I$32,MATCH(P16,Assumptions!$I$13:$I$32,-1)),
INDEX(Assumptions!$I$13:$I$32,MATCH(P16,Assumptions!$I$13:$I$32,-1)+1))),
"")</f>
        <v/>
      </c>
      <c r="AL16" s="95" t="str">
        <f>IFERROR(
IF(C16="VTS",
VLOOKUP(AK16,Assumptions!$I$38:$K$57,MATCH(R16,Assumptions!$I$37:$K$37,0),FALSE),
VLOOKUP(AK16,Assumptions!$I$13:$K$32,MATCH(R16,Assumptions!$I$12:$K$12,0),FALSE)),
"")</f>
        <v/>
      </c>
      <c r="AM16" s="95" t="str">
        <f t="shared" si="14"/>
        <v/>
      </c>
      <c r="AN16" s="95" t="str">
        <f>IFERROR(AM16*
(Assumptions!$S$7*(Y16/(AQ16*Assumptions!$AB$9/100)/P16)^3+
Assumptions!$S$8*(Y16/(AQ16*Assumptions!$AB$9/100)/P16)^2+
Assumptions!$S$9*(Y16/(AQ16*Assumptions!$AB$9/100)/P16)+
Assumptions!$S$10),"")</f>
        <v/>
      </c>
      <c r="AO16" s="95" t="str">
        <f>IFERROR(AM16*
(Assumptions!$S$7*(AD16/(AQ16*Assumptions!$AB$8/100)/P16)^3+
Assumptions!$S$8*(AD16/(AQ16*Assumptions!$AB$8/100)/P16)^2+
Assumptions!$S$9*(AD16/(AQ16*Assumptions!$AB$8/100)/P16)+
Assumptions!$S$10),"")</f>
        <v/>
      </c>
      <c r="AP16" s="95" t="str">
        <f>IFERROR(AM16*
(Assumptions!$S$7*(AI16/(AQ16*Assumptions!$AB$10/100)/P16)^3+
Assumptions!$S$8*(AI16/(AQ16*Assumptions!$AB$10/100)/P16)^2+
Assumptions!$S$9*(AI16/(AQ16*Assumptions!$AB$10/100)/P16)+
Assumptions!$S$10),"")</f>
        <v/>
      </c>
      <c r="AQ16" s="95" t="str">
        <f>IFERROR(
Assumptions!$AD$8*LN(U16)^2+
Assumptions!$AE$8*LN(T16)*LN(U16)+
Assumptions!$AF$8*LN(T16)^2+
Assumptions!$AG$8*LN(U16)+
Assumptions!$AH$8*LN(T16)-
(IF(S16=1800,
VLOOKUP(C16,Assumptions!$AA$13:$AC$17,3),
IF(S16=3600,
VLOOKUP(C16,Assumptions!$AA$18:$AC$22,3),
""))+Assumptions!$AI$8),
"")</f>
        <v/>
      </c>
      <c r="AR16" s="96" t="str">
        <f>IFERROR(
Assumptions!$D$11*(Y16/(Assumptions!$AB$9*AQ16/100)+AN16)+
Assumptions!$D$10*(AD16/(Assumptions!$AB$8*AQ16/100)+AO16)+
Assumptions!$D$12*(AI16/(Assumptions!$AB$10*AQ16/100)+AP16),
"")</f>
        <v/>
      </c>
      <c r="AS16" s="76" t="str">
        <f>IFERROR(
(W16+X16)*Assumptions!$D$11+
(AB16+AC16)*Assumptions!$D$10+
(AG16+AH16)*Assumptions!$D$12,
"")</f>
        <v/>
      </c>
      <c r="AT16" s="77" t="str">
        <f t="shared" si="15"/>
        <v/>
      </c>
      <c r="AU16" s="68" t="str">
        <f t="shared" si="1"/>
        <v/>
      </c>
    </row>
    <row r="17" spans="1:47" s="7" customFormat="1" x14ac:dyDescent="0.25">
      <c r="A17" s="264"/>
      <c r="B17" s="265"/>
      <c r="C17" s="265"/>
      <c r="D17" s="265"/>
      <c r="E17" s="266"/>
      <c r="F17" s="270"/>
      <c r="G17" s="271"/>
      <c r="H17" s="271"/>
      <c r="I17" s="272"/>
      <c r="J17" s="270"/>
      <c r="K17" s="271"/>
      <c r="L17" s="272"/>
      <c r="M17" s="270"/>
      <c r="N17" s="271"/>
      <c r="O17" s="272"/>
      <c r="P17" s="290"/>
      <c r="Q17" s="291"/>
      <c r="R17" s="51" t="str">
        <f t="shared" si="0"/>
        <v/>
      </c>
      <c r="S17" s="84" t="str">
        <f t="shared" si="2"/>
        <v/>
      </c>
      <c r="T17" s="93" t="str">
        <f t="shared" si="3"/>
        <v/>
      </c>
      <c r="U17" s="100" t="str">
        <f t="shared" si="4"/>
        <v/>
      </c>
      <c r="V17" s="95" t="str">
        <f t="shared" si="5"/>
        <v/>
      </c>
      <c r="W17" s="95" t="str">
        <f t="shared" si="6"/>
        <v/>
      </c>
      <c r="X17" s="95" t="str">
        <f>IFERROR(AJ17*
(Assumptions!$S$7*(W17/P17)^3+
Assumptions!$S$8*(W17/P17)^2+
Assumptions!$S$9*(W17/P17)+
Assumptions!$S$10),
"")</f>
        <v/>
      </c>
      <c r="Y17" s="96" t="str">
        <f>IFERROR(U17*V17*Assumptions!$B$15/3956,"")</f>
        <v/>
      </c>
      <c r="Z17" s="102" t="str">
        <f t="shared" si="7"/>
        <v/>
      </c>
      <c r="AA17" s="95" t="str">
        <f t="shared" si="8"/>
        <v/>
      </c>
      <c r="AB17" s="95" t="str">
        <f t="shared" si="9"/>
        <v/>
      </c>
      <c r="AC17" s="95" t="str">
        <f>IFERROR(AJ17*
(Assumptions!$S$7*(AB17/P17)^3+
Assumptions!$S$8*(AB17/P17)^2+
Assumptions!$S$9*(AB17/P17)+
Assumptions!$S$10),
"")</f>
        <v/>
      </c>
      <c r="AD17" s="96" t="str">
        <f>IFERROR(Z17*AA17*Assumptions!$B$15/3956,"")</f>
        <v/>
      </c>
      <c r="AE17" s="102" t="str">
        <f t="shared" si="10"/>
        <v/>
      </c>
      <c r="AF17" s="95" t="str">
        <f t="shared" si="11"/>
        <v/>
      </c>
      <c r="AG17" s="95" t="str">
        <f t="shared" si="12"/>
        <v/>
      </c>
      <c r="AH17" s="95" t="str">
        <f>IFERROR(AJ17*
(Assumptions!$S$7*(AG17/P17)^3+
Assumptions!$S$8*(AG17/P17)^2+
Assumptions!$S$9*(AG17/P17)+
Assumptions!$S$10),
"")</f>
        <v/>
      </c>
      <c r="AI17" s="96" t="str">
        <f>IFERROR(AE17*AF17*Assumptions!$B$15/3956,"")</f>
        <v/>
      </c>
      <c r="AJ17" s="247" t="str">
        <f t="shared" si="13"/>
        <v/>
      </c>
      <c r="AK17" s="99" t="str">
        <f>IFERROR(
IF(C17="VTS",
IF(P17&gt;=AVERAGE(
INDEX(Assumptions!$I$38:$I$57,MATCH(P17,Assumptions!$I$38:$I$57,-1)),
INDEX(Assumptions!$I$38:$I$57,MATCH(P17,Assumptions!$I$38:$I$57,-1)+1)),
INDEX(Assumptions!$I$38:$I$57,MATCH(P17,Assumptions!$I$38:$I$57,-1)),
INDEX(Assumptions!$I$38:$I$57,MATCH(P17,Assumptions!$I$38:$I$57,-1)+1)),
IF(P17&gt;=AVERAGE(
INDEX(Assumptions!$I$13:$I$32,MATCH(P17,Assumptions!$I$13:$I$32,-1)),
INDEX(Assumptions!$I$13:$I$32,MATCH(P17,Assumptions!$I$13:$I$32,-1)+1)),
INDEX(Assumptions!$I$13:$I$32,MATCH(P17,Assumptions!$I$13:$I$32,-1)),
INDEX(Assumptions!$I$13:$I$32,MATCH(P17,Assumptions!$I$13:$I$32,-1)+1))),
"")</f>
        <v/>
      </c>
      <c r="AL17" s="95" t="str">
        <f>IFERROR(
IF(C17="VTS",
VLOOKUP(AK17,Assumptions!$I$38:$K$57,MATCH(R17,Assumptions!$I$37:$K$37,0),FALSE),
VLOOKUP(AK17,Assumptions!$I$13:$K$32,MATCH(R17,Assumptions!$I$12:$K$12,0),FALSE)),
"")</f>
        <v/>
      </c>
      <c r="AM17" s="95" t="str">
        <f t="shared" si="14"/>
        <v/>
      </c>
      <c r="AN17" s="95" t="str">
        <f>IFERROR(AM17*
(Assumptions!$S$7*(Y17/(AQ17*Assumptions!$AB$9/100)/P17)^3+
Assumptions!$S$8*(Y17/(AQ17*Assumptions!$AB$9/100)/P17)^2+
Assumptions!$S$9*(Y17/(AQ17*Assumptions!$AB$9/100)/P17)+
Assumptions!$S$10),"")</f>
        <v/>
      </c>
      <c r="AO17" s="95" t="str">
        <f>IFERROR(AM17*
(Assumptions!$S$7*(AD17/(AQ17*Assumptions!$AB$8/100)/P17)^3+
Assumptions!$S$8*(AD17/(AQ17*Assumptions!$AB$8/100)/P17)^2+
Assumptions!$S$9*(AD17/(AQ17*Assumptions!$AB$8/100)/P17)+
Assumptions!$S$10),"")</f>
        <v/>
      </c>
      <c r="AP17" s="95" t="str">
        <f>IFERROR(AM17*
(Assumptions!$S$7*(AI17/(AQ17*Assumptions!$AB$10/100)/P17)^3+
Assumptions!$S$8*(AI17/(AQ17*Assumptions!$AB$10/100)/P17)^2+
Assumptions!$S$9*(AI17/(AQ17*Assumptions!$AB$10/100)/P17)+
Assumptions!$S$10),"")</f>
        <v/>
      </c>
      <c r="AQ17" s="95" t="str">
        <f>IFERROR(
Assumptions!$AD$8*LN(U17)^2+
Assumptions!$AE$8*LN(T17)*LN(U17)+
Assumptions!$AF$8*LN(T17)^2+
Assumptions!$AG$8*LN(U17)+
Assumptions!$AH$8*LN(T17)-
(IF(S17=1800,
VLOOKUP(C17,Assumptions!$AA$13:$AC$17,3),
IF(S17=3600,
VLOOKUP(C17,Assumptions!$AA$18:$AC$22,3),
""))+Assumptions!$AI$8),
"")</f>
        <v/>
      </c>
      <c r="AR17" s="96" t="str">
        <f>IFERROR(
Assumptions!$D$11*(Y17/(Assumptions!$AB$9*AQ17/100)+AN17)+
Assumptions!$D$10*(AD17/(Assumptions!$AB$8*AQ17/100)+AO17)+
Assumptions!$D$12*(AI17/(Assumptions!$AB$10*AQ17/100)+AP17),
"")</f>
        <v/>
      </c>
      <c r="AS17" s="76" t="str">
        <f>IFERROR(
(W17+X17)*Assumptions!$D$11+
(AB17+AC17)*Assumptions!$D$10+
(AG17+AH17)*Assumptions!$D$12,
"")</f>
        <v/>
      </c>
      <c r="AT17" s="77" t="str">
        <f t="shared" si="15"/>
        <v/>
      </c>
      <c r="AU17" s="68" t="str">
        <f t="shared" si="1"/>
        <v/>
      </c>
    </row>
    <row r="18" spans="1:47" s="7" customFormat="1" x14ac:dyDescent="0.25">
      <c r="A18" s="264"/>
      <c r="B18" s="265"/>
      <c r="C18" s="265"/>
      <c r="D18" s="265"/>
      <c r="E18" s="266"/>
      <c r="F18" s="270"/>
      <c r="G18" s="271"/>
      <c r="H18" s="271"/>
      <c r="I18" s="272"/>
      <c r="J18" s="270"/>
      <c r="K18" s="271"/>
      <c r="L18" s="272"/>
      <c r="M18" s="270"/>
      <c r="N18" s="271"/>
      <c r="O18" s="272"/>
      <c r="P18" s="290"/>
      <c r="Q18" s="291"/>
      <c r="R18" s="51" t="str">
        <f t="shared" si="0"/>
        <v/>
      </c>
      <c r="S18" s="84" t="str">
        <f t="shared" si="2"/>
        <v/>
      </c>
      <c r="T18" s="93" t="str">
        <f t="shared" si="3"/>
        <v/>
      </c>
      <c r="U18" s="100" t="str">
        <f t="shared" si="4"/>
        <v/>
      </c>
      <c r="V18" s="95" t="str">
        <f t="shared" si="5"/>
        <v/>
      </c>
      <c r="W18" s="95" t="str">
        <f t="shared" si="6"/>
        <v/>
      </c>
      <c r="X18" s="95" t="str">
        <f>IFERROR(AJ18*
(Assumptions!$S$7*(W18/P18)^3+
Assumptions!$S$8*(W18/P18)^2+
Assumptions!$S$9*(W18/P18)+
Assumptions!$S$10),
"")</f>
        <v/>
      </c>
      <c r="Y18" s="96" t="str">
        <f>IFERROR(U18*V18*Assumptions!$B$15/3956,"")</f>
        <v/>
      </c>
      <c r="Z18" s="102" t="str">
        <f t="shared" si="7"/>
        <v/>
      </c>
      <c r="AA18" s="95" t="str">
        <f t="shared" si="8"/>
        <v/>
      </c>
      <c r="AB18" s="95" t="str">
        <f t="shared" si="9"/>
        <v/>
      </c>
      <c r="AC18" s="95" t="str">
        <f>IFERROR(AJ18*
(Assumptions!$S$7*(AB18/P18)^3+
Assumptions!$S$8*(AB18/P18)^2+
Assumptions!$S$9*(AB18/P18)+
Assumptions!$S$10),
"")</f>
        <v/>
      </c>
      <c r="AD18" s="96" t="str">
        <f>IFERROR(Z18*AA18*Assumptions!$B$15/3956,"")</f>
        <v/>
      </c>
      <c r="AE18" s="102" t="str">
        <f t="shared" si="10"/>
        <v/>
      </c>
      <c r="AF18" s="95" t="str">
        <f t="shared" si="11"/>
        <v/>
      </c>
      <c r="AG18" s="95" t="str">
        <f t="shared" si="12"/>
        <v/>
      </c>
      <c r="AH18" s="95" t="str">
        <f>IFERROR(AJ18*
(Assumptions!$S$7*(AG18/P18)^3+
Assumptions!$S$8*(AG18/P18)^2+
Assumptions!$S$9*(AG18/P18)+
Assumptions!$S$10),
"")</f>
        <v/>
      </c>
      <c r="AI18" s="96" t="str">
        <f>IFERROR(AE18*AF18*Assumptions!$B$15/3956,"")</f>
        <v/>
      </c>
      <c r="AJ18" s="247" t="str">
        <f t="shared" si="13"/>
        <v/>
      </c>
      <c r="AK18" s="99" t="str">
        <f>IFERROR(
IF(C18="VTS",
IF(P18&gt;=AVERAGE(
INDEX(Assumptions!$I$38:$I$57,MATCH(P18,Assumptions!$I$38:$I$57,-1)),
INDEX(Assumptions!$I$38:$I$57,MATCH(P18,Assumptions!$I$38:$I$57,-1)+1)),
INDEX(Assumptions!$I$38:$I$57,MATCH(P18,Assumptions!$I$38:$I$57,-1)),
INDEX(Assumptions!$I$38:$I$57,MATCH(P18,Assumptions!$I$38:$I$57,-1)+1)),
IF(P18&gt;=AVERAGE(
INDEX(Assumptions!$I$13:$I$32,MATCH(P18,Assumptions!$I$13:$I$32,-1)),
INDEX(Assumptions!$I$13:$I$32,MATCH(P18,Assumptions!$I$13:$I$32,-1)+1)),
INDEX(Assumptions!$I$13:$I$32,MATCH(P18,Assumptions!$I$13:$I$32,-1)),
INDEX(Assumptions!$I$13:$I$32,MATCH(P18,Assumptions!$I$13:$I$32,-1)+1))),
"")</f>
        <v/>
      </c>
      <c r="AL18" s="95" t="str">
        <f>IFERROR(
IF(C18="VTS",
VLOOKUP(AK18,Assumptions!$I$38:$K$57,MATCH(R18,Assumptions!$I$37:$K$37,0),FALSE),
VLOOKUP(AK18,Assumptions!$I$13:$K$32,MATCH(R18,Assumptions!$I$12:$K$12,0),FALSE)),
"")</f>
        <v/>
      </c>
      <c r="AM18" s="95" t="str">
        <f t="shared" si="14"/>
        <v/>
      </c>
      <c r="AN18" s="95" t="str">
        <f>IFERROR(AM18*
(Assumptions!$S$7*(Y18/(AQ18*Assumptions!$AB$9/100)/P18)^3+
Assumptions!$S$8*(Y18/(AQ18*Assumptions!$AB$9/100)/P18)^2+
Assumptions!$S$9*(Y18/(AQ18*Assumptions!$AB$9/100)/P18)+
Assumptions!$S$10),"")</f>
        <v/>
      </c>
      <c r="AO18" s="95" t="str">
        <f>IFERROR(AM18*
(Assumptions!$S$7*(AD18/(AQ18*Assumptions!$AB$8/100)/P18)^3+
Assumptions!$S$8*(AD18/(AQ18*Assumptions!$AB$8/100)/P18)^2+
Assumptions!$S$9*(AD18/(AQ18*Assumptions!$AB$8/100)/P18)+
Assumptions!$S$10),"")</f>
        <v/>
      </c>
      <c r="AP18" s="95" t="str">
        <f>IFERROR(AM18*
(Assumptions!$S$7*(AI18/(AQ18*Assumptions!$AB$10/100)/P18)^3+
Assumptions!$S$8*(AI18/(AQ18*Assumptions!$AB$10/100)/P18)^2+
Assumptions!$S$9*(AI18/(AQ18*Assumptions!$AB$10/100)/P18)+
Assumptions!$S$10),"")</f>
        <v/>
      </c>
      <c r="AQ18" s="95" t="str">
        <f>IFERROR(
Assumptions!$AD$8*LN(U18)^2+
Assumptions!$AE$8*LN(T18)*LN(U18)+
Assumptions!$AF$8*LN(T18)^2+
Assumptions!$AG$8*LN(U18)+
Assumptions!$AH$8*LN(T18)-
(IF(S18=1800,
VLOOKUP(C18,Assumptions!$AA$13:$AC$17,3),
IF(S18=3600,
VLOOKUP(C18,Assumptions!$AA$18:$AC$22,3),
""))+Assumptions!$AI$8),
"")</f>
        <v/>
      </c>
      <c r="AR18" s="96" t="str">
        <f>IFERROR(
Assumptions!$D$11*(Y18/(Assumptions!$AB$9*AQ18/100)+AN18)+
Assumptions!$D$10*(AD18/(Assumptions!$AB$8*AQ18/100)+AO18)+
Assumptions!$D$12*(AI18/(Assumptions!$AB$10*AQ18/100)+AP18),
"")</f>
        <v/>
      </c>
      <c r="AS18" s="76" t="str">
        <f>IFERROR(
(W18+X18)*Assumptions!$D$11+
(AB18+AC18)*Assumptions!$D$10+
(AG18+AH18)*Assumptions!$D$12,
"")</f>
        <v/>
      </c>
      <c r="AT18" s="77" t="str">
        <f t="shared" si="15"/>
        <v/>
      </c>
      <c r="AU18" s="68" t="str">
        <f t="shared" si="1"/>
        <v/>
      </c>
    </row>
    <row r="19" spans="1:47" s="7" customFormat="1" x14ac:dyDescent="0.25">
      <c r="A19" s="264"/>
      <c r="B19" s="265"/>
      <c r="C19" s="265"/>
      <c r="D19" s="265"/>
      <c r="E19" s="266"/>
      <c r="F19" s="270"/>
      <c r="G19" s="271"/>
      <c r="H19" s="271"/>
      <c r="I19" s="272"/>
      <c r="J19" s="270"/>
      <c r="K19" s="271"/>
      <c r="L19" s="272"/>
      <c r="M19" s="270"/>
      <c r="N19" s="271"/>
      <c r="O19" s="272"/>
      <c r="P19" s="290"/>
      <c r="Q19" s="291"/>
      <c r="R19" s="51" t="str">
        <f t="shared" si="0"/>
        <v/>
      </c>
      <c r="S19" s="84" t="str">
        <f t="shared" si="2"/>
        <v/>
      </c>
      <c r="T19" s="93" t="str">
        <f t="shared" si="3"/>
        <v/>
      </c>
      <c r="U19" s="100" t="str">
        <f t="shared" si="4"/>
        <v/>
      </c>
      <c r="V19" s="95" t="str">
        <f t="shared" si="5"/>
        <v/>
      </c>
      <c r="W19" s="95" t="str">
        <f t="shared" si="6"/>
        <v/>
      </c>
      <c r="X19" s="95" t="str">
        <f>IFERROR(AJ19*
(Assumptions!$S$7*(W19/P19)^3+
Assumptions!$S$8*(W19/P19)^2+
Assumptions!$S$9*(W19/P19)+
Assumptions!$S$10),
"")</f>
        <v/>
      </c>
      <c r="Y19" s="96" t="str">
        <f>IFERROR(U19*V19*Assumptions!$B$15/3956,"")</f>
        <v/>
      </c>
      <c r="Z19" s="102" t="str">
        <f t="shared" si="7"/>
        <v/>
      </c>
      <c r="AA19" s="95" t="str">
        <f t="shared" si="8"/>
        <v/>
      </c>
      <c r="AB19" s="95" t="str">
        <f t="shared" si="9"/>
        <v/>
      </c>
      <c r="AC19" s="95" t="str">
        <f>IFERROR(AJ19*
(Assumptions!$S$7*(AB19/P19)^3+
Assumptions!$S$8*(AB19/P19)^2+
Assumptions!$S$9*(AB19/P19)+
Assumptions!$S$10),
"")</f>
        <v/>
      </c>
      <c r="AD19" s="96" t="str">
        <f>IFERROR(Z19*AA19*Assumptions!$B$15/3956,"")</f>
        <v/>
      </c>
      <c r="AE19" s="102" t="str">
        <f t="shared" si="10"/>
        <v/>
      </c>
      <c r="AF19" s="95" t="str">
        <f t="shared" si="11"/>
        <v/>
      </c>
      <c r="AG19" s="95" t="str">
        <f t="shared" si="12"/>
        <v/>
      </c>
      <c r="AH19" s="95" t="str">
        <f>IFERROR(AJ19*
(Assumptions!$S$7*(AG19/P19)^3+
Assumptions!$S$8*(AG19/P19)^2+
Assumptions!$S$9*(AG19/P19)+
Assumptions!$S$10),
"")</f>
        <v/>
      </c>
      <c r="AI19" s="96" t="str">
        <f>IFERROR(AE19*AF19*Assumptions!$B$15/3956,"")</f>
        <v/>
      </c>
      <c r="AJ19" s="247" t="str">
        <f t="shared" si="13"/>
        <v/>
      </c>
      <c r="AK19" s="99" t="str">
        <f>IFERROR(
IF(C19="VTS",
IF(P19&gt;=AVERAGE(
INDEX(Assumptions!$I$38:$I$57,MATCH(P19,Assumptions!$I$38:$I$57,-1)),
INDEX(Assumptions!$I$38:$I$57,MATCH(P19,Assumptions!$I$38:$I$57,-1)+1)),
INDEX(Assumptions!$I$38:$I$57,MATCH(P19,Assumptions!$I$38:$I$57,-1)),
INDEX(Assumptions!$I$38:$I$57,MATCH(P19,Assumptions!$I$38:$I$57,-1)+1)),
IF(P19&gt;=AVERAGE(
INDEX(Assumptions!$I$13:$I$32,MATCH(P19,Assumptions!$I$13:$I$32,-1)),
INDEX(Assumptions!$I$13:$I$32,MATCH(P19,Assumptions!$I$13:$I$32,-1)+1)),
INDEX(Assumptions!$I$13:$I$32,MATCH(P19,Assumptions!$I$13:$I$32,-1)),
INDEX(Assumptions!$I$13:$I$32,MATCH(P19,Assumptions!$I$13:$I$32,-1)+1))),
"")</f>
        <v/>
      </c>
      <c r="AL19" s="95" t="str">
        <f>IFERROR(
IF(C19="VTS",
VLOOKUP(AK19,Assumptions!$I$38:$K$57,MATCH(R19,Assumptions!$I$37:$K$37,0),FALSE),
VLOOKUP(AK19,Assumptions!$I$13:$K$32,MATCH(R19,Assumptions!$I$12:$K$12,0),FALSE)),
"")</f>
        <v/>
      </c>
      <c r="AM19" s="95" t="str">
        <f t="shared" si="14"/>
        <v/>
      </c>
      <c r="AN19" s="95" t="str">
        <f>IFERROR(AM19*
(Assumptions!$S$7*(Y19/(AQ19*Assumptions!$AB$9/100)/P19)^3+
Assumptions!$S$8*(Y19/(AQ19*Assumptions!$AB$9/100)/P19)^2+
Assumptions!$S$9*(Y19/(AQ19*Assumptions!$AB$9/100)/P19)+
Assumptions!$S$10),"")</f>
        <v/>
      </c>
      <c r="AO19" s="95" t="str">
        <f>IFERROR(AM19*
(Assumptions!$S$7*(AD19/(AQ19*Assumptions!$AB$8/100)/P19)^3+
Assumptions!$S$8*(AD19/(AQ19*Assumptions!$AB$8/100)/P19)^2+
Assumptions!$S$9*(AD19/(AQ19*Assumptions!$AB$8/100)/P19)+
Assumptions!$S$10),"")</f>
        <v/>
      </c>
      <c r="AP19" s="95" t="str">
        <f>IFERROR(AM19*
(Assumptions!$S$7*(AI19/(AQ19*Assumptions!$AB$10/100)/P19)^3+
Assumptions!$S$8*(AI19/(AQ19*Assumptions!$AB$10/100)/P19)^2+
Assumptions!$S$9*(AI19/(AQ19*Assumptions!$AB$10/100)/P19)+
Assumptions!$S$10),"")</f>
        <v/>
      </c>
      <c r="AQ19" s="95" t="str">
        <f>IFERROR(
Assumptions!$AD$8*LN(U19)^2+
Assumptions!$AE$8*LN(T19)*LN(U19)+
Assumptions!$AF$8*LN(T19)^2+
Assumptions!$AG$8*LN(U19)+
Assumptions!$AH$8*LN(T19)-
(IF(S19=1800,
VLOOKUP(C19,Assumptions!$AA$13:$AC$17,3),
IF(S19=3600,
VLOOKUP(C19,Assumptions!$AA$18:$AC$22,3),
""))+Assumptions!$AI$8),
"")</f>
        <v/>
      </c>
      <c r="AR19" s="96" t="str">
        <f>IFERROR(
Assumptions!$D$11*(Y19/(Assumptions!$AB$9*AQ19/100)+AN19)+
Assumptions!$D$10*(AD19/(Assumptions!$AB$8*AQ19/100)+AO19)+
Assumptions!$D$12*(AI19/(Assumptions!$AB$10*AQ19/100)+AP19),
"")</f>
        <v/>
      </c>
      <c r="AS19" s="76" t="str">
        <f>IFERROR(
(W19+X19)*Assumptions!$D$11+
(AB19+AC19)*Assumptions!$D$10+
(AG19+AH19)*Assumptions!$D$12,
"")</f>
        <v/>
      </c>
      <c r="AT19" s="77" t="str">
        <f t="shared" si="15"/>
        <v/>
      </c>
      <c r="AU19" s="68" t="str">
        <f t="shared" si="1"/>
        <v/>
      </c>
    </row>
    <row r="20" spans="1:47" s="7" customFormat="1" x14ac:dyDescent="0.25">
      <c r="A20" s="264"/>
      <c r="B20" s="265"/>
      <c r="C20" s="265"/>
      <c r="D20" s="265"/>
      <c r="E20" s="266"/>
      <c r="F20" s="270"/>
      <c r="G20" s="271"/>
      <c r="H20" s="271"/>
      <c r="I20" s="272"/>
      <c r="J20" s="270"/>
      <c r="K20" s="271"/>
      <c r="L20" s="272"/>
      <c r="M20" s="270"/>
      <c r="N20" s="271"/>
      <c r="O20" s="272"/>
      <c r="P20" s="290"/>
      <c r="Q20" s="291"/>
      <c r="R20" s="51" t="str">
        <f t="shared" si="0"/>
        <v/>
      </c>
      <c r="S20" s="84" t="str">
        <f t="shared" si="2"/>
        <v/>
      </c>
      <c r="T20" s="93" t="str">
        <f t="shared" si="3"/>
        <v/>
      </c>
      <c r="U20" s="100" t="str">
        <f t="shared" si="4"/>
        <v/>
      </c>
      <c r="V20" s="95" t="str">
        <f t="shared" si="5"/>
        <v/>
      </c>
      <c r="W20" s="95" t="str">
        <f t="shared" si="6"/>
        <v/>
      </c>
      <c r="X20" s="95" t="str">
        <f>IFERROR(AJ20*
(Assumptions!$S$7*(W20/P20)^3+
Assumptions!$S$8*(W20/P20)^2+
Assumptions!$S$9*(W20/P20)+
Assumptions!$S$10),
"")</f>
        <v/>
      </c>
      <c r="Y20" s="96" t="str">
        <f>IFERROR(U20*V20*Assumptions!$B$15/3956,"")</f>
        <v/>
      </c>
      <c r="Z20" s="102" t="str">
        <f t="shared" si="7"/>
        <v/>
      </c>
      <c r="AA20" s="95" t="str">
        <f t="shared" si="8"/>
        <v/>
      </c>
      <c r="AB20" s="95" t="str">
        <f t="shared" si="9"/>
        <v/>
      </c>
      <c r="AC20" s="95" t="str">
        <f>IFERROR(AJ20*
(Assumptions!$S$7*(AB20/P20)^3+
Assumptions!$S$8*(AB20/P20)^2+
Assumptions!$S$9*(AB20/P20)+
Assumptions!$S$10),
"")</f>
        <v/>
      </c>
      <c r="AD20" s="96" t="str">
        <f>IFERROR(Z20*AA20*Assumptions!$B$15/3956,"")</f>
        <v/>
      </c>
      <c r="AE20" s="102" t="str">
        <f t="shared" si="10"/>
        <v/>
      </c>
      <c r="AF20" s="95" t="str">
        <f t="shared" si="11"/>
        <v/>
      </c>
      <c r="AG20" s="95" t="str">
        <f t="shared" si="12"/>
        <v/>
      </c>
      <c r="AH20" s="95" t="str">
        <f>IFERROR(AJ20*
(Assumptions!$S$7*(AG20/P20)^3+
Assumptions!$S$8*(AG20/P20)^2+
Assumptions!$S$9*(AG20/P20)+
Assumptions!$S$10),
"")</f>
        <v/>
      </c>
      <c r="AI20" s="96" t="str">
        <f>IFERROR(AE20*AF20*Assumptions!$B$15/3956,"")</f>
        <v/>
      </c>
      <c r="AJ20" s="247" t="str">
        <f t="shared" si="13"/>
        <v/>
      </c>
      <c r="AK20" s="99" t="str">
        <f>IFERROR(
IF(C20="VTS",
IF(P20&gt;=AVERAGE(
INDEX(Assumptions!$I$38:$I$57,MATCH(P20,Assumptions!$I$38:$I$57,-1)),
INDEX(Assumptions!$I$38:$I$57,MATCH(P20,Assumptions!$I$38:$I$57,-1)+1)),
INDEX(Assumptions!$I$38:$I$57,MATCH(P20,Assumptions!$I$38:$I$57,-1)),
INDEX(Assumptions!$I$38:$I$57,MATCH(P20,Assumptions!$I$38:$I$57,-1)+1)),
IF(P20&gt;=AVERAGE(
INDEX(Assumptions!$I$13:$I$32,MATCH(P20,Assumptions!$I$13:$I$32,-1)),
INDEX(Assumptions!$I$13:$I$32,MATCH(P20,Assumptions!$I$13:$I$32,-1)+1)),
INDEX(Assumptions!$I$13:$I$32,MATCH(P20,Assumptions!$I$13:$I$32,-1)),
INDEX(Assumptions!$I$13:$I$32,MATCH(P20,Assumptions!$I$13:$I$32,-1)+1))),
"")</f>
        <v/>
      </c>
      <c r="AL20" s="95" t="str">
        <f>IFERROR(
IF(C20="VTS",
VLOOKUP(AK20,Assumptions!$I$38:$K$57,MATCH(R20,Assumptions!$I$37:$K$37,0),FALSE),
VLOOKUP(AK20,Assumptions!$I$13:$K$32,MATCH(R20,Assumptions!$I$12:$K$12,0),FALSE)),
"")</f>
        <v/>
      </c>
      <c r="AM20" s="95" t="str">
        <f t="shared" si="14"/>
        <v/>
      </c>
      <c r="AN20" s="95" t="str">
        <f>IFERROR(AM20*
(Assumptions!$S$7*(Y20/(AQ20*Assumptions!$AB$9/100)/P20)^3+
Assumptions!$S$8*(Y20/(AQ20*Assumptions!$AB$9/100)/P20)^2+
Assumptions!$S$9*(Y20/(AQ20*Assumptions!$AB$9/100)/P20)+
Assumptions!$S$10),"")</f>
        <v/>
      </c>
      <c r="AO20" s="95" t="str">
        <f>IFERROR(AM20*
(Assumptions!$S$7*(AD20/(AQ20*Assumptions!$AB$8/100)/P20)^3+
Assumptions!$S$8*(AD20/(AQ20*Assumptions!$AB$8/100)/P20)^2+
Assumptions!$S$9*(AD20/(AQ20*Assumptions!$AB$8/100)/P20)+
Assumptions!$S$10),"")</f>
        <v/>
      </c>
      <c r="AP20" s="95" t="str">
        <f>IFERROR(AM20*
(Assumptions!$S$7*(AI20/(AQ20*Assumptions!$AB$10/100)/P20)^3+
Assumptions!$S$8*(AI20/(AQ20*Assumptions!$AB$10/100)/P20)^2+
Assumptions!$S$9*(AI20/(AQ20*Assumptions!$AB$10/100)/P20)+
Assumptions!$S$10),"")</f>
        <v/>
      </c>
      <c r="AQ20" s="95" t="str">
        <f>IFERROR(
Assumptions!$AD$8*LN(U20)^2+
Assumptions!$AE$8*LN(T20)*LN(U20)+
Assumptions!$AF$8*LN(T20)^2+
Assumptions!$AG$8*LN(U20)+
Assumptions!$AH$8*LN(T20)-
(IF(S20=1800,
VLOOKUP(C20,Assumptions!$AA$13:$AC$17,3),
IF(S20=3600,
VLOOKUP(C20,Assumptions!$AA$18:$AC$22,3),
""))+Assumptions!$AI$8),
"")</f>
        <v/>
      </c>
      <c r="AR20" s="96" t="str">
        <f>IFERROR(
Assumptions!$D$11*(Y20/(Assumptions!$AB$9*AQ20/100)+AN20)+
Assumptions!$D$10*(AD20/(Assumptions!$AB$8*AQ20/100)+AO20)+
Assumptions!$D$12*(AI20/(Assumptions!$AB$10*AQ20/100)+AP20),
"")</f>
        <v/>
      </c>
      <c r="AS20" s="76" t="str">
        <f>IFERROR(
(W20+X20)*Assumptions!$D$11+
(AB20+AC20)*Assumptions!$D$10+
(AG20+AH20)*Assumptions!$D$12,
"")</f>
        <v/>
      </c>
      <c r="AT20" s="77" t="str">
        <f t="shared" si="15"/>
        <v/>
      </c>
      <c r="AU20" s="68" t="str">
        <f t="shared" si="1"/>
        <v/>
      </c>
    </row>
    <row r="21" spans="1:47" s="7" customFormat="1" x14ac:dyDescent="0.25">
      <c r="A21" s="264"/>
      <c r="B21" s="265"/>
      <c r="C21" s="265"/>
      <c r="D21" s="265"/>
      <c r="E21" s="266"/>
      <c r="F21" s="270"/>
      <c r="G21" s="271"/>
      <c r="H21" s="271"/>
      <c r="I21" s="272"/>
      <c r="J21" s="270"/>
      <c r="K21" s="271"/>
      <c r="L21" s="272"/>
      <c r="M21" s="270"/>
      <c r="N21" s="271"/>
      <c r="O21" s="272"/>
      <c r="P21" s="290"/>
      <c r="Q21" s="291"/>
      <c r="R21" s="51" t="str">
        <f t="shared" si="0"/>
        <v/>
      </c>
      <c r="S21" s="84" t="str">
        <f t="shared" si="2"/>
        <v/>
      </c>
      <c r="T21" s="93" t="str">
        <f t="shared" si="3"/>
        <v/>
      </c>
      <c r="U21" s="100" t="str">
        <f t="shared" si="4"/>
        <v/>
      </c>
      <c r="V21" s="95" t="str">
        <f t="shared" si="5"/>
        <v/>
      </c>
      <c r="W21" s="95" t="str">
        <f t="shared" si="6"/>
        <v/>
      </c>
      <c r="X21" s="95" t="str">
        <f>IFERROR(AJ21*
(Assumptions!$S$7*(W21/P21)^3+
Assumptions!$S$8*(W21/P21)^2+
Assumptions!$S$9*(W21/P21)+
Assumptions!$S$10),
"")</f>
        <v/>
      </c>
      <c r="Y21" s="96" t="str">
        <f>IFERROR(U21*V21*Assumptions!$B$15/3956,"")</f>
        <v/>
      </c>
      <c r="Z21" s="102" t="str">
        <f t="shared" si="7"/>
        <v/>
      </c>
      <c r="AA21" s="95" t="str">
        <f t="shared" si="8"/>
        <v/>
      </c>
      <c r="AB21" s="95" t="str">
        <f t="shared" si="9"/>
        <v/>
      </c>
      <c r="AC21" s="95" t="str">
        <f>IFERROR(AJ21*
(Assumptions!$S$7*(AB21/P21)^3+
Assumptions!$S$8*(AB21/P21)^2+
Assumptions!$S$9*(AB21/P21)+
Assumptions!$S$10),
"")</f>
        <v/>
      </c>
      <c r="AD21" s="96" t="str">
        <f>IFERROR(Z21*AA21*Assumptions!$B$15/3956,"")</f>
        <v/>
      </c>
      <c r="AE21" s="102" t="str">
        <f t="shared" si="10"/>
        <v/>
      </c>
      <c r="AF21" s="95" t="str">
        <f t="shared" si="11"/>
        <v/>
      </c>
      <c r="AG21" s="95" t="str">
        <f t="shared" si="12"/>
        <v/>
      </c>
      <c r="AH21" s="95" t="str">
        <f>IFERROR(AJ21*
(Assumptions!$S$7*(AG21/P21)^3+
Assumptions!$S$8*(AG21/P21)^2+
Assumptions!$S$9*(AG21/P21)+
Assumptions!$S$10),
"")</f>
        <v/>
      </c>
      <c r="AI21" s="96" t="str">
        <f>IFERROR(AE21*AF21*Assumptions!$B$15/3956,"")</f>
        <v/>
      </c>
      <c r="AJ21" s="247" t="str">
        <f t="shared" si="13"/>
        <v/>
      </c>
      <c r="AK21" s="99" t="str">
        <f>IFERROR(
IF(C21="VTS",
IF(P21&gt;=AVERAGE(
INDEX(Assumptions!$I$38:$I$57,MATCH(P21,Assumptions!$I$38:$I$57,-1)),
INDEX(Assumptions!$I$38:$I$57,MATCH(P21,Assumptions!$I$38:$I$57,-1)+1)),
INDEX(Assumptions!$I$38:$I$57,MATCH(P21,Assumptions!$I$38:$I$57,-1)),
INDEX(Assumptions!$I$38:$I$57,MATCH(P21,Assumptions!$I$38:$I$57,-1)+1)),
IF(P21&gt;=AVERAGE(
INDEX(Assumptions!$I$13:$I$32,MATCH(P21,Assumptions!$I$13:$I$32,-1)),
INDEX(Assumptions!$I$13:$I$32,MATCH(P21,Assumptions!$I$13:$I$32,-1)+1)),
INDEX(Assumptions!$I$13:$I$32,MATCH(P21,Assumptions!$I$13:$I$32,-1)),
INDEX(Assumptions!$I$13:$I$32,MATCH(P21,Assumptions!$I$13:$I$32,-1)+1))),
"")</f>
        <v/>
      </c>
      <c r="AL21" s="95" t="str">
        <f>IFERROR(
IF(C21="VTS",
VLOOKUP(AK21,Assumptions!$I$38:$K$57,MATCH(R21,Assumptions!$I$37:$K$37,0),FALSE),
VLOOKUP(AK21,Assumptions!$I$13:$K$32,MATCH(R21,Assumptions!$I$12:$K$12,0),FALSE)),
"")</f>
        <v/>
      </c>
      <c r="AM21" s="95" t="str">
        <f t="shared" si="14"/>
        <v/>
      </c>
      <c r="AN21" s="95" t="str">
        <f>IFERROR(AM21*
(Assumptions!$S$7*(Y21/(AQ21*Assumptions!$AB$9/100)/P21)^3+
Assumptions!$S$8*(Y21/(AQ21*Assumptions!$AB$9/100)/P21)^2+
Assumptions!$S$9*(Y21/(AQ21*Assumptions!$AB$9/100)/P21)+
Assumptions!$S$10),"")</f>
        <v/>
      </c>
      <c r="AO21" s="95" t="str">
        <f>IFERROR(AM21*
(Assumptions!$S$7*(AD21/(AQ21*Assumptions!$AB$8/100)/P21)^3+
Assumptions!$S$8*(AD21/(AQ21*Assumptions!$AB$8/100)/P21)^2+
Assumptions!$S$9*(AD21/(AQ21*Assumptions!$AB$8/100)/P21)+
Assumptions!$S$10),"")</f>
        <v/>
      </c>
      <c r="AP21" s="95" t="str">
        <f>IFERROR(AM21*
(Assumptions!$S$7*(AI21/(AQ21*Assumptions!$AB$10/100)/P21)^3+
Assumptions!$S$8*(AI21/(AQ21*Assumptions!$AB$10/100)/P21)^2+
Assumptions!$S$9*(AI21/(AQ21*Assumptions!$AB$10/100)/P21)+
Assumptions!$S$10),"")</f>
        <v/>
      </c>
      <c r="AQ21" s="95" t="str">
        <f>IFERROR(
Assumptions!$AD$8*LN(U21)^2+
Assumptions!$AE$8*LN(T21)*LN(U21)+
Assumptions!$AF$8*LN(T21)^2+
Assumptions!$AG$8*LN(U21)+
Assumptions!$AH$8*LN(T21)-
(IF(S21=1800,
VLOOKUP(C21,Assumptions!$AA$13:$AC$17,3),
IF(S21=3600,
VLOOKUP(C21,Assumptions!$AA$18:$AC$22,3),
""))+Assumptions!$AI$8),
"")</f>
        <v/>
      </c>
      <c r="AR21" s="96" t="str">
        <f>IFERROR(
Assumptions!$D$11*(Y21/(Assumptions!$AB$9*AQ21/100)+AN21)+
Assumptions!$D$10*(AD21/(Assumptions!$AB$8*AQ21/100)+AO21)+
Assumptions!$D$12*(AI21/(Assumptions!$AB$10*AQ21/100)+AP21),
"")</f>
        <v/>
      </c>
      <c r="AS21" s="76" t="str">
        <f>IFERROR(
(W21+X21)*Assumptions!$D$11+
(AB21+AC21)*Assumptions!$D$10+
(AG21+AH21)*Assumptions!$D$12,
"")</f>
        <v/>
      </c>
      <c r="AT21" s="77" t="str">
        <f t="shared" si="15"/>
        <v/>
      </c>
      <c r="AU21" s="68" t="str">
        <f t="shared" si="1"/>
        <v/>
      </c>
    </row>
    <row r="22" spans="1:47" s="7" customFormat="1" x14ac:dyDescent="0.25">
      <c r="A22" s="264"/>
      <c r="B22" s="265"/>
      <c r="C22" s="265"/>
      <c r="D22" s="265"/>
      <c r="E22" s="266"/>
      <c r="F22" s="270"/>
      <c r="G22" s="271"/>
      <c r="H22" s="271"/>
      <c r="I22" s="272"/>
      <c r="J22" s="270"/>
      <c r="K22" s="271"/>
      <c r="L22" s="272"/>
      <c r="M22" s="270"/>
      <c r="N22" s="271"/>
      <c r="O22" s="272"/>
      <c r="P22" s="290"/>
      <c r="Q22" s="291"/>
      <c r="R22" s="51" t="str">
        <f t="shared" si="0"/>
        <v/>
      </c>
      <c r="S22" s="84" t="str">
        <f t="shared" si="2"/>
        <v/>
      </c>
      <c r="T22" s="93" t="str">
        <f t="shared" si="3"/>
        <v/>
      </c>
      <c r="U22" s="100" t="str">
        <f t="shared" si="4"/>
        <v/>
      </c>
      <c r="V22" s="95" t="str">
        <f t="shared" si="5"/>
        <v/>
      </c>
      <c r="W22" s="95" t="str">
        <f t="shared" si="6"/>
        <v/>
      </c>
      <c r="X22" s="95" t="str">
        <f>IFERROR(AJ22*
(Assumptions!$S$7*(W22/P22)^3+
Assumptions!$S$8*(W22/P22)^2+
Assumptions!$S$9*(W22/P22)+
Assumptions!$S$10),
"")</f>
        <v/>
      </c>
      <c r="Y22" s="96" t="str">
        <f>IFERROR(U22*V22*Assumptions!$B$15/3956,"")</f>
        <v/>
      </c>
      <c r="Z22" s="102" t="str">
        <f t="shared" si="7"/>
        <v/>
      </c>
      <c r="AA22" s="95" t="str">
        <f t="shared" si="8"/>
        <v/>
      </c>
      <c r="AB22" s="95" t="str">
        <f t="shared" si="9"/>
        <v/>
      </c>
      <c r="AC22" s="95" t="str">
        <f>IFERROR(AJ22*
(Assumptions!$S$7*(AB22/P22)^3+
Assumptions!$S$8*(AB22/P22)^2+
Assumptions!$S$9*(AB22/P22)+
Assumptions!$S$10),
"")</f>
        <v/>
      </c>
      <c r="AD22" s="96" t="str">
        <f>IFERROR(Z22*AA22*Assumptions!$B$15/3956,"")</f>
        <v/>
      </c>
      <c r="AE22" s="102" t="str">
        <f t="shared" si="10"/>
        <v/>
      </c>
      <c r="AF22" s="95" t="str">
        <f t="shared" si="11"/>
        <v/>
      </c>
      <c r="AG22" s="95" t="str">
        <f t="shared" si="12"/>
        <v/>
      </c>
      <c r="AH22" s="95" t="str">
        <f>IFERROR(AJ22*
(Assumptions!$S$7*(AG22/P22)^3+
Assumptions!$S$8*(AG22/P22)^2+
Assumptions!$S$9*(AG22/P22)+
Assumptions!$S$10),
"")</f>
        <v/>
      </c>
      <c r="AI22" s="96" t="str">
        <f>IFERROR(AE22*AF22*Assumptions!$B$15/3956,"")</f>
        <v/>
      </c>
      <c r="AJ22" s="247" t="str">
        <f t="shared" si="13"/>
        <v/>
      </c>
      <c r="AK22" s="99" t="str">
        <f>IFERROR(
IF(C22="VTS",
IF(P22&gt;=AVERAGE(
INDEX(Assumptions!$I$38:$I$57,MATCH(P22,Assumptions!$I$38:$I$57,-1)),
INDEX(Assumptions!$I$38:$I$57,MATCH(P22,Assumptions!$I$38:$I$57,-1)+1)),
INDEX(Assumptions!$I$38:$I$57,MATCH(P22,Assumptions!$I$38:$I$57,-1)),
INDEX(Assumptions!$I$38:$I$57,MATCH(P22,Assumptions!$I$38:$I$57,-1)+1)),
IF(P22&gt;=AVERAGE(
INDEX(Assumptions!$I$13:$I$32,MATCH(P22,Assumptions!$I$13:$I$32,-1)),
INDEX(Assumptions!$I$13:$I$32,MATCH(P22,Assumptions!$I$13:$I$32,-1)+1)),
INDEX(Assumptions!$I$13:$I$32,MATCH(P22,Assumptions!$I$13:$I$32,-1)),
INDEX(Assumptions!$I$13:$I$32,MATCH(P22,Assumptions!$I$13:$I$32,-1)+1))),
"")</f>
        <v/>
      </c>
      <c r="AL22" s="95" t="str">
        <f>IFERROR(
IF(C22="VTS",
VLOOKUP(AK22,Assumptions!$I$38:$K$57,MATCH(R22,Assumptions!$I$37:$K$37,0),FALSE),
VLOOKUP(AK22,Assumptions!$I$13:$K$32,MATCH(R22,Assumptions!$I$12:$K$12,0),FALSE)),
"")</f>
        <v/>
      </c>
      <c r="AM22" s="95" t="str">
        <f t="shared" si="14"/>
        <v/>
      </c>
      <c r="AN22" s="95" t="str">
        <f>IFERROR(AM22*
(Assumptions!$S$7*(Y22/(AQ22*Assumptions!$AB$9/100)/P22)^3+
Assumptions!$S$8*(Y22/(AQ22*Assumptions!$AB$9/100)/P22)^2+
Assumptions!$S$9*(Y22/(AQ22*Assumptions!$AB$9/100)/P22)+
Assumptions!$S$10),"")</f>
        <v/>
      </c>
      <c r="AO22" s="95" t="str">
        <f>IFERROR(AM22*
(Assumptions!$S$7*(AD22/(AQ22*Assumptions!$AB$8/100)/P22)^3+
Assumptions!$S$8*(AD22/(AQ22*Assumptions!$AB$8/100)/P22)^2+
Assumptions!$S$9*(AD22/(AQ22*Assumptions!$AB$8/100)/P22)+
Assumptions!$S$10),"")</f>
        <v/>
      </c>
      <c r="AP22" s="95" t="str">
        <f>IFERROR(AM22*
(Assumptions!$S$7*(AI22/(AQ22*Assumptions!$AB$10/100)/P22)^3+
Assumptions!$S$8*(AI22/(AQ22*Assumptions!$AB$10/100)/P22)^2+
Assumptions!$S$9*(AI22/(AQ22*Assumptions!$AB$10/100)/P22)+
Assumptions!$S$10),"")</f>
        <v/>
      </c>
      <c r="AQ22" s="95" t="str">
        <f>IFERROR(
Assumptions!$AD$8*LN(U22)^2+
Assumptions!$AE$8*LN(T22)*LN(U22)+
Assumptions!$AF$8*LN(T22)^2+
Assumptions!$AG$8*LN(U22)+
Assumptions!$AH$8*LN(T22)-
(IF(S22=1800,
VLOOKUP(C22,Assumptions!$AA$13:$AC$17,3),
IF(S22=3600,
VLOOKUP(C22,Assumptions!$AA$18:$AC$22,3),
""))+Assumptions!$AI$8),
"")</f>
        <v/>
      </c>
      <c r="AR22" s="96" t="str">
        <f>IFERROR(
Assumptions!$D$11*(Y22/(Assumptions!$AB$9*AQ22/100)+AN22)+
Assumptions!$D$10*(AD22/(Assumptions!$AB$8*AQ22/100)+AO22)+
Assumptions!$D$12*(AI22/(Assumptions!$AB$10*AQ22/100)+AP22),
"")</f>
        <v/>
      </c>
      <c r="AS22" s="76" t="str">
        <f>IFERROR(
(W22+X22)*Assumptions!$D$11+
(AB22+AC22)*Assumptions!$D$10+
(AG22+AH22)*Assumptions!$D$12,
"")</f>
        <v/>
      </c>
      <c r="AT22" s="77" t="str">
        <f t="shared" si="15"/>
        <v/>
      </c>
      <c r="AU22" s="68" t="str">
        <f t="shared" si="1"/>
        <v/>
      </c>
    </row>
    <row r="23" spans="1:47" s="7" customFormat="1" x14ac:dyDescent="0.25">
      <c r="A23" s="264"/>
      <c r="B23" s="265"/>
      <c r="C23" s="265"/>
      <c r="D23" s="265"/>
      <c r="E23" s="266"/>
      <c r="F23" s="270"/>
      <c r="G23" s="271"/>
      <c r="H23" s="271"/>
      <c r="I23" s="272"/>
      <c r="J23" s="270"/>
      <c r="K23" s="271"/>
      <c r="L23" s="272"/>
      <c r="M23" s="270"/>
      <c r="N23" s="271"/>
      <c r="O23" s="272"/>
      <c r="P23" s="290"/>
      <c r="Q23" s="291"/>
      <c r="R23" s="51" t="str">
        <f t="shared" si="0"/>
        <v/>
      </c>
      <c r="S23" s="84" t="str">
        <f t="shared" si="2"/>
        <v/>
      </c>
      <c r="T23" s="93" t="str">
        <f t="shared" si="3"/>
        <v/>
      </c>
      <c r="U23" s="100" t="str">
        <f t="shared" si="4"/>
        <v/>
      </c>
      <c r="V23" s="95" t="str">
        <f t="shared" si="5"/>
        <v/>
      </c>
      <c r="W23" s="95" t="str">
        <f t="shared" si="6"/>
        <v/>
      </c>
      <c r="X23" s="95" t="str">
        <f>IFERROR(AJ23*
(Assumptions!$S$7*(W23/P23)^3+
Assumptions!$S$8*(W23/P23)^2+
Assumptions!$S$9*(W23/P23)+
Assumptions!$S$10),
"")</f>
        <v/>
      </c>
      <c r="Y23" s="96" t="str">
        <f>IFERROR(U23*V23*Assumptions!$B$15/3956,"")</f>
        <v/>
      </c>
      <c r="Z23" s="102" t="str">
        <f t="shared" si="7"/>
        <v/>
      </c>
      <c r="AA23" s="95" t="str">
        <f t="shared" si="8"/>
        <v/>
      </c>
      <c r="AB23" s="95" t="str">
        <f t="shared" si="9"/>
        <v/>
      </c>
      <c r="AC23" s="95" t="str">
        <f>IFERROR(AJ23*
(Assumptions!$S$7*(AB23/P23)^3+
Assumptions!$S$8*(AB23/P23)^2+
Assumptions!$S$9*(AB23/P23)+
Assumptions!$S$10),
"")</f>
        <v/>
      </c>
      <c r="AD23" s="96" t="str">
        <f>IFERROR(Z23*AA23*Assumptions!$B$15/3956,"")</f>
        <v/>
      </c>
      <c r="AE23" s="102" t="str">
        <f t="shared" si="10"/>
        <v/>
      </c>
      <c r="AF23" s="95" t="str">
        <f t="shared" si="11"/>
        <v/>
      </c>
      <c r="AG23" s="95" t="str">
        <f t="shared" si="12"/>
        <v/>
      </c>
      <c r="AH23" s="95" t="str">
        <f>IFERROR(AJ23*
(Assumptions!$S$7*(AG23/P23)^3+
Assumptions!$S$8*(AG23/P23)^2+
Assumptions!$S$9*(AG23/P23)+
Assumptions!$S$10),
"")</f>
        <v/>
      </c>
      <c r="AI23" s="96" t="str">
        <f>IFERROR(AE23*AF23*Assumptions!$B$15/3956,"")</f>
        <v/>
      </c>
      <c r="AJ23" s="247" t="str">
        <f t="shared" si="13"/>
        <v/>
      </c>
      <c r="AK23" s="99" t="str">
        <f>IFERROR(
IF(C23="VTS",
IF(P23&gt;=AVERAGE(
INDEX(Assumptions!$I$38:$I$57,MATCH(P23,Assumptions!$I$38:$I$57,-1)),
INDEX(Assumptions!$I$38:$I$57,MATCH(P23,Assumptions!$I$38:$I$57,-1)+1)),
INDEX(Assumptions!$I$38:$I$57,MATCH(P23,Assumptions!$I$38:$I$57,-1)),
INDEX(Assumptions!$I$38:$I$57,MATCH(P23,Assumptions!$I$38:$I$57,-1)+1)),
IF(P23&gt;=AVERAGE(
INDEX(Assumptions!$I$13:$I$32,MATCH(P23,Assumptions!$I$13:$I$32,-1)),
INDEX(Assumptions!$I$13:$I$32,MATCH(P23,Assumptions!$I$13:$I$32,-1)+1)),
INDEX(Assumptions!$I$13:$I$32,MATCH(P23,Assumptions!$I$13:$I$32,-1)),
INDEX(Assumptions!$I$13:$I$32,MATCH(P23,Assumptions!$I$13:$I$32,-1)+1))),
"")</f>
        <v/>
      </c>
      <c r="AL23" s="95" t="str">
        <f>IFERROR(
IF(C23="VTS",
VLOOKUP(AK23,Assumptions!$I$38:$K$57,MATCH(R23,Assumptions!$I$37:$K$37,0),FALSE),
VLOOKUP(AK23,Assumptions!$I$13:$K$32,MATCH(R23,Assumptions!$I$12:$K$12,0),FALSE)),
"")</f>
        <v/>
      </c>
      <c r="AM23" s="95" t="str">
        <f t="shared" si="14"/>
        <v/>
      </c>
      <c r="AN23" s="95" t="str">
        <f>IFERROR(AM23*
(Assumptions!$S$7*(Y23/(AQ23*Assumptions!$AB$9/100)/P23)^3+
Assumptions!$S$8*(Y23/(AQ23*Assumptions!$AB$9/100)/P23)^2+
Assumptions!$S$9*(Y23/(AQ23*Assumptions!$AB$9/100)/P23)+
Assumptions!$S$10),"")</f>
        <v/>
      </c>
      <c r="AO23" s="95" t="str">
        <f>IFERROR(AM23*
(Assumptions!$S$7*(AD23/(AQ23*Assumptions!$AB$8/100)/P23)^3+
Assumptions!$S$8*(AD23/(AQ23*Assumptions!$AB$8/100)/P23)^2+
Assumptions!$S$9*(AD23/(AQ23*Assumptions!$AB$8/100)/P23)+
Assumptions!$S$10),"")</f>
        <v/>
      </c>
      <c r="AP23" s="95" t="str">
        <f>IFERROR(AM23*
(Assumptions!$S$7*(AI23/(AQ23*Assumptions!$AB$10/100)/P23)^3+
Assumptions!$S$8*(AI23/(AQ23*Assumptions!$AB$10/100)/P23)^2+
Assumptions!$S$9*(AI23/(AQ23*Assumptions!$AB$10/100)/P23)+
Assumptions!$S$10),"")</f>
        <v/>
      </c>
      <c r="AQ23" s="95" t="str">
        <f>IFERROR(
Assumptions!$AD$8*LN(U23)^2+
Assumptions!$AE$8*LN(T23)*LN(U23)+
Assumptions!$AF$8*LN(T23)^2+
Assumptions!$AG$8*LN(U23)+
Assumptions!$AH$8*LN(T23)-
(IF(S23=1800,
VLOOKUP(C23,Assumptions!$AA$13:$AC$17,3),
IF(S23=3600,
VLOOKUP(C23,Assumptions!$AA$18:$AC$22,3),
""))+Assumptions!$AI$8),
"")</f>
        <v/>
      </c>
      <c r="AR23" s="96" t="str">
        <f>IFERROR(
Assumptions!$D$11*(Y23/(Assumptions!$AB$9*AQ23/100)+AN23)+
Assumptions!$D$10*(AD23/(Assumptions!$AB$8*AQ23/100)+AO23)+
Assumptions!$D$12*(AI23/(Assumptions!$AB$10*AQ23/100)+AP23),
"")</f>
        <v/>
      </c>
      <c r="AS23" s="76" t="str">
        <f>IFERROR(
(W23+X23)*Assumptions!$D$11+
(AB23+AC23)*Assumptions!$D$10+
(AG23+AH23)*Assumptions!$D$12,
"")</f>
        <v/>
      </c>
      <c r="AT23" s="77" t="str">
        <f t="shared" si="15"/>
        <v/>
      </c>
      <c r="AU23" s="68" t="str">
        <f t="shared" si="1"/>
        <v/>
      </c>
    </row>
    <row r="24" spans="1:47" s="7" customFormat="1" x14ac:dyDescent="0.25">
      <c r="A24" s="264"/>
      <c r="B24" s="265"/>
      <c r="C24" s="265"/>
      <c r="D24" s="265"/>
      <c r="E24" s="266"/>
      <c r="F24" s="270"/>
      <c r="G24" s="271"/>
      <c r="H24" s="271"/>
      <c r="I24" s="272"/>
      <c r="J24" s="270"/>
      <c r="K24" s="271"/>
      <c r="L24" s="272"/>
      <c r="M24" s="270"/>
      <c r="N24" s="271"/>
      <c r="O24" s="272"/>
      <c r="P24" s="290"/>
      <c r="Q24" s="291"/>
      <c r="R24" s="51" t="str">
        <f t="shared" si="0"/>
        <v/>
      </c>
      <c r="S24" s="84" t="str">
        <f t="shared" si="2"/>
        <v/>
      </c>
      <c r="T24" s="93" t="str">
        <f t="shared" si="3"/>
        <v/>
      </c>
      <c r="U24" s="100" t="str">
        <f t="shared" si="4"/>
        <v/>
      </c>
      <c r="V24" s="95" t="str">
        <f t="shared" si="5"/>
        <v/>
      </c>
      <c r="W24" s="95" t="str">
        <f t="shared" si="6"/>
        <v/>
      </c>
      <c r="X24" s="95" t="str">
        <f>IFERROR(AJ24*
(Assumptions!$S$7*(W24/P24)^3+
Assumptions!$S$8*(W24/P24)^2+
Assumptions!$S$9*(W24/P24)+
Assumptions!$S$10),
"")</f>
        <v/>
      </c>
      <c r="Y24" s="96" t="str">
        <f>IFERROR(U24*V24*Assumptions!$B$15/3956,"")</f>
        <v/>
      </c>
      <c r="Z24" s="102" t="str">
        <f t="shared" si="7"/>
        <v/>
      </c>
      <c r="AA24" s="95" t="str">
        <f t="shared" si="8"/>
        <v/>
      </c>
      <c r="AB24" s="95" t="str">
        <f t="shared" si="9"/>
        <v/>
      </c>
      <c r="AC24" s="95" t="str">
        <f>IFERROR(AJ24*
(Assumptions!$S$7*(AB24/P24)^3+
Assumptions!$S$8*(AB24/P24)^2+
Assumptions!$S$9*(AB24/P24)+
Assumptions!$S$10),
"")</f>
        <v/>
      </c>
      <c r="AD24" s="96" t="str">
        <f>IFERROR(Z24*AA24*Assumptions!$B$15/3956,"")</f>
        <v/>
      </c>
      <c r="AE24" s="102" t="str">
        <f t="shared" si="10"/>
        <v/>
      </c>
      <c r="AF24" s="95" t="str">
        <f t="shared" si="11"/>
        <v/>
      </c>
      <c r="AG24" s="95" t="str">
        <f t="shared" si="12"/>
        <v/>
      </c>
      <c r="AH24" s="95" t="str">
        <f>IFERROR(AJ24*
(Assumptions!$S$7*(AG24/P24)^3+
Assumptions!$S$8*(AG24/P24)^2+
Assumptions!$S$9*(AG24/P24)+
Assumptions!$S$10),
"")</f>
        <v/>
      </c>
      <c r="AI24" s="96" t="str">
        <f>IFERROR(AE24*AF24*Assumptions!$B$15/3956,"")</f>
        <v/>
      </c>
      <c r="AJ24" s="247" t="str">
        <f t="shared" si="13"/>
        <v/>
      </c>
      <c r="AK24" s="99" t="str">
        <f>IFERROR(
IF(C24="VTS",
IF(P24&gt;=AVERAGE(
INDEX(Assumptions!$I$38:$I$57,MATCH(P24,Assumptions!$I$38:$I$57,-1)),
INDEX(Assumptions!$I$38:$I$57,MATCH(P24,Assumptions!$I$38:$I$57,-1)+1)),
INDEX(Assumptions!$I$38:$I$57,MATCH(P24,Assumptions!$I$38:$I$57,-1)),
INDEX(Assumptions!$I$38:$I$57,MATCH(P24,Assumptions!$I$38:$I$57,-1)+1)),
IF(P24&gt;=AVERAGE(
INDEX(Assumptions!$I$13:$I$32,MATCH(P24,Assumptions!$I$13:$I$32,-1)),
INDEX(Assumptions!$I$13:$I$32,MATCH(P24,Assumptions!$I$13:$I$32,-1)+1)),
INDEX(Assumptions!$I$13:$I$32,MATCH(P24,Assumptions!$I$13:$I$32,-1)),
INDEX(Assumptions!$I$13:$I$32,MATCH(P24,Assumptions!$I$13:$I$32,-1)+1))),
"")</f>
        <v/>
      </c>
      <c r="AL24" s="95" t="str">
        <f>IFERROR(
IF(C24="VTS",
VLOOKUP(AK24,Assumptions!$I$38:$K$57,MATCH(R24,Assumptions!$I$37:$K$37,0),FALSE),
VLOOKUP(AK24,Assumptions!$I$13:$K$32,MATCH(R24,Assumptions!$I$12:$K$12,0),FALSE)),
"")</f>
        <v/>
      </c>
      <c r="AM24" s="95" t="str">
        <f t="shared" si="14"/>
        <v/>
      </c>
      <c r="AN24" s="95" t="str">
        <f>IFERROR(AM24*
(Assumptions!$S$7*(Y24/(AQ24*Assumptions!$AB$9/100)/P24)^3+
Assumptions!$S$8*(Y24/(AQ24*Assumptions!$AB$9/100)/P24)^2+
Assumptions!$S$9*(Y24/(AQ24*Assumptions!$AB$9/100)/P24)+
Assumptions!$S$10),"")</f>
        <v/>
      </c>
      <c r="AO24" s="95" t="str">
        <f>IFERROR(AM24*
(Assumptions!$S$7*(AD24/(AQ24*Assumptions!$AB$8/100)/P24)^3+
Assumptions!$S$8*(AD24/(AQ24*Assumptions!$AB$8/100)/P24)^2+
Assumptions!$S$9*(AD24/(AQ24*Assumptions!$AB$8/100)/P24)+
Assumptions!$S$10),"")</f>
        <v/>
      </c>
      <c r="AP24" s="95" t="str">
        <f>IFERROR(AM24*
(Assumptions!$S$7*(AI24/(AQ24*Assumptions!$AB$10/100)/P24)^3+
Assumptions!$S$8*(AI24/(AQ24*Assumptions!$AB$10/100)/P24)^2+
Assumptions!$S$9*(AI24/(AQ24*Assumptions!$AB$10/100)/P24)+
Assumptions!$S$10),"")</f>
        <v/>
      </c>
      <c r="AQ24" s="95" t="str">
        <f>IFERROR(
Assumptions!$AD$8*LN(U24)^2+
Assumptions!$AE$8*LN(T24)*LN(U24)+
Assumptions!$AF$8*LN(T24)^2+
Assumptions!$AG$8*LN(U24)+
Assumptions!$AH$8*LN(T24)-
(IF(S24=1800,
VLOOKUP(C24,Assumptions!$AA$13:$AC$17,3),
IF(S24=3600,
VLOOKUP(C24,Assumptions!$AA$18:$AC$22,3),
""))+Assumptions!$AI$8),
"")</f>
        <v/>
      </c>
      <c r="AR24" s="96" t="str">
        <f>IFERROR(
Assumptions!$D$11*(Y24/(Assumptions!$AB$9*AQ24/100)+AN24)+
Assumptions!$D$10*(AD24/(Assumptions!$AB$8*AQ24/100)+AO24)+
Assumptions!$D$12*(AI24/(Assumptions!$AB$10*AQ24/100)+AP24),
"")</f>
        <v/>
      </c>
      <c r="AS24" s="76" t="str">
        <f>IFERROR(
(W24+X24)*Assumptions!$D$11+
(AB24+AC24)*Assumptions!$D$10+
(AG24+AH24)*Assumptions!$D$12,
"")</f>
        <v/>
      </c>
      <c r="AT24" s="77" t="str">
        <f t="shared" si="15"/>
        <v/>
      </c>
      <c r="AU24" s="68" t="str">
        <f t="shared" si="1"/>
        <v/>
      </c>
    </row>
    <row r="25" spans="1:47" s="7" customFormat="1" x14ac:dyDescent="0.25">
      <c r="A25" s="264"/>
      <c r="B25" s="265"/>
      <c r="C25" s="265"/>
      <c r="D25" s="265"/>
      <c r="E25" s="266"/>
      <c r="F25" s="270"/>
      <c r="G25" s="271"/>
      <c r="H25" s="271"/>
      <c r="I25" s="272"/>
      <c r="J25" s="270"/>
      <c r="K25" s="271"/>
      <c r="L25" s="272"/>
      <c r="M25" s="270"/>
      <c r="N25" s="271"/>
      <c r="O25" s="272"/>
      <c r="P25" s="290"/>
      <c r="Q25" s="291"/>
      <c r="R25" s="51" t="str">
        <f t="shared" si="0"/>
        <v/>
      </c>
      <c r="S25" s="84" t="str">
        <f t="shared" si="2"/>
        <v/>
      </c>
      <c r="T25" s="93" t="str">
        <f t="shared" si="3"/>
        <v/>
      </c>
      <c r="U25" s="100" t="str">
        <f t="shared" si="4"/>
        <v/>
      </c>
      <c r="V25" s="95" t="str">
        <f t="shared" si="5"/>
        <v/>
      </c>
      <c r="W25" s="95" t="str">
        <f t="shared" si="6"/>
        <v/>
      </c>
      <c r="X25" s="95" t="str">
        <f>IFERROR(AJ25*
(Assumptions!$S$7*(W25/P25)^3+
Assumptions!$S$8*(W25/P25)^2+
Assumptions!$S$9*(W25/P25)+
Assumptions!$S$10),
"")</f>
        <v/>
      </c>
      <c r="Y25" s="96" t="str">
        <f>IFERROR(U25*V25*Assumptions!$B$15/3956,"")</f>
        <v/>
      </c>
      <c r="Z25" s="102" t="str">
        <f t="shared" si="7"/>
        <v/>
      </c>
      <c r="AA25" s="95" t="str">
        <f t="shared" si="8"/>
        <v/>
      </c>
      <c r="AB25" s="95" t="str">
        <f t="shared" si="9"/>
        <v/>
      </c>
      <c r="AC25" s="95" t="str">
        <f>IFERROR(AJ25*
(Assumptions!$S$7*(AB25/P25)^3+
Assumptions!$S$8*(AB25/P25)^2+
Assumptions!$S$9*(AB25/P25)+
Assumptions!$S$10),
"")</f>
        <v/>
      </c>
      <c r="AD25" s="96" t="str">
        <f>IFERROR(Z25*AA25*Assumptions!$B$15/3956,"")</f>
        <v/>
      </c>
      <c r="AE25" s="102" t="str">
        <f t="shared" si="10"/>
        <v/>
      </c>
      <c r="AF25" s="95" t="str">
        <f t="shared" si="11"/>
        <v/>
      </c>
      <c r="AG25" s="95" t="str">
        <f t="shared" si="12"/>
        <v/>
      </c>
      <c r="AH25" s="95" t="str">
        <f>IFERROR(AJ25*
(Assumptions!$S$7*(AG25/P25)^3+
Assumptions!$S$8*(AG25/P25)^2+
Assumptions!$S$9*(AG25/P25)+
Assumptions!$S$10),
"")</f>
        <v/>
      </c>
      <c r="AI25" s="96" t="str">
        <f>IFERROR(AE25*AF25*Assumptions!$B$15/3956,"")</f>
        <v/>
      </c>
      <c r="AJ25" s="247" t="str">
        <f t="shared" si="13"/>
        <v/>
      </c>
      <c r="AK25" s="99" t="str">
        <f>IFERROR(
IF(C25="VTS",
IF(P25&gt;=AVERAGE(
INDEX(Assumptions!$I$38:$I$57,MATCH(P25,Assumptions!$I$38:$I$57,-1)),
INDEX(Assumptions!$I$38:$I$57,MATCH(P25,Assumptions!$I$38:$I$57,-1)+1)),
INDEX(Assumptions!$I$38:$I$57,MATCH(P25,Assumptions!$I$38:$I$57,-1)),
INDEX(Assumptions!$I$38:$I$57,MATCH(P25,Assumptions!$I$38:$I$57,-1)+1)),
IF(P25&gt;=AVERAGE(
INDEX(Assumptions!$I$13:$I$32,MATCH(P25,Assumptions!$I$13:$I$32,-1)),
INDEX(Assumptions!$I$13:$I$32,MATCH(P25,Assumptions!$I$13:$I$32,-1)+1)),
INDEX(Assumptions!$I$13:$I$32,MATCH(P25,Assumptions!$I$13:$I$32,-1)),
INDEX(Assumptions!$I$13:$I$32,MATCH(P25,Assumptions!$I$13:$I$32,-1)+1))),
"")</f>
        <v/>
      </c>
      <c r="AL25" s="95" t="str">
        <f>IFERROR(
IF(C25="VTS",
VLOOKUP(AK25,Assumptions!$I$38:$K$57,MATCH(R25,Assumptions!$I$37:$K$37,0),FALSE),
VLOOKUP(AK25,Assumptions!$I$13:$K$32,MATCH(R25,Assumptions!$I$12:$K$12,0),FALSE)),
"")</f>
        <v/>
      </c>
      <c r="AM25" s="95" t="str">
        <f t="shared" si="14"/>
        <v/>
      </c>
      <c r="AN25" s="95" t="str">
        <f>IFERROR(AM25*
(Assumptions!$S$7*(Y25/(AQ25*Assumptions!$AB$9/100)/P25)^3+
Assumptions!$S$8*(Y25/(AQ25*Assumptions!$AB$9/100)/P25)^2+
Assumptions!$S$9*(Y25/(AQ25*Assumptions!$AB$9/100)/P25)+
Assumptions!$S$10),"")</f>
        <v/>
      </c>
      <c r="AO25" s="95" t="str">
        <f>IFERROR(AM25*
(Assumptions!$S$7*(AD25/(AQ25*Assumptions!$AB$8/100)/P25)^3+
Assumptions!$S$8*(AD25/(AQ25*Assumptions!$AB$8/100)/P25)^2+
Assumptions!$S$9*(AD25/(AQ25*Assumptions!$AB$8/100)/P25)+
Assumptions!$S$10),"")</f>
        <v/>
      </c>
      <c r="AP25" s="95" t="str">
        <f>IFERROR(AM25*
(Assumptions!$S$7*(AI25/(AQ25*Assumptions!$AB$10/100)/P25)^3+
Assumptions!$S$8*(AI25/(AQ25*Assumptions!$AB$10/100)/P25)^2+
Assumptions!$S$9*(AI25/(AQ25*Assumptions!$AB$10/100)/P25)+
Assumptions!$S$10),"")</f>
        <v/>
      </c>
      <c r="AQ25" s="95" t="str">
        <f>IFERROR(
Assumptions!$AD$8*LN(U25)^2+
Assumptions!$AE$8*LN(T25)*LN(U25)+
Assumptions!$AF$8*LN(T25)^2+
Assumptions!$AG$8*LN(U25)+
Assumptions!$AH$8*LN(T25)-
(IF(S25=1800,
VLOOKUP(C25,Assumptions!$AA$13:$AC$17,3),
IF(S25=3600,
VLOOKUP(C25,Assumptions!$AA$18:$AC$22,3),
""))+Assumptions!$AI$8),
"")</f>
        <v/>
      </c>
      <c r="AR25" s="96" t="str">
        <f>IFERROR(
Assumptions!$D$11*(Y25/(Assumptions!$AB$9*AQ25/100)+AN25)+
Assumptions!$D$10*(AD25/(Assumptions!$AB$8*AQ25/100)+AO25)+
Assumptions!$D$12*(AI25/(Assumptions!$AB$10*AQ25/100)+AP25),
"")</f>
        <v/>
      </c>
      <c r="AS25" s="76" t="str">
        <f>IFERROR(
(W25+X25)*Assumptions!$D$11+
(AB25+AC25)*Assumptions!$D$10+
(AG25+AH25)*Assumptions!$D$12,
"")</f>
        <v/>
      </c>
      <c r="AT25" s="77" t="str">
        <f t="shared" si="15"/>
        <v/>
      </c>
      <c r="AU25" s="68" t="str">
        <f t="shared" si="1"/>
        <v/>
      </c>
    </row>
    <row r="26" spans="1:47" s="7" customFormat="1" x14ac:dyDescent="0.25">
      <c r="A26" s="264"/>
      <c r="B26" s="265"/>
      <c r="C26" s="265"/>
      <c r="D26" s="265"/>
      <c r="E26" s="266"/>
      <c r="F26" s="270"/>
      <c r="G26" s="271"/>
      <c r="H26" s="271"/>
      <c r="I26" s="272"/>
      <c r="J26" s="270"/>
      <c r="K26" s="271"/>
      <c r="L26" s="272"/>
      <c r="M26" s="270"/>
      <c r="N26" s="271"/>
      <c r="O26" s="272"/>
      <c r="P26" s="290"/>
      <c r="Q26" s="291"/>
      <c r="R26" s="51" t="str">
        <f t="shared" si="0"/>
        <v/>
      </c>
      <c r="S26" s="84" t="str">
        <f t="shared" si="2"/>
        <v/>
      </c>
      <c r="T26" s="93" t="str">
        <f t="shared" si="3"/>
        <v/>
      </c>
      <c r="U26" s="100" t="str">
        <f t="shared" si="4"/>
        <v/>
      </c>
      <c r="V26" s="95" t="str">
        <f t="shared" si="5"/>
        <v/>
      </c>
      <c r="W26" s="95" t="str">
        <f t="shared" si="6"/>
        <v/>
      </c>
      <c r="X26" s="95" t="str">
        <f>IFERROR(AJ26*
(Assumptions!$S$7*(W26/P26)^3+
Assumptions!$S$8*(W26/P26)^2+
Assumptions!$S$9*(W26/P26)+
Assumptions!$S$10),
"")</f>
        <v/>
      </c>
      <c r="Y26" s="96" t="str">
        <f>IFERROR(U26*V26*Assumptions!$B$15/3956,"")</f>
        <v/>
      </c>
      <c r="Z26" s="102" t="str">
        <f t="shared" si="7"/>
        <v/>
      </c>
      <c r="AA26" s="95" t="str">
        <f t="shared" si="8"/>
        <v/>
      </c>
      <c r="AB26" s="95" t="str">
        <f t="shared" si="9"/>
        <v/>
      </c>
      <c r="AC26" s="95" t="str">
        <f>IFERROR(AJ26*
(Assumptions!$S$7*(AB26/P26)^3+
Assumptions!$S$8*(AB26/P26)^2+
Assumptions!$S$9*(AB26/P26)+
Assumptions!$S$10),
"")</f>
        <v/>
      </c>
      <c r="AD26" s="96" t="str">
        <f>IFERROR(Z26*AA26*Assumptions!$B$15/3956,"")</f>
        <v/>
      </c>
      <c r="AE26" s="102" t="str">
        <f t="shared" si="10"/>
        <v/>
      </c>
      <c r="AF26" s="95" t="str">
        <f t="shared" si="11"/>
        <v/>
      </c>
      <c r="AG26" s="95" t="str">
        <f t="shared" si="12"/>
        <v/>
      </c>
      <c r="AH26" s="95" t="str">
        <f>IFERROR(AJ26*
(Assumptions!$S$7*(AG26/P26)^3+
Assumptions!$S$8*(AG26/P26)^2+
Assumptions!$S$9*(AG26/P26)+
Assumptions!$S$10),
"")</f>
        <v/>
      </c>
      <c r="AI26" s="96" t="str">
        <f>IFERROR(AE26*AF26*Assumptions!$B$15/3956,"")</f>
        <v/>
      </c>
      <c r="AJ26" s="247" t="str">
        <f t="shared" si="13"/>
        <v/>
      </c>
      <c r="AK26" s="99" t="str">
        <f>IFERROR(
IF(C26="VTS",
IF(P26&gt;=AVERAGE(
INDEX(Assumptions!$I$38:$I$57,MATCH(P26,Assumptions!$I$38:$I$57,-1)),
INDEX(Assumptions!$I$38:$I$57,MATCH(P26,Assumptions!$I$38:$I$57,-1)+1)),
INDEX(Assumptions!$I$38:$I$57,MATCH(P26,Assumptions!$I$38:$I$57,-1)),
INDEX(Assumptions!$I$38:$I$57,MATCH(P26,Assumptions!$I$38:$I$57,-1)+1)),
IF(P26&gt;=AVERAGE(
INDEX(Assumptions!$I$13:$I$32,MATCH(P26,Assumptions!$I$13:$I$32,-1)),
INDEX(Assumptions!$I$13:$I$32,MATCH(P26,Assumptions!$I$13:$I$32,-1)+1)),
INDEX(Assumptions!$I$13:$I$32,MATCH(P26,Assumptions!$I$13:$I$32,-1)),
INDEX(Assumptions!$I$13:$I$32,MATCH(P26,Assumptions!$I$13:$I$32,-1)+1))),
"")</f>
        <v/>
      </c>
      <c r="AL26" s="95" t="str">
        <f>IFERROR(
IF(C26="VTS",
VLOOKUP(AK26,Assumptions!$I$38:$K$57,MATCH(R26,Assumptions!$I$37:$K$37,0),FALSE),
VLOOKUP(AK26,Assumptions!$I$13:$K$32,MATCH(R26,Assumptions!$I$12:$K$12,0),FALSE)),
"")</f>
        <v/>
      </c>
      <c r="AM26" s="95" t="str">
        <f t="shared" si="14"/>
        <v/>
      </c>
      <c r="AN26" s="95" t="str">
        <f>IFERROR(AM26*
(Assumptions!$S$7*(Y26/(AQ26*Assumptions!$AB$9/100)/P26)^3+
Assumptions!$S$8*(Y26/(AQ26*Assumptions!$AB$9/100)/P26)^2+
Assumptions!$S$9*(Y26/(AQ26*Assumptions!$AB$9/100)/P26)+
Assumptions!$S$10),"")</f>
        <v/>
      </c>
      <c r="AO26" s="95" t="str">
        <f>IFERROR(AM26*
(Assumptions!$S$7*(AD26/(AQ26*Assumptions!$AB$8/100)/P26)^3+
Assumptions!$S$8*(AD26/(AQ26*Assumptions!$AB$8/100)/P26)^2+
Assumptions!$S$9*(AD26/(AQ26*Assumptions!$AB$8/100)/P26)+
Assumptions!$S$10),"")</f>
        <v/>
      </c>
      <c r="AP26" s="95" t="str">
        <f>IFERROR(AM26*
(Assumptions!$S$7*(AI26/(AQ26*Assumptions!$AB$10/100)/P26)^3+
Assumptions!$S$8*(AI26/(AQ26*Assumptions!$AB$10/100)/P26)^2+
Assumptions!$S$9*(AI26/(AQ26*Assumptions!$AB$10/100)/P26)+
Assumptions!$S$10),"")</f>
        <v/>
      </c>
      <c r="AQ26" s="95" t="str">
        <f>IFERROR(
Assumptions!$AD$8*LN(U26)^2+
Assumptions!$AE$8*LN(T26)*LN(U26)+
Assumptions!$AF$8*LN(T26)^2+
Assumptions!$AG$8*LN(U26)+
Assumptions!$AH$8*LN(T26)-
(IF(S26=1800,
VLOOKUP(C26,Assumptions!$AA$13:$AC$17,3),
IF(S26=3600,
VLOOKUP(C26,Assumptions!$AA$18:$AC$22,3),
""))+Assumptions!$AI$8),
"")</f>
        <v/>
      </c>
      <c r="AR26" s="96" t="str">
        <f>IFERROR(
Assumptions!$D$11*(Y26/(Assumptions!$AB$9*AQ26/100)+AN26)+
Assumptions!$D$10*(AD26/(Assumptions!$AB$8*AQ26/100)+AO26)+
Assumptions!$D$12*(AI26/(Assumptions!$AB$10*AQ26/100)+AP26),
"")</f>
        <v/>
      </c>
      <c r="AS26" s="76" t="str">
        <f>IFERROR(
(W26+X26)*Assumptions!$D$11+
(AB26+AC26)*Assumptions!$D$10+
(AG26+AH26)*Assumptions!$D$12,
"")</f>
        <v/>
      </c>
      <c r="AT26" s="77" t="str">
        <f t="shared" si="15"/>
        <v/>
      </c>
      <c r="AU26" s="68" t="str">
        <f t="shared" si="1"/>
        <v/>
      </c>
    </row>
    <row r="27" spans="1:47" s="7" customFormat="1" x14ac:dyDescent="0.25">
      <c r="A27" s="264"/>
      <c r="B27" s="265"/>
      <c r="C27" s="265"/>
      <c r="D27" s="265"/>
      <c r="E27" s="266"/>
      <c r="F27" s="270"/>
      <c r="G27" s="271"/>
      <c r="H27" s="271"/>
      <c r="I27" s="272"/>
      <c r="J27" s="270"/>
      <c r="K27" s="271"/>
      <c r="L27" s="272"/>
      <c r="M27" s="270"/>
      <c r="N27" s="271"/>
      <c r="O27" s="272"/>
      <c r="P27" s="290"/>
      <c r="Q27" s="291"/>
      <c r="R27" s="51" t="str">
        <f t="shared" si="0"/>
        <v/>
      </c>
      <c r="S27" s="84" t="str">
        <f t="shared" si="2"/>
        <v/>
      </c>
      <c r="T27" s="93" t="str">
        <f t="shared" si="3"/>
        <v/>
      </c>
      <c r="U27" s="100" t="str">
        <f t="shared" si="4"/>
        <v/>
      </c>
      <c r="V27" s="95" t="str">
        <f t="shared" si="5"/>
        <v/>
      </c>
      <c r="W27" s="95" t="str">
        <f t="shared" si="6"/>
        <v/>
      </c>
      <c r="X27" s="95" t="str">
        <f>IFERROR(AJ27*
(Assumptions!$S$7*(W27/P27)^3+
Assumptions!$S$8*(W27/P27)^2+
Assumptions!$S$9*(W27/P27)+
Assumptions!$S$10),
"")</f>
        <v/>
      </c>
      <c r="Y27" s="96" t="str">
        <f>IFERROR(U27*V27*Assumptions!$B$15/3956,"")</f>
        <v/>
      </c>
      <c r="Z27" s="102" t="str">
        <f t="shared" si="7"/>
        <v/>
      </c>
      <c r="AA27" s="95" t="str">
        <f t="shared" si="8"/>
        <v/>
      </c>
      <c r="AB27" s="95" t="str">
        <f t="shared" si="9"/>
        <v/>
      </c>
      <c r="AC27" s="95" t="str">
        <f>IFERROR(AJ27*
(Assumptions!$S$7*(AB27/P27)^3+
Assumptions!$S$8*(AB27/P27)^2+
Assumptions!$S$9*(AB27/P27)+
Assumptions!$S$10),
"")</f>
        <v/>
      </c>
      <c r="AD27" s="96" t="str">
        <f>IFERROR(Z27*AA27*Assumptions!$B$15/3956,"")</f>
        <v/>
      </c>
      <c r="AE27" s="102" t="str">
        <f t="shared" si="10"/>
        <v/>
      </c>
      <c r="AF27" s="95" t="str">
        <f t="shared" si="11"/>
        <v/>
      </c>
      <c r="AG27" s="95" t="str">
        <f t="shared" si="12"/>
        <v/>
      </c>
      <c r="AH27" s="95" t="str">
        <f>IFERROR(AJ27*
(Assumptions!$S$7*(AG27/P27)^3+
Assumptions!$S$8*(AG27/P27)^2+
Assumptions!$S$9*(AG27/P27)+
Assumptions!$S$10),
"")</f>
        <v/>
      </c>
      <c r="AI27" s="96" t="str">
        <f>IFERROR(AE27*AF27*Assumptions!$B$15/3956,"")</f>
        <v/>
      </c>
      <c r="AJ27" s="247" t="str">
        <f t="shared" si="13"/>
        <v/>
      </c>
      <c r="AK27" s="99" t="str">
        <f>IFERROR(
IF(C27="VTS",
IF(P27&gt;=AVERAGE(
INDEX(Assumptions!$I$38:$I$57,MATCH(P27,Assumptions!$I$38:$I$57,-1)),
INDEX(Assumptions!$I$38:$I$57,MATCH(P27,Assumptions!$I$38:$I$57,-1)+1)),
INDEX(Assumptions!$I$38:$I$57,MATCH(P27,Assumptions!$I$38:$I$57,-1)),
INDEX(Assumptions!$I$38:$I$57,MATCH(P27,Assumptions!$I$38:$I$57,-1)+1)),
IF(P27&gt;=AVERAGE(
INDEX(Assumptions!$I$13:$I$32,MATCH(P27,Assumptions!$I$13:$I$32,-1)),
INDEX(Assumptions!$I$13:$I$32,MATCH(P27,Assumptions!$I$13:$I$32,-1)+1)),
INDEX(Assumptions!$I$13:$I$32,MATCH(P27,Assumptions!$I$13:$I$32,-1)),
INDEX(Assumptions!$I$13:$I$32,MATCH(P27,Assumptions!$I$13:$I$32,-1)+1))),
"")</f>
        <v/>
      </c>
      <c r="AL27" s="95" t="str">
        <f>IFERROR(
IF(C27="VTS",
VLOOKUP(AK27,Assumptions!$I$38:$K$57,MATCH(R27,Assumptions!$I$37:$K$37,0),FALSE),
VLOOKUP(AK27,Assumptions!$I$13:$K$32,MATCH(R27,Assumptions!$I$12:$K$12,0),FALSE)),
"")</f>
        <v/>
      </c>
      <c r="AM27" s="95" t="str">
        <f t="shared" si="14"/>
        <v/>
      </c>
      <c r="AN27" s="95" t="str">
        <f>IFERROR(AM27*
(Assumptions!$S$7*(Y27/(AQ27*Assumptions!$AB$9/100)/P27)^3+
Assumptions!$S$8*(Y27/(AQ27*Assumptions!$AB$9/100)/P27)^2+
Assumptions!$S$9*(Y27/(AQ27*Assumptions!$AB$9/100)/P27)+
Assumptions!$S$10),"")</f>
        <v/>
      </c>
      <c r="AO27" s="95" t="str">
        <f>IFERROR(AM27*
(Assumptions!$S$7*(AD27/(AQ27*Assumptions!$AB$8/100)/P27)^3+
Assumptions!$S$8*(AD27/(AQ27*Assumptions!$AB$8/100)/P27)^2+
Assumptions!$S$9*(AD27/(AQ27*Assumptions!$AB$8/100)/P27)+
Assumptions!$S$10),"")</f>
        <v/>
      </c>
      <c r="AP27" s="95" t="str">
        <f>IFERROR(AM27*
(Assumptions!$S$7*(AI27/(AQ27*Assumptions!$AB$10/100)/P27)^3+
Assumptions!$S$8*(AI27/(AQ27*Assumptions!$AB$10/100)/P27)^2+
Assumptions!$S$9*(AI27/(AQ27*Assumptions!$AB$10/100)/P27)+
Assumptions!$S$10),"")</f>
        <v/>
      </c>
      <c r="AQ27" s="95" t="str">
        <f>IFERROR(
Assumptions!$AD$8*LN(U27)^2+
Assumptions!$AE$8*LN(T27)*LN(U27)+
Assumptions!$AF$8*LN(T27)^2+
Assumptions!$AG$8*LN(U27)+
Assumptions!$AH$8*LN(T27)-
(IF(S27=1800,
VLOOKUP(C27,Assumptions!$AA$13:$AC$17,3),
IF(S27=3600,
VLOOKUP(C27,Assumptions!$AA$18:$AC$22,3),
""))+Assumptions!$AI$8),
"")</f>
        <v/>
      </c>
      <c r="AR27" s="96" t="str">
        <f>IFERROR(
Assumptions!$D$11*(Y27/(Assumptions!$AB$9*AQ27/100)+AN27)+
Assumptions!$D$10*(AD27/(Assumptions!$AB$8*AQ27/100)+AO27)+
Assumptions!$D$12*(AI27/(Assumptions!$AB$10*AQ27/100)+AP27),
"")</f>
        <v/>
      </c>
      <c r="AS27" s="76" t="str">
        <f>IFERROR(
(W27+X27)*Assumptions!$D$11+
(AB27+AC27)*Assumptions!$D$10+
(AG27+AH27)*Assumptions!$D$12,
"")</f>
        <v/>
      </c>
      <c r="AT27" s="77" t="str">
        <f t="shared" si="15"/>
        <v/>
      </c>
      <c r="AU27" s="68" t="str">
        <f t="shared" si="1"/>
        <v/>
      </c>
    </row>
    <row r="28" spans="1:47" s="7" customFormat="1" x14ac:dyDescent="0.25">
      <c r="A28" s="264"/>
      <c r="B28" s="265"/>
      <c r="C28" s="265"/>
      <c r="D28" s="265"/>
      <c r="E28" s="266"/>
      <c r="F28" s="270"/>
      <c r="G28" s="271"/>
      <c r="H28" s="271"/>
      <c r="I28" s="272"/>
      <c r="J28" s="270"/>
      <c r="K28" s="271"/>
      <c r="L28" s="272"/>
      <c r="M28" s="270"/>
      <c r="N28" s="271"/>
      <c r="O28" s="272"/>
      <c r="P28" s="290"/>
      <c r="Q28" s="291"/>
      <c r="R28" s="51" t="str">
        <f t="shared" si="0"/>
        <v/>
      </c>
      <c r="S28" s="84" t="str">
        <f t="shared" si="2"/>
        <v/>
      </c>
      <c r="T28" s="93" t="str">
        <f t="shared" si="3"/>
        <v/>
      </c>
      <c r="U28" s="100" t="str">
        <f t="shared" si="4"/>
        <v/>
      </c>
      <c r="V28" s="95" t="str">
        <f t="shared" si="5"/>
        <v/>
      </c>
      <c r="W28" s="95" t="str">
        <f t="shared" si="6"/>
        <v/>
      </c>
      <c r="X28" s="95" t="str">
        <f>IFERROR(AJ28*
(Assumptions!$S$7*(W28/P28)^3+
Assumptions!$S$8*(W28/P28)^2+
Assumptions!$S$9*(W28/P28)+
Assumptions!$S$10),
"")</f>
        <v/>
      </c>
      <c r="Y28" s="96" t="str">
        <f>IFERROR(U28*V28*Assumptions!$B$15/3956,"")</f>
        <v/>
      </c>
      <c r="Z28" s="102" t="str">
        <f t="shared" si="7"/>
        <v/>
      </c>
      <c r="AA28" s="95" t="str">
        <f t="shared" si="8"/>
        <v/>
      </c>
      <c r="AB28" s="95" t="str">
        <f t="shared" si="9"/>
        <v/>
      </c>
      <c r="AC28" s="95" t="str">
        <f>IFERROR(AJ28*
(Assumptions!$S$7*(AB28/P28)^3+
Assumptions!$S$8*(AB28/P28)^2+
Assumptions!$S$9*(AB28/P28)+
Assumptions!$S$10),
"")</f>
        <v/>
      </c>
      <c r="AD28" s="96" t="str">
        <f>IFERROR(Z28*AA28*Assumptions!$B$15/3956,"")</f>
        <v/>
      </c>
      <c r="AE28" s="102" t="str">
        <f t="shared" si="10"/>
        <v/>
      </c>
      <c r="AF28" s="95" t="str">
        <f t="shared" si="11"/>
        <v/>
      </c>
      <c r="AG28" s="95" t="str">
        <f t="shared" si="12"/>
        <v/>
      </c>
      <c r="AH28" s="95" t="str">
        <f>IFERROR(AJ28*
(Assumptions!$S$7*(AG28/P28)^3+
Assumptions!$S$8*(AG28/P28)^2+
Assumptions!$S$9*(AG28/P28)+
Assumptions!$S$10),
"")</f>
        <v/>
      </c>
      <c r="AI28" s="96" t="str">
        <f>IFERROR(AE28*AF28*Assumptions!$B$15/3956,"")</f>
        <v/>
      </c>
      <c r="AJ28" s="247" t="str">
        <f t="shared" si="13"/>
        <v/>
      </c>
      <c r="AK28" s="99" t="str">
        <f>IFERROR(
IF(C28="VTS",
IF(P28&gt;=AVERAGE(
INDEX(Assumptions!$I$38:$I$57,MATCH(P28,Assumptions!$I$38:$I$57,-1)),
INDEX(Assumptions!$I$38:$I$57,MATCH(P28,Assumptions!$I$38:$I$57,-1)+1)),
INDEX(Assumptions!$I$38:$I$57,MATCH(P28,Assumptions!$I$38:$I$57,-1)),
INDEX(Assumptions!$I$38:$I$57,MATCH(P28,Assumptions!$I$38:$I$57,-1)+1)),
IF(P28&gt;=AVERAGE(
INDEX(Assumptions!$I$13:$I$32,MATCH(P28,Assumptions!$I$13:$I$32,-1)),
INDEX(Assumptions!$I$13:$I$32,MATCH(P28,Assumptions!$I$13:$I$32,-1)+1)),
INDEX(Assumptions!$I$13:$I$32,MATCH(P28,Assumptions!$I$13:$I$32,-1)),
INDEX(Assumptions!$I$13:$I$32,MATCH(P28,Assumptions!$I$13:$I$32,-1)+1))),
"")</f>
        <v/>
      </c>
      <c r="AL28" s="95" t="str">
        <f>IFERROR(
IF(C28="VTS",
VLOOKUP(AK28,Assumptions!$I$38:$K$57,MATCH(R28,Assumptions!$I$37:$K$37,0),FALSE),
VLOOKUP(AK28,Assumptions!$I$13:$K$32,MATCH(R28,Assumptions!$I$12:$K$12,0),FALSE)),
"")</f>
        <v/>
      </c>
      <c r="AM28" s="95" t="str">
        <f t="shared" si="14"/>
        <v/>
      </c>
      <c r="AN28" s="95" t="str">
        <f>IFERROR(AM28*
(Assumptions!$S$7*(Y28/(AQ28*Assumptions!$AB$9/100)/P28)^3+
Assumptions!$S$8*(Y28/(AQ28*Assumptions!$AB$9/100)/P28)^2+
Assumptions!$S$9*(Y28/(AQ28*Assumptions!$AB$9/100)/P28)+
Assumptions!$S$10),"")</f>
        <v/>
      </c>
      <c r="AO28" s="95" t="str">
        <f>IFERROR(AM28*
(Assumptions!$S$7*(AD28/(AQ28*Assumptions!$AB$8/100)/P28)^3+
Assumptions!$S$8*(AD28/(AQ28*Assumptions!$AB$8/100)/P28)^2+
Assumptions!$S$9*(AD28/(AQ28*Assumptions!$AB$8/100)/P28)+
Assumptions!$S$10),"")</f>
        <v/>
      </c>
      <c r="AP28" s="95" t="str">
        <f>IFERROR(AM28*
(Assumptions!$S$7*(AI28/(AQ28*Assumptions!$AB$10/100)/P28)^3+
Assumptions!$S$8*(AI28/(AQ28*Assumptions!$AB$10/100)/P28)^2+
Assumptions!$S$9*(AI28/(AQ28*Assumptions!$AB$10/100)/P28)+
Assumptions!$S$10),"")</f>
        <v/>
      </c>
      <c r="AQ28" s="95" t="str">
        <f>IFERROR(
Assumptions!$AD$8*LN(U28)^2+
Assumptions!$AE$8*LN(T28)*LN(U28)+
Assumptions!$AF$8*LN(T28)^2+
Assumptions!$AG$8*LN(U28)+
Assumptions!$AH$8*LN(T28)-
(IF(S28=1800,
VLOOKUP(C28,Assumptions!$AA$13:$AC$17,3),
IF(S28=3600,
VLOOKUP(C28,Assumptions!$AA$18:$AC$22,3),
""))+Assumptions!$AI$8),
"")</f>
        <v/>
      </c>
      <c r="AR28" s="96" t="str">
        <f>IFERROR(
Assumptions!$D$11*(Y28/(Assumptions!$AB$9*AQ28/100)+AN28)+
Assumptions!$D$10*(AD28/(Assumptions!$AB$8*AQ28/100)+AO28)+
Assumptions!$D$12*(AI28/(Assumptions!$AB$10*AQ28/100)+AP28),
"")</f>
        <v/>
      </c>
      <c r="AS28" s="76" t="str">
        <f>IFERROR(
(W28+X28)*Assumptions!$D$11+
(AB28+AC28)*Assumptions!$D$10+
(AG28+AH28)*Assumptions!$D$12,
"")</f>
        <v/>
      </c>
      <c r="AT28" s="77" t="str">
        <f t="shared" si="15"/>
        <v/>
      </c>
      <c r="AU28" s="68" t="str">
        <f t="shared" si="1"/>
        <v/>
      </c>
    </row>
    <row r="29" spans="1:47" s="7" customFormat="1" x14ac:dyDescent="0.25">
      <c r="A29" s="264"/>
      <c r="B29" s="265"/>
      <c r="C29" s="265"/>
      <c r="D29" s="265"/>
      <c r="E29" s="266"/>
      <c r="F29" s="270"/>
      <c r="G29" s="271"/>
      <c r="H29" s="271"/>
      <c r="I29" s="272"/>
      <c r="J29" s="270"/>
      <c r="K29" s="271"/>
      <c r="L29" s="272"/>
      <c r="M29" s="270"/>
      <c r="N29" s="271"/>
      <c r="O29" s="272"/>
      <c r="P29" s="290"/>
      <c r="Q29" s="291"/>
      <c r="R29" s="51" t="str">
        <f t="shared" si="0"/>
        <v/>
      </c>
      <c r="S29" s="84" t="str">
        <f t="shared" si="2"/>
        <v/>
      </c>
      <c r="T29" s="93" t="str">
        <f t="shared" si="3"/>
        <v/>
      </c>
      <c r="U29" s="100" t="str">
        <f t="shared" si="4"/>
        <v/>
      </c>
      <c r="V29" s="95" t="str">
        <f t="shared" si="5"/>
        <v/>
      </c>
      <c r="W29" s="95" t="str">
        <f t="shared" si="6"/>
        <v/>
      </c>
      <c r="X29" s="95" t="str">
        <f>IFERROR(AJ29*
(Assumptions!$S$7*(W29/P29)^3+
Assumptions!$S$8*(W29/P29)^2+
Assumptions!$S$9*(W29/P29)+
Assumptions!$S$10),
"")</f>
        <v/>
      </c>
      <c r="Y29" s="96" t="str">
        <f>IFERROR(U29*V29*Assumptions!$B$15/3956,"")</f>
        <v/>
      </c>
      <c r="Z29" s="102" t="str">
        <f t="shared" si="7"/>
        <v/>
      </c>
      <c r="AA29" s="95" t="str">
        <f t="shared" si="8"/>
        <v/>
      </c>
      <c r="AB29" s="95" t="str">
        <f t="shared" si="9"/>
        <v/>
      </c>
      <c r="AC29" s="95" t="str">
        <f>IFERROR(AJ29*
(Assumptions!$S$7*(AB29/P29)^3+
Assumptions!$S$8*(AB29/P29)^2+
Assumptions!$S$9*(AB29/P29)+
Assumptions!$S$10),
"")</f>
        <v/>
      </c>
      <c r="AD29" s="96" t="str">
        <f>IFERROR(Z29*AA29*Assumptions!$B$15/3956,"")</f>
        <v/>
      </c>
      <c r="AE29" s="102" t="str">
        <f t="shared" si="10"/>
        <v/>
      </c>
      <c r="AF29" s="95" t="str">
        <f t="shared" si="11"/>
        <v/>
      </c>
      <c r="AG29" s="95" t="str">
        <f t="shared" si="12"/>
        <v/>
      </c>
      <c r="AH29" s="95" t="str">
        <f>IFERROR(AJ29*
(Assumptions!$S$7*(AG29/P29)^3+
Assumptions!$S$8*(AG29/P29)^2+
Assumptions!$S$9*(AG29/P29)+
Assumptions!$S$10),
"")</f>
        <v/>
      </c>
      <c r="AI29" s="96" t="str">
        <f>IFERROR(AE29*AF29*Assumptions!$B$15/3956,"")</f>
        <v/>
      </c>
      <c r="AJ29" s="247" t="str">
        <f t="shared" si="13"/>
        <v/>
      </c>
      <c r="AK29" s="99" t="str">
        <f>IFERROR(
IF(C29="VTS",
IF(P29&gt;=AVERAGE(
INDEX(Assumptions!$I$38:$I$57,MATCH(P29,Assumptions!$I$38:$I$57,-1)),
INDEX(Assumptions!$I$38:$I$57,MATCH(P29,Assumptions!$I$38:$I$57,-1)+1)),
INDEX(Assumptions!$I$38:$I$57,MATCH(P29,Assumptions!$I$38:$I$57,-1)),
INDEX(Assumptions!$I$38:$I$57,MATCH(P29,Assumptions!$I$38:$I$57,-1)+1)),
IF(P29&gt;=AVERAGE(
INDEX(Assumptions!$I$13:$I$32,MATCH(P29,Assumptions!$I$13:$I$32,-1)),
INDEX(Assumptions!$I$13:$I$32,MATCH(P29,Assumptions!$I$13:$I$32,-1)+1)),
INDEX(Assumptions!$I$13:$I$32,MATCH(P29,Assumptions!$I$13:$I$32,-1)),
INDEX(Assumptions!$I$13:$I$32,MATCH(P29,Assumptions!$I$13:$I$32,-1)+1))),
"")</f>
        <v/>
      </c>
      <c r="AL29" s="95" t="str">
        <f>IFERROR(
IF(C29="VTS",
VLOOKUP(AK29,Assumptions!$I$38:$K$57,MATCH(R29,Assumptions!$I$37:$K$37,0),FALSE),
VLOOKUP(AK29,Assumptions!$I$13:$K$32,MATCH(R29,Assumptions!$I$12:$K$12,0),FALSE)),
"")</f>
        <v/>
      </c>
      <c r="AM29" s="95" t="str">
        <f t="shared" si="14"/>
        <v/>
      </c>
      <c r="AN29" s="95" t="str">
        <f>IFERROR(AM29*
(Assumptions!$S$7*(Y29/(AQ29*Assumptions!$AB$9/100)/P29)^3+
Assumptions!$S$8*(Y29/(AQ29*Assumptions!$AB$9/100)/P29)^2+
Assumptions!$S$9*(Y29/(AQ29*Assumptions!$AB$9/100)/P29)+
Assumptions!$S$10),"")</f>
        <v/>
      </c>
      <c r="AO29" s="95" t="str">
        <f>IFERROR(AM29*
(Assumptions!$S$7*(AD29/(AQ29*Assumptions!$AB$8/100)/P29)^3+
Assumptions!$S$8*(AD29/(AQ29*Assumptions!$AB$8/100)/P29)^2+
Assumptions!$S$9*(AD29/(AQ29*Assumptions!$AB$8/100)/P29)+
Assumptions!$S$10),"")</f>
        <v/>
      </c>
      <c r="AP29" s="95" t="str">
        <f>IFERROR(AM29*
(Assumptions!$S$7*(AI29/(AQ29*Assumptions!$AB$10/100)/P29)^3+
Assumptions!$S$8*(AI29/(AQ29*Assumptions!$AB$10/100)/P29)^2+
Assumptions!$S$9*(AI29/(AQ29*Assumptions!$AB$10/100)/P29)+
Assumptions!$S$10),"")</f>
        <v/>
      </c>
      <c r="AQ29" s="95" t="str">
        <f>IFERROR(
Assumptions!$AD$8*LN(U29)^2+
Assumptions!$AE$8*LN(T29)*LN(U29)+
Assumptions!$AF$8*LN(T29)^2+
Assumptions!$AG$8*LN(U29)+
Assumptions!$AH$8*LN(T29)-
(IF(S29=1800,
VLOOKUP(C29,Assumptions!$AA$13:$AC$17,3),
IF(S29=3600,
VLOOKUP(C29,Assumptions!$AA$18:$AC$22,3),
""))+Assumptions!$AI$8),
"")</f>
        <v/>
      </c>
      <c r="AR29" s="96" t="str">
        <f>IFERROR(
Assumptions!$D$11*(Y29/(Assumptions!$AB$9*AQ29/100)+AN29)+
Assumptions!$D$10*(AD29/(Assumptions!$AB$8*AQ29/100)+AO29)+
Assumptions!$D$12*(AI29/(Assumptions!$AB$10*AQ29/100)+AP29),
"")</f>
        <v/>
      </c>
      <c r="AS29" s="76" t="str">
        <f>IFERROR(
(W29+X29)*Assumptions!$D$11+
(AB29+AC29)*Assumptions!$D$10+
(AG29+AH29)*Assumptions!$D$12,
"")</f>
        <v/>
      </c>
      <c r="AT29" s="77" t="str">
        <f t="shared" si="15"/>
        <v/>
      </c>
      <c r="AU29" s="68" t="str">
        <f t="shared" si="1"/>
        <v/>
      </c>
    </row>
    <row r="30" spans="1:47" s="7" customFormat="1" x14ac:dyDescent="0.25">
      <c r="A30" s="264"/>
      <c r="B30" s="265"/>
      <c r="C30" s="265"/>
      <c r="D30" s="265"/>
      <c r="E30" s="266"/>
      <c r="F30" s="270"/>
      <c r="G30" s="271"/>
      <c r="H30" s="271"/>
      <c r="I30" s="272"/>
      <c r="J30" s="270"/>
      <c r="K30" s="271"/>
      <c r="L30" s="272"/>
      <c r="M30" s="270"/>
      <c r="N30" s="271"/>
      <c r="O30" s="272"/>
      <c r="P30" s="290"/>
      <c r="Q30" s="291"/>
      <c r="R30" s="51" t="str">
        <f t="shared" si="0"/>
        <v/>
      </c>
      <c r="S30" s="84" t="str">
        <f t="shared" si="2"/>
        <v/>
      </c>
      <c r="T30" s="93" t="str">
        <f t="shared" si="3"/>
        <v/>
      </c>
      <c r="U30" s="100" t="str">
        <f t="shared" si="4"/>
        <v/>
      </c>
      <c r="V30" s="95" t="str">
        <f t="shared" si="5"/>
        <v/>
      </c>
      <c r="W30" s="95" t="str">
        <f t="shared" si="6"/>
        <v/>
      </c>
      <c r="X30" s="95" t="str">
        <f>IFERROR(AJ30*
(Assumptions!$S$7*(W30/P30)^3+
Assumptions!$S$8*(W30/P30)^2+
Assumptions!$S$9*(W30/P30)+
Assumptions!$S$10),
"")</f>
        <v/>
      </c>
      <c r="Y30" s="96" t="str">
        <f>IFERROR(U30*V30*Assumptions!$B$15/3956,"")</f>
        <v/>
      </c>
      <c r="Z30" s="102" t="str">
        <f t="shared" si="7"/>
        <v/>
      </c>
      <c r="AA30" s="95" t="str">
        <f t="shared" si="8"/>
        <v/>
      </c>
      <c r="AB30" s="95" t="str">
        <f t="shared" si="9"/>
        <v/>
      </c>
      <c r="AC30" s="95" t="str">
        <f>IFERROR(AJ30*
(Assumptions!$S$7*(AB30/P30)^3+
Assumptions!$S$8*(AB30/P30)^2+
Assumptions!$S$9*(AB30/P30)+
Assumptions!$S$10),
"")</f>
        <v/>
      </c>
      <c r="AD30" s="96" t="str">
        <f>IFERROR(Z30*AA30*Assumptions!$B$15/3956,"")</f>
        <v/>
      </c>
      <c r="AE30" s="102" t="str">
        <f t="shared" si="10"/>
        <v/>
      </c>
      <c r="AF30" s="95" t="str">
        <f t="shared" si="11"/>
        <v/>
      </c>
      <c r="AG30" s="95" t="str">
        <f t="shared" si="12"/>
        <v/>
      </c>
      <c r="AH30" s="95" t="str">
        <f>IFERROR(AJ30*
(Assumptions!$S$7*(AG30/P30)^3+
Assumptions!$S$8*(AG30/P30)^2+
Assumptions!$S$9*(AG30/P30)+
Assumptions!$S$10),
"")</f>
        <v/>
      </c>
      <c r="AI30" s="96" t="str">
        <f>IFERROR(AE30*AF30*Assumptions!$B$15/3956,"")</f>
        <v/>
      </c>
      <c r="AJ30" s="247" t="str">
        <f t="shared" si="13"/>
        <v/>
      </c>
      <c r="AK30" s="99" t="str">
        <f>IFERROR(
IF(C30="VTS",
IF(P30&gt;=AVERAGE(
INDEX(Assumptions!$I$38:$I$57,MATCH(P30,Assumptions!$I$38:$I$57,-1)),
INDEX(Assumptions!$I$38:$I$57,MATCH(P30,Assumptions!$I$38:$I$57,-1)+1)),
INDEX(Assumptions!$I$38:$I$57,MATCH(P30,Assumptions!$I$38:$I$57,-1)),
INDEX(Assumptions!$I$38:$I$57,MATCH(P30,Assumptions!$I$38:$I$57,-1)+1)),
IF(P30&gt;=AVERAGE(
INDEX(Assumptions!$I$13:$I$32,MATCH(P30,Assumptions!$I$13:$I$32,-1)),
INDEX(Assumptions!$I$13:$I$32,MATCH(P30,Assumptions!$I$13:$I$32,-1)+1)),
INDEX(Assumptions!$I$13:$I$32,MATCH(P30,Assumptions!$I$13:$I$32,-1)),
INDEX(Assumptions!$I$13:$I$32,MATCH(P30,Assumptions!$I$13:$I$32,-1)+1))),
"")</f>
        <v/>
      </c>
      <c r="AL30" s="95" t="str">
        <f>IFERROR(
IF(C30="VTS",
VLOOKUP(AK30,Assumptions!$I$38:$K$57,MATCH(R30,Assumptions!$I$37:$K$37,0),FALSE),
VLOOKUP(AK30,Assumptions!$I$13:$K$32,MATCH(R30,Assumptions!$I$12:$K$12,0),FALSE)),
"")</f>
        <v/>
      </c>
      <c r="AM30" s="95" t="str">
        <f t="shared" si="14"/>
        <v/>
      </c>
      <c r="AN30" s="95" t="str">
        <f>IFERROR(AM30*
(Assumptions!$S$7*(Y30/(AQ30*Assumptions!$AB$9/100)/P30)^3+
Assumptions!$S$8*(Y30/(AQ30*Assumptions!$AB$9/100)/P30)^2+
Assumptions!$S$9*(Y30/(AQ30*Assumptions!$AB$9/100)/P30)+
Assumptions!$S$10),"")</f>
        <v/>
      </c>
      <c r="AO30" s="95" t="str">
        <f>IFERROR(AM30*
(Assumptions!$S$7*(AD30/(AQ30*Assumptions!$AB$8/100)/P30)^3+
Assumptions!$S$8*(AD30/(AQ30*Assumptions!$AB$8/100)/P30)^2+
Assumptions!$S$9*(AD30/(AQ30*Assumptions!$AB$8/100)/P30)+
Assumptions!$S$10),"")</f>
        <v/>
      </c>
      <c r="AP30" s="95" t="str">
        <f>IFERROR(AM30*
(Assumptions!$S$7*(AI30/(AQ30*Assumptions!$AB$10/100)/P30)^3+
Assumptions!$S$8*(AI30/(AQ30*Assumptions!$AB$10/100)/P30)^2+
Assumptions!$S$9*(AI30/(AQ30*Assumptions!$AB$10/100)/P30)+
Assumptions!$S$10),"")</f>
        <v/>
      </c>
      <c r="AQ30" s="95" t="str">
        <f>IFERROR(
Assumptions!$AD$8*LN(U30)^2+
Assumptions!$AE$8*LN(T30)*LN(U30)+
Assumptions!$AF$8*LN(T30)^2+
Assumptions!$AG$8*LN(U30)+
Assumptions!$AH$8*LN(T30)-
(IF(S30=1800,
VLOOKUP(C30,Assumptions!$AA$13:$AC$17,3),
IF(S30=3600,
VLOOKUP(C30,Assumptions!$AA$18:$AC$22,3),
""))+Assumptions!$AI$8),
"")</f>
        <v/>
      </c>
      <c r="AR30" s="96" t="str">
        <f>IFERROR(
Assumptions!$D$11*(Y30/(Assumptions!$AB$9*AQ30/100)+AN30)+
Assumptions!$D$10*(AD30/(Assumptions!$AB$8*AQ30/100)+AO30)+
Assumptions!$D$12*(AI30/(Assumptions!$AB$10*AQ30/100)+AP30),
"")</f>
        <v/>
      </c>
      <c r="AS30" s="76" t="str">
        <f>IFERROR(
(W30+X30)*Assumptions!$D$11+
(AB30+AC30)*Assumptions!$D$10+
(AG30+AH30)*Assumptions!$D$12,
"")</f>
        <v/>
      </c>
      <c r="AT30" s="77" t="str">
        <f t="shared" si="15"/>
        <v/>
      </c>
      <c r="AU30" s="68" t="str">
        <f t="shared" si="1"/>
        <v/>
      </c>
    </row>
    <row r="31" spans="1:47" s="7" customFormat="1" x14ac:dyDescent="0.25">
      <c r="A31" s="264"/>
      <c r="B31" s="265"/>
      <c r="C31" s="265"/>
      <c r="D31" s="265"/>
      <c r="E31" s="266"/>
      <c r="F31" s="270"/>
      <c r="G31" s="271"/>
      <c r="H31" s="271"/>
      <c r="I31" s="272"/>
      <c r="J31" s="270"/>
      <c r="K31" s="271"/>
      <c r="L31" s="272"/>
      <c r="M31" s="270"/>
      <c r="N31" s="271"/>
      <c r="O31" s="272"/>
      <c r="P31" s="290"/>
      <c r="Q31" s="291"/>
      <c r="R31" s="51" t="str">
        <f t="shared" si="0"/>
        <v/>
      </c>
      <c r="S31" s="84" t="str">
        <f t="shared" si="2"/>
        <v/>
      </c>
      <c r="T31" s="93" t="str">
        <f t="shared" si="3"/>
        <v/>
      </c>
      <c r="U31" s="100" t="str">
        <f t="shared" si="4"/>
        <v/>
      </c>
      <c r="V31" s="95" t="str">
        <f t="shared" si="5"/>
        <v/>
      </c>
      <c r="W31" s="95" t="str">
        <f t="shared" si="6"/>
        <v/>
      </c>
      <c r="X31" s="95" t="str">
        <f>IFERROR(AJ31*
(Assumptions!$S$7*(W31/P31)^3+
Assumptions!$S$8*(W31/P31)^2+
Assumptions!$S$9*(W31/P31)+
Assumptions!$S$10),
"")</f>
        <v/>
      </c>
      <c r="Y31" s="96" t="str">
        <f>IFERROR(U31*V31*Assumptions!$B$15/3956,"")</f>
        <v/>
      </c>
      <c r="Z31" s="102" t="str">
        <f t="shared" si="7"/>
        <v/>
      </c>
      <c r="AA31" s="95" t="str">
        <f t="shared" si="8"/>
        <v/>
      </c>
      <c r="AB31" s="95" t="str">
        <f t="shared" si="9"/>
        <v/>
      </c>
      <c r="AC31" s="95" t="str">
        <f>IFERROR(AJ31*
(Assumptions!$S$7*(AB31/P31)^3+
Assumptions!$S$8*(AB31/P31)^2+
Assumptions!$S$9*(AB31/P31)+
Assumptions!$S$10),
"")</f>
        <v/>
      </c>
      <c r="AD31" s="96" t="str">
        <f>IFERROR(Z31*AA31*Assumptions!$B$15/3956,"")</f>
        <v/>
      </c>
      <c r="AE31" s="102" t="str">
        <f t="shared" si="10"/>
        <v/>
      </c>
      <c r="AF31" s="95" t="str">
        <f t="shared" si="11"/>
        <v/>
      </c>
      <c r="AG31" s="95" t="str">
        <f t="shared" si="12"/>
        <v/>
      </c>
      <c r="AH31" s="95" t="str">
        <f>IFERROR(AJ31*
(Assumptions!$S$7*(AG31/P31)^3+
Assumptions!$S$8*(AG31/P31)^2+
Assumptions!$S$9*(AG31/P31)+
Assumptions!$S$10),
"")</f>
        <v/>
      </c>
      <c r="AI31" s="96" t="str">
        <f>IFERROR(AE31*AF31*Assumptions!$B$15/3956,"")</f>
        <v/>
      </c>
      <c r="AJ31" s="247" t="str">
        <f t="shared" si="13"/>
        <v/>
      </c>
      <c r="AK31" s="99" t="str">
        <f>IFERROR(
IF(C31="VTS",
IF(P31&gt;=AVERAGE(
INDEX(Assumptions!$I$38:$I$57,MATCH(P31,Assumptions!$I$38:$I$57,-1)),
INDEX(Assumptions!$I$38:$I$57,MATCH(P31,Assumptions!$I$38:$I$57,-1)+1)),
INDEX(Assumptions!$I$38:$I$57,MATCH(P31,Assumptions!$I$38:$I$57,-1)),
INDEX(Assumptions!$I$38:$I$57,MATCH(P31,Assumptions!$I$38:$I$57,-1)+1)),
IF(P31&gt;=AVERAGE(
INDEX(Assumptions!$I$13:$I$32,MATCH(P31,Assumptions!$I$13:$I$32,-1)),
INDEX(Assumptions!$I$13:$I$32,MATCH(P31,Assumptions!$I$13:$I$32,-1)+1)),
INDEX(Assumptions!$I$13:$I$32,MATCH(P31,Assumptions!$I$13:$I$32,-1)),
INDEX(Assumptions!$I$13:$I$32,MATCH(P31,Assumptions!$I$13:$I$32,-1)+1))),
"")</f>
        <v/>
      </c>
      <c r="AL31" s="95" t="str">
        <f>IFERROR(
IF(C31="VTS",
VLOOKUP(AK31,Assumptions!$I$38:$K$57,MATCH(R31,Assumptions!$I$37:$K$37,0),FALSE),
VLOOKUP(AK31,Assumptions!$I$13:$K$32,MATCH(R31,Assumptions!$I$12:$K$12,0),FALSE)),
"")</f>
        <v/>
      </c>
      <c r="AM31" s="95" t="str">
        <f t="shared" si="14"/>
        <v/>
      </c>
      <c r="AN31" s="95" t="str">
        <f>IFERROR(AM31*
(Assumptions!$S$7*(Y31/(AQ31*Assumptions!$AB$9/100)/P31)^3+
Assumptions!$S$8*(Y31/(AQ31*Assumptions!$AB$9/100)/P31)^2+
Assumptions!$S$9*(Y31/(AQ31*Assumptions!$AB$9/100)/P31)+
Assumptions!$S$10),"")</f>
        <v/>
      </c>
      <c r="AO31" s="95" t="str">
        <f>IFERROR(AM31*
(Assumptions!$S$7*(AD31/(AQ31*Assumptions!$AB$8/100)/P31)^3+
Assumptions!$S$8*(AD31/(AQ31*Assumptions!$AB$8/100)/P31)^2+
Assumptions!$S$9*(AD31/(AQ31*Assumptions!$AB$8/100)/P31)+
Assumptions!$S$10),"")</f>
        <v/>
      </c>
      <c r="AP31" s="95" t="str">
        <f>IFERROR(AM31*
(Assumptions!$S$7*(AI31/(AQ31*Assumptions!$AB$10/100)/P31)^3+
Assumptions!$S$8*(AI31/(AQ31*Assumptions!$AB$10/100)/P31)^2+
Assumptions!$S$9*(AI31/(AQ31*Assumptions!$AB$10/100)/P31)+
Assumptions!$S$10),"")</f>
        <v/>
      </c>
      <c r="AQ31" s="95" t="str">
        <f>IFERROR(
Assumptions!$AD$8*LN(U31)^2+
Assumptions!$AE$8*LN(T31)*LN(U31)+
Assumptions!$AF$8*LN(T31)^2+
Assumptions!$AG$8*LN(U31)+
Assumptions!$AH$8*LN(T31)-
(IF(S31=1800,
VLOOKUP(C31,Assumptions!$AA$13:$AC$17,3),
IF(S31=3600,
VLOOKUP(C31,Assumptions!$AA$18:$AC$22,3),
""))+Assumptions!$AI$8),
"")</f>
        <v/>
      </c>
      <c r="AR31" s="96" t="str">
        <f>IFERROR(
Assumptions!$D$11*(Y31/(Assumptions!$AB$9*AQ31/100)+AN31)+
Assumptions!$D$10*(AD31/(Assumptions!$AB$8*AQ31/100)+AO31)+
Assumptions!$D$12*(AI31/(Assumptions!$AB$10*AQ31/100)+AP31),
"")</f>
        <v/>
      </c>
      <c r="AS31" s="76" t="str">
        <f>IFERROR(
(W31+X31)*Assumptions!$D$11+
(AB31+AC31)*Assumptions!$D$10+
(AG31+AH31)*Assumptions!$D$12,
"")</f>
        <v/>
      </c>
      <c r="AT31" s="77" t="str">
        <f t="shared" si="15"/>
        <v/>
      </c>
      <c r="AU31" s="68" t="str">
        <f t="shared" si="1"/>
        <v/>
      </c>
    </row>
    <row r="32" spans="1:47" s="7" customFormat="1" x14ac:dyDescent="0.25">
      <c r="A32" s="264"/>
      <c r="B32" s="265"/>
      <c r="C32" s="265"/>
      <c r="D32" s="265"/>
      <c r="E32" s="266"/>
      <c r="F32" s="270"/>
      <c r="G32" s="271"/>
      <c r="H32" s="271"/>
      <c r="I32" s="272"/>
      <c r="J32" s="270"/>
      <c r="K32" s="271"/>
      <c r="L32" s="272"/>
      <c r="M32" s="270"/>
      <c r="N32" s="271"/>
      <c r="O32" s="272"/>
      <c r="P32" s="290"/>
      <c r="Q32" s="291"/>
      <c r="R32" s="51" t="str">
        <f t="shared" si="0"/>
        <v/>
      </c>
      <c r="S32" s="84" t="str">
        <f t="shared" si="2"/>
        <v/>
      </c>
      <c r="T32" s="93" t="str">
        <f t="shared" si="3"/>
        <v/>
      </c>
      <c r="U32" s="100" t="str">
        <f t="shared" si="4"/>
        <v/>
      </c>
      <c r="V32" s="95" t="str">
        <f t="shared" si="5"/>
        <v/>
      </c>
      <c r="W32" s="95" t="str">
        <f t="shared" si="6"/>
        <v/>
      </c>
      <c r="X32" s="95" t="str">
        <f>IFERROR(AJ32*
(Assumptions!$S$7*(W32/P32)^3+
Assumptions!$S$8*(W32/P32)^2+
Assumptions!$S$9*(W32/P32)+
Assumptions!$S$10),
"")</f>
        <v/>
      </c>
      <c r="Y32" s="96" t="str">
        <f>IFERROR(U32*V32*Assumptions!$B$15/3956,"")</f>
        <v/>
      </c>
      <c r="Z32" s="102" t="str">
        <f t="shared" si="7"/>
        <v/>
      </c>
      <c r="AA32" s="95" t="str">
        <f t="shared" si="8"/>
        <v/>
      </c>
      <c r="AB32" s="95" t="str">
        <f t="shared" si="9"/>
        <v/>
      </c>
      <c r="AC32" s="95" t="str">
        <f>IFERROR(AJ32*
(Assumptions!$S$7*(AB32/P32)^3+
Assumptions!$S$8*(AB32/P32)^2+
Assumptions!$S$9*(AB32/P32)+
Assumptions!$S$10),
"")</f>
        <v/>
      </c>
      <c r="AD32" s="96" t="str">
        <f>IFERROR(Z32*AA32*Assumptions!$B$15/3956,"")</f>
        <v/>
      </c>
      <c r="AE32" s="102" t="str">
        <f t="shared" si="10"/>
        <v/>
      </c>
      <c r="AF32" s="95" t="str">
        <f t="shared" si="11"/>
        <v/>
      </c>
      <c r="AG32" s="95" t="str">
        <f t="shared" si="12"/>
        <v/>
      </c>
      <c r="AH32" s="95" t="str">
        <f>IFERROR(AJ32*
(Assumptions!$S$7*(AG32/P32)^3+
Assumptions!$S$8*(AG32/P32)^2+
Assumptions!$S$9*(AG32/P32)+
Assumptions!$S$10),
"")</f>
        <v/>
      </c>
      <c r="AI32" s="96" t="str">
        <f>IFERROR(AE32*AF32*Assumptions!$B$15/3956,"")</f>
        <v/>
      </c>
      <c r="AJ32" s="247" t="str">
        <f t="shared" si="13"/>
        <v/>
      </c>
      <c r="AK32" s="99" t="str">
        <f>IFERROR(
IF(C32="VTS",
IF(P32&gt;=AVERAGE(
INDEX(Assumptions!$I$38:$I$57,MATCH(P32,Assumptions!$I$38:$I$57,-1)),
INDEX(Assumptions!$I$38:$I$57,MATCH(P32,Assumptions!$I$38:$I$57,-1)+1)),
INDEX(Assumptions!$I$38:$I$57,MATCH(P32,Assumptions!$I$38:$I$57,-1)),
INDEX(Assumptions!$I$38:$I$57,MATCH(P32,Assumptions!$I$38:$I$57,-1)+1)),
IF(P32&gt;=AVERAGE(
INDEX(Assumptions!$I$13:$I$32,MATCH(P32,Assumptions!$I$13:$I$32,-1)),
INDEX(Assumptions!$I$13:$I$32,MATCH(P32,Assumptions!$I$13:$I$32,-1)+1)),
INDEX(Assumptions!$I$13:$I$32,MATCH(P32,Assumptions!$I$13:$I$32,-1)),
INDEX(Assumptions!$I$13:$I$32,MATCH(P32,Assumptions!$I$13:$I$32,-1)+1))),
"")</f>
        <v/>
      </c>
      <c r="AL32" s="95" t="str">
        <f>IFERROR(
IF(C32="VTS",
VLOOKUP(AK32,Assumptions!$I$38:$K$57,MATCH(R32,Assumptions!$I$37:$K$37,0),FALSE),
VLOOKUP(AK32,Assumptions!$I$13:$K$32,MATCH(R32,Assumptions!$I$12:$K$12,0),FALSE)),
"")</f>
        <v/>
      </c>
      <c r="AM32" s="95" t="str">
        <f t="shared" si="14"/>
        <v/>
      </c>
      <c r="AN32" s="95" t="str">
        <f>IFERROR(AM32*
(Assumptions!$S$7*(Y32/(AQ32*Assumptions!$AB$9/100)/P32)^3+
Assumptions!$S$8*(Y32/(AQ32*Assumptions!$AB$9/100)/P32)^2+
Assumptions!$S$9*(Y32/(AQ32*Assumptions!$AB$9/100)/P32)+
Assumptions!$S$10),"")</f>
        <v/>
      </c>
      <c r="AO32" s="95" t="str">
        <f>IFERROR(AM32*
(Assumptions!$S$7*(AD32/(AQ32*Assumptions!$AB$8/100)/P32)^3+
Assumptions!$S$8*(AD32/(AQ32*Assumptions!$AB$8/100)/P32)^2+
Assumptions!$S$9*(AD32/(AQ32*Assumptions!$AB$8/100)/P32)+
Assumptions!$S$10),"")</f>
        <v/>
      </c>
      <c r="AP32" s="95" t="str">
        <f>IFERROR(AM32*
(Assumptions!$S$7*(AI32/(AQ32*Assumptions!$AB$10/100)/P32)^3+
Assumptions!$S$8*(AI32/(AQ32*Assumptions!$AB$10/100)/P32)^2+
Assumptions!$S$9*(AI32/(AQ32*Assumptions!$AB$10/100)/P32)+
Assumptions!$S$10),"")</f>
        <v/>
      </c>
      <c r="AQ32" s="95" t="str">
        <f>IFERROR(
Assumptions!$AD$8*LN(U32)^2+
Assumptions!$AE$8*LN(T32)*LN(U32)+
Assumptions!$AF$8*LN(T32)^2+
Assumptions!$AG$8*LN(U32)+
Assumptions!$AH$8*LN(T32)-
(IF(S32=1800,
VLOOKUP(C32,Assumptions!$AA$13:$AC$17,3),
IF(S32=3600,
VLOOKUP(C32,Assumptions!$AA$18:$AC$22,3),
""))+Assumptions!$AI$8),
"")</f>
        <v/>
      </c>
      <c r="AR32" s="96" t="str">
        <f>IFERROR(
Assumptions!$D$11*(Y32/(Assumptions!$AB$9*AQ32/100)+AN32)+
Assumptions!$D$10*(AD32/(Assumptions!$AB$8*AQ32/100)+AO32)+
Assumptions!$D$12*(AI32/(Assumptions!$AB$10*AQ32/100)+AP32),
"")</f>
        <v/>
      </c>
      <c r="AS32" s="76" t="str">
        <f>IFERROR(
(W32+X32)*Assumptions!$D$11+
(AB32+AC32)*Assumptions!$D$10+
(AG32+AH32)*Assumptions!$D$12,
"")</f>
        <v/>
      </c>
      <c r="AT32" s="77" t="str">
        <f t="shared" si="15"/>
        <v/>
      </c>
      <c r="AU32" s="68" t="str">
        <f t="shared" si="1"/>
        <v/>
      </c>
    </row>
    <row r="33" spans="1:47" s="7" customFormat="1" x14ac:dyDescent="0.25">
      <c r="A33" s="264"/>
      <c r="B33" s="265"/>
      <c r="C33" s="265"/>
      <c r="D33" s="265"/>
      <c r="E33" s="266"/>
      <c r="F33" s="270"/>
      <c r="G33" s="271"/>
      <c r="H33" s="271"/>
      <c r="I33" s="272"/>
      <c r="J33" s="270"/>
      <c r="K33" s="271"/>
      <c r="L33" s="272"/>
      <c r="M33" s="270"/>
      <c r="N33" s="271"/>
      <c r="O33" s="272"/>
      <c r="P33" s="290"/>
      <c r="Q33" s="291"/>
      <c r="R33" s="51" t="str">
        <f t="shared" si="0"/>
        <v/>
      </c>
      <c r="S33" s="84" t="str">
        <f t="shared" si="2"/>
        <v/>
      </c>
      <c r="T33" s="93" t="str">
        <f t="shared" si="3"/>
        <v/>
      </c>
      <c r="U33" s="100" t="str">
        <f t="shared" si="4"/>
        <v/>
      </c>
      <c r="V33" s="95" t="str">
        <f t="shared" si="5"/>
        <v/>
      </c>
      <c r="W33" s="95" t="str">
        <f t="shared" si="6"/>
        <v/>
      </c>
      <c r="X33" s="95" t="str">
        <f>IFERROR(AJ33*
(Assumptions!$S$7*(W33/P33)^3+
Assumptions!$S$8*(W33/P33)^2+
Assumptions!$S$9*(W33/P33)+
Assumptions!$S$10),
"")</f>
        <v/>
      </c>
      <c r="Y33" s="96" t="str">
        <f>IFERROR(U33*V33*Assumptions!$B$15/3956,"")</f>
        <v/>
      </c>
      <c r="Z33" s="102" t="str">
        <f t="shared" si="7"/>
        <v/>
      </c>
      <c r="AA33" s="95" t="str">
        <f t="shared" si="8"/>
        <v/>
      </c>
      <c r="AB33" s="95" t="str">
        <f t="shared" si="9"/>
        <v/>
      </c>
      <c r="AC33" s="95" t="str">
        <f>IFERROR(AJ33*
(Assumptions!$S$7*(AB33/P33)^3+
Assumptions!$S$8*(AB33/P33)^2+
Assumptions!$S$9*(AB33/P33)+
Assumptions!$S$10),
"")</f>
        <v/>
      </c>
      <c r="AD33" s="96" t="str">
        <f>IFERROR(Z33*AA33*Assumptions!$B$15/3956,"")</f>
        <v/>
      </c>
      <c r="AE33" s="102" t="str">
        <f t="shared" si="10"/>
        <v/>
      </c>
      <c r="AF33" s="95" t="str">
        <f t="shared" si="11"/>
        <v/>
      </c>
      <c r="AG33" s="95" t="str">
        <f t="shared" si="12"/>
        <v/>
      </c>
      <c r="AH33" s="95" t="str">
        <f>IFERROR(AJ33*
(Assumptions!$S$7*(AG33/P33)^3+
Assumptions!$S$8*(AG33/P33)^2+
Assumptions!$S$9*(AG33/P33)+
Assumptions!$S$10),
"")</f>
        <v/>
      </c>
      <c r="AI33" s="96" t="str">
        <f>IFERROR(AE33*AF33*Assumptions!$B$15/3956,"")</f>
        <v/>
      </c>
      <c r="AJ33" s="247" t="str">
        <f t="shared" si="13"/>
        <v/>
      </c>
      <c r="AK33" s="99" t="str">
        <f>IFERROR(
IF(C33="VTS",
IF(P33&gt;=AVERAGE(
INDEX(Assumptions!$I$38:$I$57,MATCH(P33,Assumptions!$I$38:$I$57,-1)),
INDEX(Assumptions!$I$38:$I$57,MATCH(P33,Assumptions!$I$38:$I$57,-1)+1)),
INDEX(Assumptions!$I$38:$I$57,MATCH(P33,Assumptions!$I$38:$I$57,-1)),
INDEX(Assumptions!$I$38:$I$57,MATCH(P33,Assumptions!$I$38:$I$57,-1)+1)),
IF(P33&gt;=AVERAGE(
INDEX(Assumptions!$I$13:$I$32,MATCH(P33,Assumptions!$I$13:$I$32,-1)),
INDEX(Assumptions!$I$13:$I$32,MATCH(P33,Assumptions!$I$13:$I$32,-1)+1)),
INDEX(Assumptions!$I$13:$I$32,MATCH(P33,Assumptions!$I$13:$I$32,-1)),
INDEX(Assumptions!$I$13:$I$32,MATCH(P33,Assumptions!$I$13:$I$32,-1)+1))),
"")</f>
        <v/>
      </c>
      <c r="AL33" s="95" t="str">
        <f>IFERROR(
IF(C33="VTS",
VLOOKUP(AK33,Assumptions!$I$38:$K$57,MATCH(R33,Assumptions!$I$37:$K$37,0),FALSE),
VLOOKUP(AK33,Assumptions!$I$13:$K$32,MATCH(R33,Assumptions!$I$12:$K$12,0),FALSE)),
"")</f>
        <v/>
      </c>
      <c r="AM33" s="95" t="str">
        <f t="shared" si="14"/>
        <v/>
      </c>
      <c r="AN33" s="95" t="str">
        <f>IFERROR(AM33*
(Assumptions!$S$7*(Y33/(AQ33*Assumptions!$AB$9/100)/P33)^3+
Assumptions!$S$8*(Y33/(AQ33*Assumptions!$AB$9/100)/P33)^2+
Assumptions!$S$9*(Y33/(AQ33*Assumptions!$AB$9/100)/P33)+
Assumptions!$S$10),"")</f>
        <v/>
      </c>
      <c r="AO33" s="95" t="str">
        <f>IFERROR(AM33*
(Assumptions!$S$7*(AD33/(AQ33*Assumptions!$AB$8/100)/P33)^3+
Assumptions!$S$8*(AD33/(AQ33*Assumptions!$AB$8/100)/P33)^2+
Assumptions!$S$9*(AD33/(AQ33*Assumptions!$AB$8/100)/P33)+
Assumptions!$S$10),"")</f>
        <v/>
      </c>
      <c r="AP33" s="95" t="str">
        <f>IFERROR(AM33*
(Assumptions!$S$7*(AI33/(AQ33*Assumptions!$AB$10/100)/P33)^3+
Assumptions!$S$8*(AI33/(AQ33*Assumptions!$AB$10/100)/P33)^2+
Assumptions!$S$9*(AI33/(AQ33*Assumptions!$AB$10/100)/P33)+
Assumptions!$S$10),"")</f>
        <v/>
      </c>
      <c r="AQ33" s="95" t="str">
        <f>IFERROR(
Assumptions!$AD$8*LN(U33)^2+
Assumptions!$AE$8*LN(T33)*LN(U33)+
Assumptions!$AF$8*LN(T33)^2+
Assumptions!$AG$8*LN(U33)+
Assumptions!$AH$8*LN(T33)-
(IF(S33=1800,
VLOOKUP(C33,Assumptions!$AA$13:$AC$17,3),
IF(S33=3600,
VLOOKUP(C33,Assumptions!$AA$18:$AC$22,3),
""))+Assumptions!$AI$8),
"")</f>
        <v/>
      </c>
      <c r="AR33" s="96" t="str">
        <f>IFERROR(
Assumptions!$D$11*(Y33/(Assumptions!$AB$9*AQ33/100)+AN33)+
Assumptions!$D$10*(AD33/(Assumptions!$AB$8*AQ33/100)+AO33)+
Assumptions!$D$12*(AI33/(Assumptions!$AB$10*AQ33/100)+AP33),
"")</f>
        <v/>
      </c>
      <c r="AS33" s="76" t="str">
        <f>IFERROR(
(W33+X33)*Assumptions!$D$11+
(AB33+AC33)*Assumptions!$D$10+
(AG33+AH33)*Assumptions!$D$12,
"")</f>
        <v/>
      </c>
      <c r="AT33" s="77" t="str">
        <f t="shared" si="15"/>
        <v/>
      </c>
      <c r="AU33" s="68" t="str">
        <f t="shared" si="1"/>
        <v/>
      </c>
    </row>
    <row r="34" spans="1:47" s="7" customFormat="1" x14ac:dyDescent="0.25">
      <c r="A34" s="264"/>
      <c r="B34" s="265"/>
      <c r="C34" s="265"/>
      <c r="D34" s="265"/>
      <c r="E34" s="266"/>
      <c r="F34" s="270"/>
      <c r="G34" s="271"/>
      <c r="H34" s="271"/>
      <c r="I34" s="272"/>
      <c r="J34" s="270"/>
      <c r="K34" s="271"/>
      <c r="L34" s="272"/>
      <c r="M34" s="270"/>
      <c r="N34" s="271"/>
      <c r="O34" s="272"/>
      <c r="P34" s="290"/>
      <c r="Q34" s="291"/>
      <c r="R34" s="51" t="str">
        <f t="shared" si="0"/>
        <v/>
      </c>
      <c r="S34" s="84" t="str">
        <f t="shared" si="2"/>
        <v/>
      </c>
      <c r="T34" s="93" t="str">
        <f t="shared" si="3"/>
        <v/>
      </c>
      <c r="U34" s="100" t="str">
        <f t="shared" si="4"/>
        <v/>
      </c>
      <c r="V34" s="95" t="str">
        <f t="shared" si="5"/>
        <v/>
      </c>
      <c r="W34" s="95" t="str">
        <f t="shared" si="6"/>
        <v/>
      </c>
      <c r="X34" s="95" t="str">
        <f>IFERROR(AJ34*
(Assumptions!$S$7*(W34/P34)^3+
Assumptions!$S$8*(W34/P34)^2+
Assumptions!$S$9*(W34/P34)+
Assumptions!$S$10),
"")</f>
        <v/>
      </c>
      <c r="Y34" s="96" t="str">
        <f>IFERROR(U34*V34*Assumptions!$B$15/3956,"")</f>
        <v/>
      </c>
      <c r="Z34" s="102" t="str">
        <f t="shared" si="7"/>
        <v/>
      </c>
      <c r="AA34" s="95" t="str">
        <f t="shared" si="8"/>
        <v/>
      </c>
      <c r="AB34" s="95" t="str">
        <f t="shared" si="9"/>
        <v/>
      </c>
      <c r="AC34" s="95" t="str">
        <f>IFERROR(AJ34*
(Assumptions!$S$7*(AB34/P34)^3+
Assumptions!$S$8*(AB34/P34)^2+
Assumptions!$S$9*(AB34/P34)+
Assumptions!$S$10),
"")</f>
        <v/>
      </c>
      <c r="AD34" s="96" t="str">
        <f>IFERROR(Z34*AA34*Assumptions!$B$15/3956,"")</f>
        <v/>
      </c>
      <c r="AE34" s="102" t="str">
        <f t="shared" si="10"/>
        <v/>
      </c>
      <c r="AF34" s="95" t="str">
        <f t="shared" si="11"/>
        <v/>
      </c>
      <c r="AG34" s="95" t="str">
        <f t="shared" si="12"/>
        <v/>
      </c>
      <c r="AH34" s="95" t="str">
        <f>IFERROR(AJ34*
(Assumptions!$S$7*(AG34/P34)^3+
Assumptions!$S$8*(AG34/P34)^2+
Assumptions!$S$9*(AG34/P34)+
Assumptions!$S$10),
"")</f>
        <v/>
      </c>
      <c r="AI34" s="96" t="str">
        <f>IFERROR(AE34*AF34*Assumptions!$B$15/3956,"")</f>
        <v/>
      </c>
      <c r="AJ34" s="247" t="str">
        <f t="shared" si="13"/>
        <v/>
      </c>
      <c r="AK34" s="99" t="str">
        <f>IFERROR(
IF(C34="VTS",
IF(P34&gt;=AVERAGE(
INDEX(Assumptions!$I$38:$I$57,MATCH(P34,Assumptions!$I$38:$I$57,-1)),
INDEX(Assumptions!$I$38:$I$57,MATCH(P34,Assumptions!$I$38:$I$57,-1)+1)),
INDEX(Assumptions!$I$38:$I$57,MATCH(P34,Assumptions!$I$38:$I$57,-1)),
INDEX(Assumptions!$I$38:$I$57,MATCH(P34,Assumptions!$I$38:$I$57,-1)+1)),
IF(P34&gt;=AVERAGE(
INDEX(Assumptions!$I$13:$I$32,MATCH(P34,Assumptions!$I$13:$I$32,-1)),
INDEX(Assumptions!$I$13:$I$32,MATCH(P34,Assumptions!$I$13:$I$32,-1)+1)),
INDEX(Assumptions!$I$13:$I$32,MATCH(P34,Assumptions!$I$13:$I$32,-1)),
INDEX(Assumptions!$I$13:$I$32,MATCH(P34,Assumptions!$I$13:$I$32,-1)+1))),
"")</f>
        <v/>
      </c>
      <c r="AL34" s="95" t="str">
        <f>IFERROR(
IF(C34="VTS",
VLOOKUP(AK34,Assumptions!$I$38:$K$57,MATCH(R34,Assumptions!$I$37:$K$37,0),FALSE),
VLOOKUP(AK34,Assumptions!$I$13:$K$32,MATCH(R34,Assumptions!$I$12:$K$12,0),FALSE)),
"")</f>
        <v/>
      </c>
      <c r="AM34" s="95" t="str">
        <f t="shared" si="14"/>
        <v/>
      </c>
      <c r="AN34" s="95" t="str">
        <f>IFERROR(AM34*
(Assumptions!$S$7*(Y34/(AQ34*Assumptions!$AB$9/100)/P34)^3+
Assumptions!$S$8*(Y34/(AQ34*Assumptions!$AB$9/100)/P34)^2+
Assumptions!$S$9*(Y34/(AQ34*Assumptions!$AB$9/100)/P34)+
Assumptions!$S$10),"")</f>
        <v/>
      </c>
      <c r="AO34" s="95" t="str">
        <f>IFERROR(AM34*
(Assumptions!$S$7*(AD34/(AQ34*Assumptions!$AB$8/100)/P34)^3+
Assumptions!$S$8*(AD34/(AQ34*Assumptions!$AB$8/100)/P34)^2+
Assumptions!$S$9*(AD34/(AQ34*Assumptions!$AB$8/100)/P34)+
Assumptions!$S$10),"")</f>
        <v/>
      </c>
      <c r="AP34" s="95" t="str">
        <f>IFERROR(AM34*
(Assumptions!$S$7*(AI34/(AQ34*Assumptions!$AB$10/100)/P34)^3+
Assumptions!$S$8*(AI34/(AQ34*Assumptions!$AB$10/100)/P34)^2+
Assumptions!$S$9*(AI34/(AQ34*Assumptions!$AB$10/100)/P34)+
Assumptions!$S$10),"")</f>
        <v/>
      </c>
      <c r="AQ34" s="95" t="str">
        <f>IFERROR(
Assumptions!$AD$8*LN(U34)^2+
Assumptions!$AE$8*LN(T34)*LN(U34)+
Assumptions!$AF$8*LN(T34)^2+
Assumptions!$AG$8*LN(U34)+
Assumptions!$AH$8*LN(T34)-
(IF(S34=1800,
VLOOKUP(C34,Assumptions!$AA$13:$AC$17,3),
IF(S34=3600,
VLOOKUP(C34,Assumptions!$AA$18:$AC$22,3),
""))+Assumptions!$AI$8),
"")</f>
        <v/>
      </c>
      <c r="AR34" s="96" t="str">
        <f>IFERROR(
Assumptions!$D$11*(Y34/(Assumptions!$AB$9*AQ34/100)+AN34)+
Assumptions!$D$10*(AD34/(Assumptions!$AB$8*AQ34/100)+AO34)+
Assumptions!$D$12*(AI34/(Assumptions!$AB$10*AQ34/100)+AP34),
"")</f>
        <v/>
      </c>
      <c r="AS34" s="76" t="str">
        <f>IFERROR(
(W34+X34)*Assumptions!$D$11+
(AB34+AC34)*Assumptions!$D$10+
(AG34+AH34)*Assumptions!$D$12,
"")</f>
        <v/>
      </c>
      <c r="AT34" s="77" t="str">
        <f t="shared" si="15"/>
        <v/>
      </c>
      <c r="AU34" s="68" t="str">
        <f t="shared" si="1"/>
        <v/>
      </c>
    </row>
    <row r="35" spans="1:47" s="7" customFormat="1" x14ac:dyDescent="0.25">
      <c r="A35" s="264"/>
      <c r="B35" s="265"/>
      <c r="C35" s="265"/>
      <c r="D35" s="265"/>
      <c r="E35" s="266"/>
      <c r="F35" s="270"/>
      <c r="G35" s="271"/>
      <c r="H35" s="271"/>
      <c r="I35" s="272"/>
      <c r="J35" s="270"/>
      <c r="K35" s="271"/>
      <c r="L35" s="272"/>
      <c r="M35" s="270"/>
      <c r="N35" s="271"/>
      <c r="O35" s="272"/>
      <c r="P35" s="290"/>
      <c r="Q35" s="291"/>
      <c r="R35" s="51" t="str">
        <f t="shared" si="0"/>
        <v/>
      </c>
      <c r="S35" s="84" t="str">
        <f t="shared" si="2"/>
        <v/>
      </c>
      <c r="T35" s="93" t="str">
        <f t="shared" si="3"/>
        <v/>
      </c>
      <c r="U35" s="100" t="str">
        <f t="shared" si="4"/>
        <v/>
      </c>
      <c r="V35" s="95" t="str">
        <f t="shared" si="5"/>
        <v/>
      </c>
      <c r="W35" s="95" t="str">
        <f t="shared" si="6"/>
        <v/>
      </c>
      <c r="X35" s="95" t="str">
        <f>IFERROR(AJ35*
(Assumptions!$S$7*(W35/P35)^3+
Assumptions!$S$8*(W35/P35)^2+
Assumptions!$S$9*(W35/P35)+
Assumptions!$S$10),
"")</f>
        <v/>
      </c>
      <c r="Y35" s="96" t="str">
        <f>IFERROR(U35*V35*Assumptions!$B$15/3956,"")</f>
        <v/>
      </c>
      <c r="Z35" s="102" t="str">
        <f t="shared" si="7"/>
        <v/>
      </c>
      <c r="AA35" s="95" t="str">
        <f t="shared" si="8"/>
        <v/>
      </c>
      <c r="AB35" s="95" t="str">
        <f t="shared" si="9"/>
        <v/>
      </c>
      <c r="AC35" s="95" t="str">
        <f>IFERROR(AJ35*
(Assumptions!$S$7*(AB35/P35)^3+
Assumptions!$S$8*(AB35/P35)^2+
Assumptions!$S$9*(AB35/P35)+
Assumptions!$S$10),
"")</f>
        <v/>
      </c>
      <c r="AD35" s="96" t="str">
        <f>IFERROR(Z35*AA35*Assumptions!$B$15/3956,"")</f>
        <v/>
      </c>
      <c r="AE35" s="102" t="str">
        <f t="shared" si="10"/>
        <v/>
      </c>
      <c r="AF35" s="95" t="str">
        <f t="shared" si="11"/>
        <v/>
      </c>
      <c r="AG35" s="95" t="str">
        <f t="shared" si="12"/>
        <v/>
      </c>
      <c r="AH35" s="95" t="str">
        <f>IFERROR(AJ35*
(Assumptions!$S$7*(AG35/P35)^3+
Assumptions!$S$8*(AG35/P35)^2+
Assumptions!$S$9*(AG35/P35)+
Assumptions!$S$10),
"")</f>
        <v/>
      </c>
      <c r="AI35" s="96" t="str">
        <f>IFERROR(AE35*AF35*Assumptions!$B$15/3956,"")</f>
        <v/>
      </c>
      <c r="AJ35" s="247" t="str">
        <f t="shared" si="13"/>
        <v/>
      </c>
      <c r="AK35" s="99" t="str">
        <f>IFERROR(
IF(C35="VTS",
IF(P35&gt;=AVERAGE(
INDEX(Assumptions!$I$38:$I$57,MATCH(P35,Assumptions!$I$38:$I$57,-1)),
INDEX(Assumptions!$I$38:$I$57,MATCH(P35,Assumptions!$I$38:$I$57,-1)+1)),
INDEX(Assumptions!$I$38:$I$57,MATCH(P35,Assumptions!$I$38:$I$57,-1)),
INDEX(Assumptions!$I$38:$I$57,MATCH(P35,Assumptions!$I$38:$I$57,-1)+1)),
IF(P35&gt;=AVERAGE(
INDEX(Assumptions!$I$13:$I$32,MATCH(P35,Assumptions!$I$13:$I$32,-1)),
INDEX(Assumptions!$I$13:$I$32,MATCH(P35,Assumptions!$I$13:$I$32,-1)+1)),
INDEX(Assumptions!$I$13:$I$32,MATCH(P35,Assumptions!$I$13:$I$32,-1)),
INDEX(Assumptions!$I$13:$I$32,MATCH(P35,Assumptions!$I$13:$I$32,-1)+1))),
"")</f>
        <v/>
      </c>
      <c r="AL35" s="95" t="str">
        <f>IFERROR(
IF(C35="VTS",
VLOOKUP(AK35,Assumptions!$I$38:$K$57,MATCH(R35,Assumptions!$I$37:$K$37,0),FALSE),
VLOOKUP(AK35,Assumptions!$I$13:$K$32,MATCH(R35,Assumptions!$I$12:$K$12,0),FALSE)),
"")</f>
        <v/>
      </c>
      <c r="AM35" s="95" t="str">
        <f t="shared" si="14"/>
        <v/>
      </c>
      <c r="AN35" s="95" t="str">
        <f>IFERROR(AM35*
(Assumptions!$S$7*(Y35/(AQ35*Assumptions!$AB$9/100)/P35)^3+
Assumptions!$S$8*(Y35/(AQ35*Assumptions!$AB$9/100)/P35)^2+
Assumptions!$S$9*(Y35/(AQ35*Assumptions!$AB$9/100)/P35)+
Assumptions!$S$10),"")</f>
        <v/>
      </c>
      <c r="AO35" s="95" t="str">
        <f>IFERROR(AM35*
(Assumptions!$S$7*(AD35/(AQ35*Assumptions!$AB$8/100)/P35)^3+
Assumptions!$S$8*(AD35/(AQ35*Assumptions!$AB$8/100)/P35)^2+
Assumptions!$S$9*(AD35/(AQ35*Assumptions!$AB$8/100)/P35)+
Assumptions!$S$10),"")</f>
        <v/>
      </c>
      <c r="AP35" s="95" t="str">
        <f>IFERROR(AM35*
(Assumptions!$S$7*(AI35/(AQ35*Assumptions!$AB$10/100)/P35)^3+
Assumptions!$S$8*(AI35/(AQ35*Assumptions!$AB$10/100)/P35)^2+
Assumptions!$S$9*(AI35/(AQ35*Assumptions!$AB$10/100)/P35)+
Assumptions!$S$10),"")</f>
        <v/>
      </c>
      <c r="AQ35" s="95" t="str">
        <f>IFERROR(
Assumptions!$AD$8*LN(U35)^2+
Assumptions!$AE$8*LN(T35)*LN(U35)+
Assumptions!$AF$8*LN(T35)^2+
Assumptions!$AG$8*LN(U35)+
Assumptions!$AH$8*LN(T35)-
(IF(S35=1800,
VLOOKUP(C35,Assumptions!$AA$13:$AC$17,3),
IF(S35=3600,
VLOOKUP(C35,Assumptions!$AA$18:$AC$22,3),
""))+Assumptions!$AI$8),
"")</f>
        <v/>
      </c>
      <c r="AR35" s="96" t="str">
        <f>IFERROR(
Assumptions!$D$11*(Y35/(Assumptions!$AB$9*AQ35/100)+AN35)+
Assumptions!$D$10*(AD35/(Assumptions!$AB$8*AQ35/100)+AO35)+
Assumptions!$D$12*(AI35/(Assumptions!$AB$10*AQ35/100)+AP35),
"")</f>
        <v/>
      </c>
      <c r="AS35" s="76" t="str">
        <f>IFERROR(
(W35+X35)*Assumptions!$D$11+
(AB35+AC35)*Assumptions!$D$10+
(AG35+AH35)*Assumptions!$D$12,
"")</f>
        <v/>
      </c>
      <c r="AT35" s="77" t="str">
        <f t="shared" si="15"/>
        <v/>
      </c>
      <c r="AU35" s="68" t="str">
        <f t="shared" si="1"/>
        <v/>
      </c>
    </row>
    <row r="36" spans="1:47" s="7" customFormat="1" x14ac:dyDescent="0.25">
      <c r="A36" s="264"/>
      <c r="B36" s="265"/>
      <c r="C36" s="265"/>
      <c r="D36" s="265"/>
      <c r="E36" s="266"/>
      <c r="F36" s="270"/>
      <c r="G36" s="271"/>
      <c r="H36" s="271"/>
      <c r="I36" s="272"/>
      <c r="J36" s="270"/>
      <c r="K36" s="271"/>
      <c r="L36" s="272"/>
      <c r="M36" s="270"/>
      <c r="N36" s="271"/>
      <c r="O36" s="272"/>
      <c r="P36" s="290"/>
      <c r="Q36" s="291"/>
      <c r="R36" s="51" t="str">
        <f t="shared" si="0"/>
        <v/>
      </c>
      <c r="S36" s="84" t="str">
        <f t="shared" si="2"/>
        <v/>
      </c>
      <c r="T36" s="93" t="str">
        <f t="shared" si="3"/>
        <v/>
      </c>
      <c r="U36" s="100" t="str">
        <f t="shared" si="4"/>
        <v/>
      </c>
      <c r="V36" s="95" t="str">
        <f t="shared" si="5"/>
        <v/>
      </c>
      <c r="W36" s="95" t="str">
        <f t="shared" si="6"/>
        <v/>
      </c>
      <c r="X36" s="95" t="str">
        <f>IFERROR(AJ36*
(Assumptions!$S$7*(W36/P36)^3+
Assumptions!$S$8*(W36/P36)^2+
Assumptions!$S$9*(W36/P36)+
Assumptions!$S$10),
"")</f>
        <v/>
      </c>
      <c r="Y36" s="96" t="str">
        <f>IFERROR(U36*V36*Assumptions!$B$15/3956,"")</f>
        <v/>
      </c>
      <c r="Z36" s="102" t="str">
        <f t="shared" si="7"/>
        <v/>
      </c>
      <c r="AA36" s="95" t="str">
        <f t="shared" si="8"/>
        <v/>
      </c>
      <c r="AB36" s="95" t="str">
        <f t="shared" si="9"/>
        <v/>
      </c>
      <c r="AC36" s="95" t="str">
        <f>IFERROR(AJ36*
(Assumptions!$S$7*(AB36/P36)^3+
Assumptions!$S$8*(AB36/P36)^2+
Assumptions!$S$9*(AB36/P36)+
Assumptions!$S$10),
"")</f>
        <v/>
      </c>
      <c r="AD36" s="96" t="str">
        <f>IFERROR(Z36*AA36*Assumptions!$B$15/3956,"")</f>
        <v/>
      </c>
      <c r="AE36" s="102" t="str">
        <f t="shared" si="10"/>
        <v/>
      </c>
      <c r="AF36" s="95" t="str">
        <f t="shared" si="11"/>
        <v/>
      </c>
      <c r="AG36" s="95" t="str">
        <f t="shared" si="12"/>
        <v/>
      </c>
      <c r="AH36" s="95" t="str">
        <f>IFERROR(AJ36*
(Assumptions!$S$7*(AG36/P36)^3+
Assumptions!$S$8*(AG36/P36)^2+
Assumptions!$S$9*(AG36/P36)+
Assumptions!$S$10),
"")</f>
        <v/>
      </c>
      <c r="AI36" s="96" t="str">
        <f>IFERROR(AE36*AF36*Assumptions!$B$15/3956,"")</f>
        <v/>
      </c>
      <c r="AJ36" s="247" t="str">
        <f t="shared" si="13"/>
        <v/>
      </c>
      <c r="AK36" s="99" t="str">
        <f>IFERROR(
IF(C36="VTS",
IF(P36&gt;=AVERAGE(
INDEX(Assumptions!$I$38:$I$57,MATCH(P36,Assumptions!$I$38:$I$57,-1)),
INDEX(Assumptions!$I$38:$I$57,MATCH(P36,Assumptions!$I$38:$I$57,-1)+1)),
INDEX(Assumptions!$I$38:$I$57,MATCH(P36,Assumptions!$I$38:$I$57,-1)),
INDEX(Assumptions!$I$38:$I$57,MATCH(P36,Assumptions!$I$38:$I$57,-1)+1)),
IF(P36&gt;=AVERAGE(
INDEX(Assumptions!$I$13:$I$32,MATCH(P36,Assumptions!$I$13:$I$32,-1)),
INDEX(Assumptions!$I$13:$I$32,MATCH(P36,Assumptions!$I$13:$I$32,-1)+1)),
INDEX(Assumptions!$I$13:$I$32,MATCH(P36,Assumptions!$I$13:$I$32,-1)),
INDEX(Assumptions!$I$13:$I$32,MATCH(P36,Assumptions!$I$13:$I$32,-1)+1))),
"")</f>
        <v/>
      </c>
      <c r="AL36" s="95" t="str">
        <f>IFERROR(
IF(C36="VTS",
VLOOKUP(AK36,Assumptions!$I$38:$K$57,MATCH(R36,Assumptions!$I$37:$K$37,0),FALSE),
VLOOKUP(AK36,Assumptions!$I$13:$K$32,MATCH(R36,Assumptions!$I$12:$K$12,0),FALSE)),
"")</f>
        <v/>
      </c>
      <c r="AM36" s="95" t="str">
        <f t="shared" si="14"/>
        <v/>
      </c>
      <c r="AN36" s="95" t="str">
        <f>IFERROR(AM36*
(Assumptions!$S$7*(Y36/(AQ36*Assumptions!$AB$9/100)/P36)^3+
Assumptions!$S$8*(Y36/(AQ36*Assumptions!$AB$9/100)/P36)^2+
Assumptions!$S$9*(Y36/(AQ36*Assumptions!$AB$9/100)/P36)+
Assumptions!$S$10),"")</f>
        <v/>
      </c>
      <c r="AO36" s="95" t="str">
        <f>IFERROR(AM36*
(Assumptions!$S$7*(AD36/(AQ36*Assumptions!$AB$8/100)/P36)^3+
Assumptions!$S$8*(AD36/(AQ36*Assumptions!$AB$8/100)/P36)^2+
Assumptions!$S$9*(AD36/(AQ36*Assumptions!$AB$8/100)/P36)+
Assumptions!$S$10),"")</f>
        <v/>
      </c>
      <c r="AP36" s="95" t="str">
        <f>IFERROR(AM36*
(Assumptions!$S$7*(AI36/(AQ36*Assumptions!$AB$10/100)/P36)^3+
Assumptions!$S$8*(AI36/(AQ36*Assumptions!$AB$10/100)/P36)^2+
Assumptions!$S$9*(AI36/(AQ36*Assumptions!$AB$10/100)/P36)+
Assumptions!$S$10),"")</f>
        <v/>
      </c>
      <c r="AQ36" s="95" t="str">
        <f>IFERROR(
Assumptions!$AD$8*LN(U36)^2+
Assumptions!$AE$8*LN(T36)*LN(U36)+
Assumptions!$AF$8*LN(T36)^2+
Assumptions!$AG$8*LN(U36)+
Assumptions!$AH$8*LN(T36)-
(IF(S36=1800,
VLOOKUP(C36,Assumptions!$AA$13:$AC$17,3),
IF(S36=3600,
VLOOKUP(C36,Assumptions!$AA$18:$AC$22,3),
""))+Assumptions!$AI$8),
"")</f>
        <v/>
      </c>
      <c r="AR36" s="96" t="str">
        <f>IFERROR(
Assumptions!$D$11*(Y36/(Assumptions!$AB$9*AQ36/100)+AN36)+
Assumptions!$D$10*(AD36/(Assumptions!$AB$8*AQ36/100)+AO36)+
Assumptions!$D$12*(AI36/(Assumptions!$AB$10*AQ36/100)+AP36),
"")</f>
        <v/>
      </c>
      <c r="AS36" s="76" t="str">
        <f>IFERROR(
(W36+X36)*Assumptions!$D$11+
(AB36+AC36)*Assumptions!$D$10+
(AG36+AH36)*Assumptions!$D$12,
"")</f>
        <v/>
      </c>
      <c r="AT36" s="77" t="str">
        <f t="shared" si="15"/>
        <v/>
      </c>
      <c r="AU36" s="68" t="str">
        <f t="shared" si="1"/>
        <v/>
      </c>
    </row>
    <row r="37" spans="1:47" s="7" customFormat="1" x14ac:dyDescent="0.25">
      <c r="A37" s="264"/>
      <c r="B37" s="265"/>
      <c r="C37" s="265"/>
      <c r="D37" s="265"/>
      <c r="E37" s="266"/>
      <c r="F37" s="270"/>
      <c r="G37" s="271"/>
      <c r="H37" s="271"/>
      <c r="I37" s="272"/>
      <c r="J37" s="270"/>
      <c r="K37" s="271"/>
      <c r="L37" s="272"/>
      <c r="M37" s="270"/>
      <c r="N37" s="271"/>
      <c r="O37" s="272"/>
      <c r="P37" s="290"/>
      <c r="Q37" s="291"/>
      <c r="R37" s="51" t="str">
        <f t="shared" si="0"/>
        <v/>
      </c>
      <c r="S37" s="84" t="str">
        <f t="shared" si="2"/>
        <v/>
      </c>
      <c r="T37" s="93" t="str">
        <f t="shared" si="3"/>
        <v/>
      </c>
      <c r="U37" s="100" t="str">
        <f t="shared" si="4"/>
        <v/>
      </c>
      <c r="V37" s="95" t="str">
        <f t="shared" si="5"/>
        <v/>
      </c>
      <c r="W37" s="95" t="str">
        <f t="shared" si="6"/>
        <v/>
      </c>
      <c r="X37" s="95" t="str">
        <f>IFERROR(AJ37*
(Assumptions!$S$7*(W37/P37)^3+
Assumptions!$S$8*(W37/P37)^2+
Assumptions!$S$9*(W37/P37)+
Assumptions!$S$10),
"")</f>
        <v/>
      </c>
      <c r="Y37" s="96" t="str">
        <f>IFERROR(U37*V37*Assumptions!$B$15/3956,"")</f>
        <v/>
      </c>
      <c r="Z37" s="102" t="str">
        <f t="shared" si="7"/>
        <v/>
      </c>
      <c r="AA37" s="95" t="str">
        <f t="shared" si="8"/>
        <v/>
      </c>
      <c r="AB37" s="95" t="str">
        <f t="shared" si="9"/>
        <v/>
      </c>
      <c r="AC37" s="95" t="str">
        <f>IFERROR(AJ37*
(Assumptions!$S$7*(AB37/P37)^3+
Assumptions!$S$8*(AB37/P37)^2+
Assumptions!$S$9*(AB37/P37)+
Assumptions!$S$10),
"")</f>
        <v/>
      </c>
      <c r="AD37" s="96" t="str">
        <f>IFERROR(Z37*AA37*Assumptions!$B$15/3956,"")</f>
        <v/>
      </c>
      <c r="AE37" s="102" t="str">
        <f t="shared" si="10"/>
        <v/>
      </c>
      <c r="AF37" s="95" t="str">
        <f t="shared" si="11"/>
        <v/>
      </c>
      <c r="AG37" s="95" t="str">
        <f t="shared" si="12"/>
        <v/>
      </c>
      <c r="AH37" s="95" t="str">
        <f>IFERROR(AJ37*
(Assumptions!$S$7*(AG37/P37)^3+
Assumptions!$S$8*(AG37/P37)^2+
Assumptions!$S$9*(AG37/P37)+
Assumptions!$S$10),
"")</f>
        <v/>
      </c>
      <c r="AI37" s="96" t="str">
        <f>IFERROR(AE37*AF37*Assumptions!$B$15/3956,"")</f>
        <v/>
      </c>
      <c r="AJ37" s="247" t="str">
        <f t="shared" si="13"/>
        <v/>
      </c>
      <c r="AK37" s="99" t="str">
        <f>IFERROR(
IF(C37="VTS",
IF(P37&gt;=AVERAGE(
INDEX(Assumptions!$I$38:$I$57,MATCH(P37,Assumptions!$I$38:$I$57,-1)),
INDEX(Assumptions!$I$38:$I$57,MATCH(P37,Assumptions!$I$38:$I$57,-1)+1)),
INDEX(Assumptions!$I$38:$I$57,MATCH(P37,Assumptions!$I$38:$I$57,-1)),
INDEX(Assumptions!$I$38:$I$57,MATCH(P37,Assumptions!$I$38:$I$57,-1)+1)),
IF(P37&gt;=AVERAGE(
INDEX(Assumptions!$I$13:$I$32,MATCH(P37,Assumptions!$I$13:$I$32,-1)),
INDEX(Assumptions!$I$13:$I$32,MATCH(P37,Assumptions!$I$13:$I$32,-1)+1)),
INDEX(Assumptions!$I$13:$I$32,MATCH(P37,Assumptions!$I$13:$I$32,-1)),
INDEX(Assumptions!$I$13:$I$32,MATCH(P37,Assumptions!$I$13:$I$32,-1)+1))),
"")</f>
        <v/>
      </c>
      <c r="AL37" s="95" t="str">
        <f>IFERROR(
IF(C37="VTS",
VLOOKUP(AK37,Assumptions!$I$38:$K$57,MATCH(R37,Assumptions!$I$37:$K$37,0),FALSE),
VLOOKUP(AK37,Assumptions!$I$13:$K$32,MATCH(R37,Assumptions!$I$12:$K$12,0),FALSE)),
"")</f>
        <v/>
      </c>
      <c r="AM37" s="95" t="str">
        <f t="shared" si="14"/>
        <v/>
      </c>
      <c r="AN37" s="95" t="str">
        <f>IFERROR(AM37*
(Assumptions!$S$7*(Y37/(AQ37*Assumptions!$AB$9/100)/P37)^3+
Assumptions!$S$8*(Y37/(AQ37*Assumptions!$AB$9/100)/P37)^2+
Assumptions!$S$9*(Y37/(AQ37*Assumptions!$AB$9/100)/P37)+
Assumptions!$S$10),"")</f>
        <v/>
      </c>
      <c r="AO37" s="95" t="str">
        <f>IFERROR(AM37*
(Assumptions!$S$7*(AD37/(AQ37*Assumptions!$AB$8/100)/P37)^3+
Assumptions!$S$8*(AD37/(AQ37*Assumptions!$AB$8/100)/P37)^2+
Assumptions!$S$9*(AD37/(AQ37*Assumptions!$AB$8/100)/P37)+
Assumptions!$S$10),"")</f>
        <v/>
      </c>
      <c r="AP37" s="95" t="str">
        <f>IFERROR(AM37*
(Assumptions!$S$7*(AI37/(AQ37*Assumptions!$AB$10/100)/P37)^3+
Assumptions!$S$8*(AI37/(AQ37*Assumptions!$AB$10/100)/P37)^2+
Assumptions!$S$9*(AI37/(AQ37*Assumptions!$AB$10/100)/P37)+
Assumptions!$S$10),"")</f>
        <v/>
      </c>
      <c r="AQ37" s="95" t="str">
        <f>IFERROR(
Assumptions!$AD$8*LN(U37)^2+
Assumptions!$AE$8*LN(T37)*LN(U37)+
Assumptions!$AF$8*LN(T37)^2+
Assumptions!$AG$8*LN(U37)+
Assumptions!$AH$8*LN(T37)-
(IF(S37=1800,
VLOOKUP(C37,Assumptions!$AA$13:$AC$17,3),
IF(S37=3600,
VLOOKUP(C37,Assumptions!$AA$18:$AC$22,3),
""))+Assumptions!$AI$8),
"")</f>
        <v/>
      </c>
      <c r="AR37" s="96" t="str">
        <f>IFERROR(
Assumptions!$D$11*(Y37/(Assumptions!$AB$9*AQ37/100)+AN37)+
Assumptions!$D$10*(AD37/(Assumptions!$AB$8*AQ37/100)+AO37)+
Assumptions!$D$12*(AI37/(Assumptions!$AB$10*AQ37/100)+AP37),
"")</f>
        <v/>
      </c>
      <c r="AS37" s="76" t="str">
        <f>IFERROR(
(W37+X37)*Assumptions!$D$11+
(AB37+AC37)*Assumptions!$D$10+
(AG37+AH37)*Assumptions!$D$12,
"")</f>
        <v/>
      </c>
      <c r="AT37" s="77" t="str">
        <f t="shared" si="15"/>
        <v/>
      </c>
      <c r="AU37" s="68" t="str">
        <f t="shared" si="1"/>
        <v/>
      </c>
    </row>
    <row r="38" spans="1:47" s="7" customFormat="1" x14ac:dyDescent="0.25">
      <c r="A38" s="264"/>
      <c r="B38" s="265"/>
      <c r="C38" s="265"/>
      <c r="D38" s="265"/>
      <c r="E38" s="266"/>
      <c r="F38" s="270"/>
      <c r="G38" s="271"/>
      <c r="H38" s="271"/>
      <c r="I38" s="272"/>
      <c r="J38" s="270"/>
      <c r="K38" s="271"/>
      <c r="L38" s="272"/>
      <c r="M38" s="270"/>
      <c r="N38" s="271"/>
      <c r="O38" s="272"/>
      <c r="P38" s="290"/>
      <c r="Q38" s="291"/>
      <c r="R38" s="51" t="str">
        <f t="shared" si="0"/>
        <v/>
      </c>
      <c r="S38" s="84" t="str">
        <f t="shared" si="2"/>
        <v/>
      </c>
      <c r="T38" s="93" t="str">
        <f t="shared" si="3"/>
        <v/>
      </c>
      <c r="U38" s="100" t="str">
        <f t="shared" si="4"/>
        <v/>
      </c>
      <c r="V38" s="95" t="str">
        <f t="shared" si="5"/>
        <v/>
      </c>
      <c r="W38" s="95" t="str">
        <f t="shared" si="6"/>
        <v/>
      </c>
      <c r="X38" s="95" t="str">
        <f>IFERROR(AJ38*
(Assumptions!$S$7*(W38/P38)^3+
Assumptions!$S$8*(W38/P38)^2+
Assumptions!$S$9*(W38/P38)+
Assumptions!$S$10),
"")</f>
        <v/>
      </c>
      <c r="Y38" s="96" t="str">
        <f>IFERROR(U38*V38*Assumptions!$B$15/3956,"")</f>
        <v/>
      </c>
      <c r="Z38" s="102" t="str">
        <f t="shared" si="7"/>
        <v/>
      </c>
      <c r="AA38" s="95" t="str">
        <f t="shared" si="8"/>
        <v/>
      </c>
      <c r="AB38" s="95" t="str">
        <f t="shared" si="9"/>
        <v/>
      </c>
      <c r="AC38" s="95" t="str">
        <f>IFERROR(AJ38*
(Assumptions!$S$7*(AB38/P38)^3+
Assumptions!$S$8*(AB38/P38)^2+
Assumptions!$S$9*(AB38/P38)+
Assumptions!$S$10),
"")</f>
        <v/>
      </c>
      <c r="AD38" s="96" t="str">
        <f>IFERROR(Z38*AA38*Assumptions!$B$15/3956,"")</f>
        <v/>
      </c>
      <c r="AE38" s="102" t="str">
        <f t="shared" si="10"/>
        <v/>
      </c>
      <c r="AF38" s="95" t="str">
        <f t="shared" si="11"/>
        <v/>
      </c>
      <c r="AG38" s="95" t="str">
        <f t="shared" si="12"/>
        <v/>
      </c>
      <c r="AH38" s="95" t="str">
        <f>IFERROR(AJ38*
(Assumptions!$S$7*(AG38/P38)^3+
Assumptions!$S$8*(AG38/P38)^2+
Assumptions!$S$9*(AG38/P38)+
Assumptions!$S$10),
"")</f>
        <v/>
      </c>
      <c r="AI38" s="96" t="str">
        <f>IFERROR(AE38*AF38*Assumptions!$B$15/3956,"")</f>
        <v/>
      </c>
      <c r="AJ38" s="247" t="str">
        <f t="shared" si="13"/>
        <v/>
      </c>
      <c r="AK38" s="99" t="str">
        <f>IFERROR(
IF(C38="VTS",
IF(P38&gt;=AVERAGE(
INDEX(Assumptions!$I$38:$I$57,MATCH(P38,Assumptions!$I$38:$I$57,-1)),
INDEX(Assumptions!$I$38:$I$57,MATCH(P38,Assumptions!$I$38:$I$57,-1)+1)),
INDEX(Assumptions!$I$38:$I$57,MATCH(P38,Assumptions!$I$38:$I$57,-1)),
INDEX(Assumptions!$I$38:$I$57,MATCH(P38,Assumptions!$I$38:$I$57,-1)+1)),
IF(P38&gt;=AVERAGE(
INDEX(Assumptions!$I$13:$I$32,MATCH(P38,Assumptions!$I$13:$I$32,-1)),
INDEX(Assumptions!$I$13:$I$32,MATCH(P38,Assumptions!$I$13:$I$32,-1)+1)),
INDEX(Assumptions!$I$13:$I$32,MATCH(P38,Assumptions!$I$13:$I$32,-1)),
INDEX(Assumptions!$I$13:$I$32,MATCH(P38,Assumptions!$I$13:$I$32,-1)+1))),
"")</f>
        <v/>
      </c>
      <c r="AL38" s="95" t="str">
        <f>IFERROR(
IF(C38="VTS",
VLOOKUP(AK38,Assumptions!$I$38:$K$57,MATCH(R38,Assumptions!$I$37:$K$37,0),FALSE),
VLOOKUP(AK38,Assumptions!$I$13:$K$32,MATCH(R38,Assumptions!$I$12:$K$12,0),FALSE)),
"")</f>
        <v/>
      </c>
      <c r="AM38" s="95" t="str">
        <f t="shared" si="14"/>
        <v/>
      </c>
      <c r="AN38" s="95" t="str">
        <f>IFERROR(AM38*
(Assumptions!$S$7*(Y38/(AQ38*Assumptions!$AB$9/100)/P38)^3+
Assumptions!$S$8*(Y38/(AQ38*Assumptions!$AB$9/100)/P38)^2+
Assumptions!$S$9*(Y38/(AQ38*Assumptions!$AB$9/100)/P38)+
Assumptions!$S$10),"")</f>
        <v/>
      </c>
      <c r="AO38" s="95" t="str">
        <f>IFERROR(AM38*
(Assumptions!$S$7*(AD38/(AQ38*Assumptions!$AB$8/100)/P38)^3+
Assumptions!$S$8*(AD38/(AQ38*Assumptions!$AB$8/100)/P38)^2+
Assumptions!$S$9*(AD38/(AQ38*Assumptions!$AB$8/100)/P38)+
Assumptions!$S$10),"")</f>
        <v/>
      </c>
      <c r="AP38" s="95" t="str">
        <f>IFERROR(AM38*
(Assumptions!$S$7*(AI38/(AQ38*Assumptions!$AB$10/100)/P38)^3+
Assumptions!$S$8*(AI38/(AQ38*Assumptions!$AB$10/100)/P38)^2+
Assumptions!$S$9*(AI38/(AQ38*Assumptions!$AB$10/100)/P38)+
Assumptions!$S$10),"")</f>
        <v/>
      </c>
      <c r="AQ38" s="95" t="str">
        <f>IFERROR(
Assumptions!$AD$8*LN(U38)^2+
Assumptions!$AE$8*LN(T38)*LN(U38)+
Assumptions!$AF$8*LN(T38)^2+
Assumptions!$AG$8*LN(U38)+
Assumptions!$AH$8*LN(T38)-
(IF(S38=1800,
VLOOKUP(C38,Assumptions!$AA$13:$AC$17,3),
IF(S38=3600,
VLOOKUP(C38,Assumptions!$AA$18:$AC$22,3),
""))+Assumptions!$AI$8),
"")</f>
        <v/>
      </c>
      <c r="AR38" s="96" t="str">
        <f>IFERROR(
Assumptions!$D$11*(Y38/(Assumptions!$AB$9*AQ38/100)+AN38)+
Assumptions!$D$10*(AD38/(Assumptions!$AB$8*AQ38/100)+AO38)+
Assumptions!$D$12*(AI38/(Assumptions!$AB$10*AQ38/100)+AP38),
"")</f>
        <v/>
      </c>
      <c r="AS38" s="76" t="str">
        <f>IFERROR(
(W38+X38)*Assumptions!$D$11+
(AB38+AC38)*Assumptions!$D$10+
(AG38+AH38)*Assumptions!$D$12,
"")</f>
        <v/>
      </c>
      <c r="AT38" s="77" t="str">
        <f t="shared" si="15"/>
        <v/>
      </c>
      <c r="AU38" s="68" t="str">
        <f t="shared" si="1"/>
        <v/>
      </c>
    </row>
    <row r="39" spans="1:47" s="7" customFormat="1" x14ac:dyDescent="0.25">
      <c r="A39" s="264"/>
      <c r="B39" s="265"/>
      <c r="C39" s="265"/>
      <c r="D39" s="265"/>
      <c r="E39" s="266"/>
      <c r="F39" s="270"/>
      <c r="G39" s="271"/>
      <c r="H39" s="271"/>
      <c r="I39" s="272"/>
      <c r="J39" s="270"/>
      <c r="K39" s="271"/>
      <c r="L39" s="272"/>
      <c r="M39" s="270"/>
      <c r="N39" s="271"/>
      <c r="O39" s="272"/>
      <c r="P39" s="290"/>
      <c r="Q39" s="291"/>
      <c r="R39" s="51" t="str">
        <f t="shared" si="0"/>
        <v/>
      </c>
      <c r="S39" s="84" t="str">
        <f t="shared" si="2"/>
        <v/>
      </c>
      <c r="T39" s="93" t="str">
        <f t="shared" si="3"/>
        <v/>
      </c>
      <c r="U39" s="100" t="str">
        <f t="shared" si="4"/>
        <v/>
      </c>
      <c r="V39" s="95" t="str">
        <f t="shared" si="5"/>
        <v/>
      </c>
      <c r="W39" s="95" t="str">
        <f t="shared" si="6"/>
        <v/>
      </c>
      <c r="X39" s="95" t="str">
        <f>IFERROR(AJ39*
(Assumptions!$S$7*(W39/P39)^3+
Assumptions!$S$8*(W39/P39)^2+
Assumptions!$S$9*(W39/P39)+
Assumptions!$S$10),
"")</f>
        <v/>
      </c>
      <c r="Y39" s="96" t="str">
        <f>IFERROR(U39*V39*Assumptions!$B$15/3956,"")</f>
        <v/>
      </c>
      <c r="Z39" s="102" t="str">
        <f t="shared" si="7"/>
        <v/>
      </c>
      <c r="AA39" s="95" t="str">
        <f t="shared" si="8"/>
        <v/>
      </c>
      <c r="AB39" s="95" t="str">
        <f t="shared" si="9"/>
        <v/>
      </c>
      <c r="AC39" s="95" t="str">
        <f>IFERROR(AJ39*
(Assumptions!$S$7*(AB39/P39)^3+
Assumptions!$S$8*(AB39/P39)^2+
Assumptions!$S$9*(AB39/P39)+
Assumptions!$S$10),
"")</f>
        <v/>
      </c>
      <c r="AD39" s="96" t="str">
        <f>IFERROR(Z39*AA39*Assumptions!$B$15/3956,"")</f>
        <v/>
      </c>
      <c r="AE39" s="102" t="str">
        <f t="shared" si="10"/>
        <v/>
      </c>
      <c r="AF39" s="95" t="str">
        <f t="shared" si="11"/>
        <v/>
      </c>
      <c r="AG39" s="95" t="str">
        <f t="shared" si="12"/>
        <v/>
      </c>
      <c r="AH39" s="95" t="str">
        <f>IFERROR(AJ39*
(Assumptions!$S$7*(AG39/P39)^3+
Assumptions!$S$8*(AG39/P39)^2+
Assumptions!$S$9*(AG39/P39)+
Assumptions!$S$10),
"")</f>
        <v/>
      </c>
      <c r="AI39" s="96" t="str">
        <f>IFERROR(AE39*AF39*Assumptions!$B$15/3956,"")</f>
        <v/>
      </c>
      <c r="AJ39" s="247" t="str">
        <f t="shared" si="13"/>
        <v/>
      </c>
      <c r="AK39" s="99" t="str">
        <f>IFERROR(
IF(C39="VTS",
IF(P39&gt;=AVERAGE(
INDEX(Assumptions!$I$38:$I$57,MATCH(P39,Assumptions!$I$38:$I$57,-1)),
INDEX(Assumptions!$I$38:$I$57,MATCH(P39,Assumptions!$I$38:$I$57,-1)+1)),
INDEX(Assumptions!$I$38:$I$57,MATCH(P39,Assumptions!$I$38:$I$57,-1)),
INDEX(Assumptions!$I$38:$I$57,MATCH(P39,Assumptions!$I$38:$I$57,-1)+1)),
IF(P39&gt;=AVERAGE(
INDEX(Assumptions!$I$13:$I$32,MATCH(P39,Assumptions!$I$13:$I$32,-1)),
INDEX(Assumptions!$I$13:$I$32,MATCH(P39,Assumptions!$I$13:$I$32,-1)+1)),
INDEX(Assumptions!$I$13:$I$32,MATCH(P39,Assumptions!$I$13:$I$32,-1)),
INDEX(Assumptions!$I$13:$I$32,MATCH(P39,Assumptions!$I$13:$I$32,-1)+1))),
"")</f>
        <v/>
      </c>
      <c r="AL39" s="95" t="str">
        <f>IFERROR(
IF(C39="VTS",
VLOOKUP(AK39,Assumptions!$I$38:$K$57,MATCH(R39,Assumptions!$I$37:$K$37,0),FALSE),
VLOOKUP(AK39,Assumptions!$I$13:$K$32,MATCH(R39,Assumptions!$I$12:$K$12,0),FALSE)),
"")</f>
        <v/>
      </c>
      <c r="AM39" s="95" t="str">
        <f t="shared" si="14"/>
        <v/>
      </c>
      <c r="AN39" s="95" t="str">
        <f>IFERROR(AM39*
(Assumptions!$S$7*(Y39/(AQ39*Assumptions!$AB$9/100)/P39)^3+
Assumptions!$S$8*(Y39/(AQ39*Assumptions!$AB$9/100)/P39)^2+
Assumptions!$S$9*(Y39/(AQ39*Assumptions!$AB$9/100)/P39)+
Assumptions!$S$10),"")</f>
        <v/>
      </c>
      <c r="AO39" s="95" t="str">
        <f>IFERROR(AM39*
(Assumptions!$S$7*(AD39/(AQ39*Assumptions!$AB$8/100)/P39)^3+
Assumptions!$S$8*(AD39/(AQ39*Assumptions!$AB$8/100)/P39)^2+
Assumptions!$S$9*(AD39/(AQ39*Assumptions!$AB$8/100)/P39)+
Assumptions!$S$10),"")</f>
        <v/>
      </c>
      <c r="AP39" s="95" t="str">
        <f>IFERROR(AM39*
(Assumptions!$S$7*(AI39/(AQ39*Assumptions!$AB$10/100)/P39)^3+
Assumptions!$S$8*(AI39/(AQ39*Assumptions!$AB$10/100)/P39)^2+
Assumptions!$S$9*(AI39/(AQ39*Assumptions!$AB$10/100)/P39)+
Assumptions!$S$10),"")</f>
        <v/>
      </c>
      <c r="AQ39" s="95" t="str">
        <f>IFERROR(
Assumptions!$AD$8*LN(U39)^2+
Assumptions!$AE$8*LN(T39)*LN(U39)+
Assumptions!$AF$8*LN(T39)^2+
Assumptions!$AG$8*LN(U39)+
Assumptions!$AH$8*LN(T39)-
(IF(S39=1800,
VLOOKUP(C39,Assumptions!$AA$13:$AC$17,3),
IF(S39=3600,
VLOOKUP(C39,Assumptions!$AA$18:$AC$22,3),
""))+Assumptions!$AI$8),
"")</f>
        <v/>
      </c>
      <c r="AR39" s="96" t="str">
        <f>IFERROR(
Assumptions!$D$11*(Y39/(Assumptions!$AB$9*AQ39/100)+AN39)+
Assumptions!$D$10*(AD39/(Assumptions!$AB$8*AQ39/100)+AO39)+
Assumptions!$D$12*(AI39/(Assumptions!$AB$10*AQ39/100)+AP39),
"")</f>
        <v/>
      </c>
      <c r="AS39" s="76" t="str">
        <f>IFERROR(
(W39+X39)*Assumptions!$D$11+
(AB39+AC39)*Assumptions!$D$10+
(AG39+AH39)*Assumptions!$D$12,
"")</f>
        <v/>
      </c>
      <c r="AT39" s="77" t="str">
        <f t="shared" si="15"/>
        <v/>
      </c>
      <c r="AU39" s="68" t="str">
        <f t="shared" si="1"/>
        <v/>
      </c>
    </row>
    <row r="40" spans="1:47" s="7" customFormat="1" x14ac:dyDescent="0.25">
      <c r="A40" s="264"/>
      <c r="B40" s="265"/>
      <c r="C40" s="265"/>
      <c r="D40" s="265"/>
      <c r="E40" s="266"/>
      <c r="F40" s="270"/>
      <c r="G40" s="271"/>
      <c r="H40" s="271"/>
      <c r="I40" s="272"/>
      <c r="J40" s="270"/>
      <c r="K40" s="271"/>
      <c r="L40" s="272"/>
      <c r="M40" s="270"/>
      <c r="N40" s="271"/>
      <c r="O40" s="272"/>
      <c r="P40" s="290"/>
      <c r="Q40" s="291"/>
      <c r="R40" s="51" t="str">
        <f t="shared" si="0"/>
        <v/>
      </c>
      <c r="S40" s="84" t="str">
        <f t="shared" si="2"/>
        <v/>
      </c>
      <c r="T40" s="93" t="str">
        <f t="shared" si="3"/>
        <v/>
      </c>
      <c r="U40" s="100" t="str">
        <f t="shared" si="4"/>
        <v/>
      </c>
      <c r="V40" s="95" t="str">
        <f t="shared" si="5"/>
        <v/>
      </c>
      <c r="W40" s="95" t="str">
        <f t="shared" si="6"/>
        <v/>
      </c>
      <c r="X40" s="95" t="str">
        <f>IFERROR(AJ40*
(Assumptions!$S$7*(W40/P40)^3+
Assumptions!$S$8*(W40/P40)^2+
Assumptions!$S$9*(W40/P40)+
Assumptions!$S$10),
"")</f>
        <v/>
      </c>
      <c r="Y40" s="96" t="str">
        <f>IFERROR(U40*V40*Assumptions!$B$15/3956,"")</f>
        <v/>
      </c>
      <c r="Z40" s="102" t="str">
        <f t="shared" si="7"/>
        <v/>
      </c>
      <c r="AA40" s="95" t="str">
        <f t="shared" si="8"/>
        <v/>
      </c>
      <c r="AB40" s="95" t="str">
        <f t="shared" si="9"/>
        <v/>
      </c>
      <c r="AC40" s="95" t="str">
        <f>IFERROR(AJ40*
(Assumptions!$S$7*(AB40/P40)^3+
Assumptions!$S$8*(AB40/P40)^2+
Assumptions!$S$9*(AB40/P40)+
Assumptions!$S$10),
"")</f>
        <v/>
      </c>
      <c r="AD40" s="96" t="str">
        <f>IFERROR(Z40*AA40*Assumptions!$B$15/3956,"")</f>
        <v/>
      </c>
      <c r="AE40" s="102" t="str">
        <f t="shared" si="10"/>
        <v/>
      </c>
      <c r="AF40" s="95" t="str">
        <f t="shared" si="11"/>
        <v/>
      </c>
      <c r="AG40" s="95" t="str">
        <f t="shared" si="12"/>
        <v/>
      </c>
      <c r="AH40" s="95" t="str">
        <f>IFERROR(AJ40*
(Assumptions!$S$7*(AG40/P40)^3+
Assumptions!$S$8*(AG40/P40)^2+
Assumptions!$S$9*(AG40/P40)+
Assumptions!$S$10),
"")</f>
        <v/>
      </c>
      <c r="AI40" s="96" t="str">
        <f>IFERROR(AE40*AF40*Assumptions!$B$15/3956,"")</f>
        <v/>
      </c>
      <c r="AJ40" s="247" t="str">
        <f t="shared" si="13"/>
        <v/>
      </c>
      <c r="AK40" s="99" t="str">
        <f>IFERROR(
IF(C40="VTS",
IF(P40&gt;=AVERAGE(
INDEX(Assumptions!$I$38:$I$57,MATCH(P40,Assumptions!$I$38:$I$57,-1)),
INDEX(Assumptions!$I$38:$I$57,MATCH(P40,Assumptions!$I$38:$I$57,-1)+1)),
INDEX(Assumptions!$I$38:$I$57,MATCH(P40,Assumptions!$I$38:$I$57,-1)),
INDEX(Assumptions!$I$38:$I$57,MATCH(P40,Assumptions!$I$38:$I$57,-1)+1)),
IF(P40&gt;=AVERAGE(
INDEX(Assumptions!$I$13:$I$32,MATCH(P40,Assumptions!$I$13:$I$32,-1)),
INDEX(Assumptions!$I$13:$I$32,MATCH(P40,Assumptions!$I$13:$I$32,-1)+1)),
INDEX(Assumptions!$I$13:$I$32,MATCH(P40,Assumptions!$I$13:$I$32,-1)),
INDEX(Assumptions!$I$13:$I$32,MATCH(P40,Assumptions!$I$13:$I$32,-1)+1))),
"")</f>
        <v/>
      </c>
      <c r="AL40" s="95" t="str">
        <f>IFERROR(
IF(C40="VTS",
VLOOKUP(AK40,Assumptions!$I$38:$K$57,MATCH(R40,Assumptions!$I$37:$K$37,0),FALSE),
VLOOKUP(AK40,Assumptions!$I$13:$K$32,MATCH(R40,Assumptions!$I$12:$K$12,0),FALSE)),
"")</f>
        <v/>
      </c>
      <c r="AM40" s="95" t="str">
        <f t="shared" si="14"/>
        <v/>
      </c>
      <c r="AN40" s="95" t="str">
        <f>IFERROR(AM40*
(Assumptions!$S$7*(Y40/(AQ40*Assumptions!$AB$9/100)/P40)^3+
Assumptions!$S$8*(Y40/(AQ40*Assumptions!$AB$9/100)/P40)^2+
Assumptions!$S$9*(Y40/(AQ40*Assumptions!$AB$9/100)/P40)+
Assumptions!$S$10),"")</f>
        <v/>
      </c>
      <c r="AO40" s="95" t="str">
        <f>IFERROR(AM40*
(Assumptions!$S$7*(AD40/(AQ40*Assumptions!$AB$8/100)/P40)^3+
Assumptions!$S$8*(AD40/(AQ40*Assumptions!$AB$8/100)/P40)^2+
Assumptions!$S$9*(AD40/(AQ40*Assumptions!$AB$8/100)/P40)+
Assumptions!$S$10),"")</f>
        <v/>
      </c>
      <c r="AP40" s="95" t="str">
        <f>IFERROR(AM40*
(Assumptions!$S$7*(AI40/(AQ40*Assumptions!$AB$10/100)/P40)^3+
Assumptions!$S$8*(AI40/(AQ40*Assumptions!$AB$10/100)/P40)^2+
Assumptions!$S$9*(AI40/(AQ40*Assumptions!$AB$10/100)/P40)+
Assumptions!$S$10),"")</f>
        <v/>
      </c>
      <c r="AQ40" s="95" t="str">
        <f>IFERROR(
Assumptions!$AD$8*LN(U40)^2+
Assumptions!$AE$8*LN(T40)*LN(U40)+
Assumptions!$AF$8*LN(T40)^2+
Assumptions!$AG$8*LN(U40)+
Assumptions!$AH$8*LN(T40)-
(IF(S40=1800,
VLOOKUP(C40,Assumptions!$AA$13:$AC$17,3),
IF(S40=3600,
VLOOKUP(C40,Assumptions!$AA$18:$AC$22,3),
""))+Assumptions!$AI$8),
"")</f>
        <v/>
      </c>
      <c r="AR40" s="96" t="str">
        <f>IFERROR(
Assumptions!$D$11*(Y40/(Assumptions!$AB$9*AQ40/100)+AN40)+
Assumptions!$D$10*(AD40/(Assumptions!$AB$8*AQ40/100)+AO40)+
Assumptions!$D$12*(AI40/(Assumptions!$AB$10*AQ40/100)+AP40),
"")</f>
        <v/>
      </c>
      <c r="AS40" s="76" t="str">
        <f>IFERROR(
(W40+X40)*Assumptions!$D$11+
(AB40+AC40)*Assumptions!$D$10+
(AG40+AH40)*Assumptions!$D$12,
"")</f>
        <v/>
      </c>
      <c r="AT40" s="77" t="str">
        <f t="shared" si="15"/>
        <v/>
      </c>
      <c r="AU40" s="68" t="str">
        <f t="shared" si="1"/>
        <v/>
      </c>
    </row>
    <row r="41" spans="1:47" s="7" customFormat="1" x14ac:dyDescent="0.25">
      <c r="A41" s="264"/>
      <c r="B41" s="265"/>
      <c r="C41" s="265"/>
      <c r="D41" s="265"/>
      <c r="E41" s="266"/>
      <c r="F41" s="270"/>
      <c r="G41" s="271"/>
      <c r="H41" s="271"/>
      <c r="I41" s="272"/>
      <c r="J41" s="270"/>
      <c r="K41" s="271"/>
      <c r="L41" s="272"/>
      <c r="M41" s="270"/>
      <c r="N41" s="271"/>
      <c r="O41" s="272"/>
      <c r="P41" s="290"/>
      <c r="Q41" s="291"/>
      <c r="R41" s="51" t="str">
        <f t="shared" si="0"/>
        <v/>
      </c>
      <c r="S41" s="84" t="str">
        <f t="shared" si="2"/>
        <v/>
      </c>
      <c r="T41" s="93" t="str">
        <f t="shared" si="3"/>
        <v/>
      </c>
      <c r="U41" s="100" t="str">
        <f t="shared" si="4"/>
        <v/>
      </c>
      <c r="V41" s="95" t="str">
        <f t="shared" si="5"/>
        <v/>
      </c>
      <c r="W41" s="95" t="str">
        <f t="shared" si="6"/>
        <v/>
      </c>
      <c r="X41" s="95" t="str">
        <f>IFERROR(AJ41*
(Assumptions!$S$7*(W41/P41)^3+
Assumptions!$S$8*(W41/P41)^2+
Assumptions!$S$9*(W41/P41)+
Assumptions!$S$10),
"")</f>
        <v/>
      </c>
      <c r="Y41" s="96" t="str">
        <f>IFERROR(U41*V41*Assumptions!$B$15/3956,"")</f>
        <v/>
      </c>
      <c r="Z41" s="102" t="str">
        <f t="shared" si="7"/>
        <v/>
      </c>
      <c r="AA41" s="95" t="str">
        <f t="shared" si="8"/>
        <v/>
      </c>
      <c r="AB41" s="95" t="str">
        <f t="shared" si="9"/>
        <v/>
      </c>
      <c r="AC41" s="95" t="str">
        <f>IFERROR(AJ41*
(Assumptions!$S$7*(AB41/P41)^3+
Assumptions!$S$8*(AB41/P41)^2+
Assumptions!$S$9*(AB41/P41)+
Assumptions!$S$10),
"")</f>
        <v/>
      </c>
      <c r="AD41" s="96" t="str">
        <f>IFERROR(Z41*AA41*Assumptions!$B$15/3956,"")</f>
        <v/>
      </c>
      <c r="AE41" s="102" t="str">
        <f t="shared" si="10"/>
        <v/>
      </c>
      <c r="AF41" s="95" t="str">
        <f t="shared" si="11"/>
        <v/>
      </c>
      <c r="AG41" s="95" t="str">
        <f t="shared" si="12"/>
        <v/>
      </c>
      <c r="AH41" s="95" t="str">
        <f>IFERROR(AJ41*
(Assumptions!$S$7*(AG41/P41)^3+
Assumptions!$S$8*(AG41/P41)^2+
Assumptions!$S$9*(AG41/P41)+
Assumptions!$S$10),
"")</f>
        <v/>
      </c>
      <c r="AI41" s="96" t="str">
        <f>IFERROR(AE41*AF41*Assumptions!$B$15/3956,"")</f>
        <v/>
      </c>
      <c r="AJ41" s="247" t="str">
        <f t="shared" si="13"/>
        <v/>
      </c>
      <c r="AK41" s="99" t="str">
        <f>IFERROR(
IF(C41="VTS",
IF(P41&gt;=AVERAGE(
INDEX(Assumptions!$I$38:$I$57,MATCH(P41,Assumptions!$I$38:$I$57,-1)),
INDEX(Assumptions!$I$38:$I$57,MATCH(P41,Assumptions!$I$38:$I$57,-1)+1)),
INDEX(Assumptions!$I$38:$I$57,MATCH(P41,Assumptions!$I$38:$I$57,-1)),
INDEX(Assumptions!$I$38:$I$57,MATCH(P41,Assumptions!$I$38:$I$57,-1)+1)),
IF(P41&gt;=AVERAGE(
INDEX(Assumptions!$I$13:$I$32,MATCH(P41,Assumptions!$I$13:$I$32,-1)),
INDEX(Assumptions!$I$13:$I$32,MATCH(P41,Assumptions!$I$13:$I$32,-1)+1)),
INDEX(Assumptions!$I$13:$I$32,MATCH(P41,Assumptions!$I$13:$I$32,-1)),
INDEX(Assumptions!$I$13:$I$32,MATCH(P41,Assumptions!$I$13:$I$32,-1)+1))),
"")</f>
        <v/>
      </c>
      <c r="AL41" s="95" t="str">
        <f>IFERROR(
IF(C41="VTS",
VLOOKUP(AK41,Assumptions!$I$38:$K$57,MATCH(R41,Assumptions!$I$37:$K$37,0),FALSE),
VLOOKUP(AK41,Assumptions!$I$13:$K$32,MATCH(R41,Assumptions!$I$12:$K$12,0),FALSE)),
"")</f>
        <v/>
      </c>
      <c r="AM41" s="95" t="str">
        <f t="shared" si="14"/>
        <v/>
      </c>
      <c r="AN41" s="95" t="str">
        <f>IFERROR(AM41*
(Assumptions!$S$7*(Y41/(AQ41*Assumptions!$AB$9/100)/P41)^3+
Assumptions!$S$8*(Y41/(AQ41*Assumptions!$AB$9/100)/P41)^2+
Assumptions!$S$9*(Y41/(AQ41*Assumptions!$AB$9/100)/P41)+
Assumptions!$S$10),"")</f>
        <v/>
      </c>
      <c r="AO41" s="95" t="str">
        <f>IFERROR(AM41*
(Assumptions!$S$7*(AD41/(AQ41*Assumptions!$AB$8/100)/P41)^3+
Assumptions!$S$8*(AD41/(AQ41*Assumptions!$AB$8/100)/P41)^2+
Assumptions!$S$9*(AD41/(AQ41*Assumptions!$AB$8/100)/P41)+
Assumptions!$S$10),"")</f>
        <v/>
      </c>
      <c r="AP41" s="95" t="str">
        <f>IFERROR(AM41*
(Assumptions!$S$7*(AI41/(AQ41*Assumptions!$AB$10/100)/P41)^3+
Assumptions!$S$8*(AI41/(AQ41*Assumptions!$AB$10/100)/P41)^2+
Assumptions!$S$9*(AI41/(AQ41*Assumptions!$AB$10/100)/P41)+
Assumptions!$S$10),"")</f>
        <v/>
      </c>
      <c r="AQ41" s="95" t="str">
        <f>IFERROR(
Assumptions!$AD$8*LN(U41)^2+
Assumptions!$AE$8*LN(T41)*LN(U41)+
Assumptions!$AF$8*LN(T41)^2+
Assumptions!$AG$8*LN(U41)+
Assumptions!$AH$8*LN(T41)-
(IF(S41=1800,
VLOOKUP(C41,Assumptions!$AA$13:$AC$17,3),
IF(S41=3600,
VLOOKUP(C41,Assumptions!$AA$18:$AC$22,3),
""))+Assumptions!$AI$8),
"")</f>
        <v/>
      </c>
      <c r="AR41" s="96" t="str">
        <f>IFERROR(
Assumptions!$D$11*(Y41/(Assumptions!$AB$9*AQ41/100)+AN41)+
Assumptions!$D$10*(AD41/(Assumptions!$AB$8*AQ41/100)+AO41)+
Assumptions!$D$12*(AI41/(Assumptions!$AB$10*AQ41/100)+AP41),
"")</f>
        <v/>
      </c>
      <c r="AS41" s="76" t="str">
        <f>IFERROR(
(W41+X41)*Assumptions!$D$11+
(AB41+AC41)*Assumptions!$D$10+
(AG41+AH41)*Assumptions!$D$12,
"")</f>
        <v/>
      </c>
      <c r="AT41" s="77" t="str">
        <f t="shared" si="15"/>
        <v/>
      </c>
      <c r="AU41" s="68" t="str">
        <f t="shared" si="1"/>
        <v/>
      </c>
    </row>
    <row r="42" spans="1:47" s="7" customFormat="1" x14ac:dyDescent="0.25">
      <c r="A42" s="264"/>
      <c r="B42" s="265"/>
      <c r="C42" s="265"/>
      <c r="D42" s="265"/>
      <c r="E42" s="266"/>
      <c r="F42" s="270"/>
      <c r="G42" s="271"/>
      <c r="H42" s="271"/>
      <c r="I42" s="272"/>
      <c r="J42" s="270"/>
      <c r="K42" s="271"/>
      <c r="L42" s="272"/>
      <c r="M42" s="270"/>
      <c r="N42" s="271"/>
      <c r="O42" s="272"/>
      <c r="P42" s="290"/>
      <c r="Q42" s="291"/>
      <c r="R42" s="51" t="str">
        <f t="shared" ref="R42:R73" si="16">IF(AND(E42&gt;=1440,E42&lt;=2160),4,IF(AND(E42&gt;=2880,E42&lt;=4320),2,""))</f>
        <v/>
      </c>
      <c r="S42" s="84" t="str">
        <f t="shared" si="2"/>
        <v/>
      </c>
      <c r="T42" s="93" t="str">
        <f t="shared" si="3"/>
        <v/>
      </c>
      <c r="U42" s="100" t="str">
        <f t="shared" si="4"/>
        <v/>
      </c>
      <c r="V42" s="95" t="str">
        <f t="shared" si="5"/>
        <v/>
      </c>
      <c r="W42" s="95" t="str">
        <f t="shared" si="6"/>
        <v/>
      </c>
      <c r="X42" s="95" t="str">
        <f>IFERROR(AJ42*
(Assumptions!$S$7*(W42/P42)^3+
Assumptions!$S$8*(W42/P42)^2+
Assumptions!$S$9*(W42/P42)+
Assumptions!$S$10),
"")</f>
        <v/>
      </c>
      <c r="Y42" s="96" t="str">
        <f>IFERROR(U42*V42*Assumptions!$B$15/3956,"")</f>
        <v/>
      </c>
      <c r="Z42" s="102" t="str">
        <f t="shared" si="7"/>
        <v/>
      </c>
      <c r="AA42" s="95" t="str">
        <f t="shared" si="8"/>
        <v/>
      </c>
      <c r="AB42" s="95" t="str">
        <f t="shared" si="9"/>
        <v/>
      </c>
      <c r="AC42" s="95" t="str">
        <f>IFERROR(AJ42*
(Assumptions!$S$7*(AB42/P42)^3+
Assumptions!$S$8*(AB42/P42)^2+
Assumptions!$S$9*(AB42/P42)+
Assumptions!$S$10),
"")</f>
        <v/>
      </c>
      <c r="AD42" s="96" t="str">
        <f>IFERROR(Z42*AA42*Assumptions!$B$15/3956,"")</f>
        <v/>
      </c>
      <c r="AE42" s="102" t="str">
        <f t="shared" si="10"/>
        <v/>
      </c>
      <c r="AF42" s="95" t="str">
        <f t="shared" si="11"/>
        <v/>
      </c>
      <c r="AG42" s="95" t="str">
        <f t="shared" si="12"/>
        <v/>
      </c>
      <c r="AH42" s="95" t="str">
        <f>IFERROR(AJ42*
(Assumptions!$S$7*(AG42/P42)^3+
Assumptions!$S$8*(AG42/P42)^2+
Assumptions!$S$9*(AG42/P42)+
Assumptions!$S$10),
"")</f>
        <v/>
      </c>
      <c r="AI42" s="96" t="str">
        <f>IFERROR(AE42*AF42*Assumptions!$B$15/3956,"")</f>
        <v/>
      </c>
      <c r="AJ42" s="247" t="str">
        <f t="shared" ref="AJ42:AJ73" si="17">IFERROR(P42/Q42*100-P42,"")</f>
        <v/>
      </c>
      <c r="AK42" s="99" t="str">
        <f>IFERROR(
IF(C42="VTS",
IF(P42&gt;=AVERAGE(
INDEX(Assumptions!$I$38:$I$57,MATCH(P42,Assumptions!$I$38:$I$57,-1)),
INDEX(Assumptions!$I$38:$I$57,MATCH(P42,Assumptions!$I$38:$I$57,-1)+1)),
INDEX(Assumptions!$I$38:$I$57,MATCH(P42,Assumptions!$I$38:$I$57,-1)),
INDEX(Assumptions!$I$38:$I$57,MATCH(P42,Assumptions!$I$38:$I$57,-1)+1)),
IF(P42&gt;=AVERAGE(
INDEX(Assumptions!$I$13:$I$32,MATCH(P42,Assumptions!$I$13:$I$32,-1)),
INDEX(Assumptions!$I$13:$I$32,MATCH(P42,Assumptions!$I$13:$I$32,-1)+1)),
INDEX(Assumptions!$I$13:$I$32,MATCH(P42,Assumptions!$I$13:$I$32,-1)),
INDEX(Assumptions!$I$13:$I$32,MATCH(P42,Assumptions!$I$13:$I$32,-1)+1))),
"")</f>
        <v/>
      </c>
      <c r="AL42" s="95" t="str">
        <f>IFERROR(
IF(C42="VTS",
VLOOKUP(AK42,Assumptions!$I$38:$K$57,MATCH(R42,Assumptions!$I$37:$K$37,0),FALSE),
VLOOKUP(AK42,Assumptions!$I$13:$K$32,MATCH(R42,Assumptions!$I$12:$K$12,0),FALSE)),
"")</f>
        <v/>
      </c>
      <c r="AM42" s="95" t="str">
        <f t="shared" si="14"/>
        <v/>
      </c>
      <c r="AN42" s="95" t="str">
        <f>IFERROR(AM42*
(Assumptions!$S$7*(Y42/(AQ42*Assumptions!$AB$9/100)/P42)^3+
Assumptions!$S$8*(Y42/(AQ42*Assumptions!$AB$9/100)/P42)^2+
Assumptions!$S$9*(Y42/(AQ42*Assumptions!$AB$9/100)/P42)+
Assumptions!$S$10),"")</f>
        <v/>
      </c>
      <c r="AO42" s="95" t="str">
        <f>IFERROR(AM42*
(Assumptions!$S$7*(AD42/(AQ42*Assumptions!$AB$8/100)/P42)^3+
Assumptions!$S$8*(AD42/(AQ42*Assumptions!$AB$8/100)/P42)^2+
Assumptions!$S$9*(AD42/(AQ42*Assumptions!$AB$8/100)/P42)+
Assumptions!$S$10),"")</f>
        <v/>
      </c>
      <c r="AP42" s="95" t="str">
        <f>IFERROR(AM42*
(Assumptions!$S$7*(AI42/(AQ42*Assumptions!$AB$10/100)/P42)^3+
Assumptions!$S$8*(AI42/(AQ42*Assumptions!$AB$10/100)/P42)^2+
Assumptions!$S$9*(AI42/(AQ42*Assumptions!$AB$10/100)/P42)+
Assumptions!$S$10),"")</f>
        <v/>
      </c>
      <c r="AQ42" s="95" t="str">
        <f>IFERROR(
Assumptions!$AD$8*LN(U42)^2+
Assumptions!$AE$8*LN(T42)*LN(U42)+
Assumptions!$AF$8*LN(T42)^2+
Assumptions!$AG$8*LN(U42)+
Assumptions!$AH$8*LN(T42)-
(IF(S42=1800,
VLOOKUP(C42,Assumptions!$AA$13:$AC$17,3),
IF(S42=3600,
VLOOKUP(C42,Assumptions!$AA$18:$AC$22,3),
""))+Assumptions!$AI$8),
"")</f>
        <v/>
      </c>
      <c r="AR42" s="96" t="str">
        <f>IFERROR(
Assumptions!$D$11*(Y42/(Assumptions!$AB$9*AQ42/100)+AN42)+
Assumptions!$D$10*(AD42/(Assumptions!$AB$8*AQ42/100)+AO42)+
Assumptions!$D$12*(AI42/(Assumptions!$AB$10*AQ42/100)+AP42),
"")</f>
        <v/>
      </c>
      <c r="AS42" s="76" t="str">
        <f>IFERROR(
(W42+X42)*Assumptions!$D$11+
(AB42+AC42)*Assumptions!$D$10+
(AG42+AH42)*Assumptions!$D$12,
"")</f>
        <v/>
      </c>
      <c r="AT42" s="77" t="str">
        <f t="shared" si="15"/>
        <v/>
      </c>
      <c r="AU42" s="68" t="str">
        <f t="shared" si="1"/>
        <v/>
      </c>
    </row>
    <row r="43" spans="1:47" s="7" customFormat="1" x14ac:dyDescent="0.25">
      <c r="A43" s="264"/>
      <c r="B43" s="265"/>
      <c r="C43" s="265"/>
      <c r="D43" s="265"/>
      <c r="E43" s="266"/>
      <c r="F43" s="270"/>
      <c r="G43" s="271"/>
      <c r="H43" s="271"/>
      <c r="I43" s="272"/>
      <c r="J43" s="270"/>
      <c r="K43" s="271"/>
      <c r="L43" s="272"/>
      <c r="M43" s="270"/>
      <c r="N43" s="271"/>
      <c r="O43" s="272"/>
      <c r="P43" s="290"/>
      <c r="Q43" s="291"/>
      <c r="R43" s="51" t="str">
        <f t="shared" si="16"/>
        <v/>
      </c>
      <c r="S43" s="84" t="str">
        <f t="shared" si="2"/>
        <v/>
      </c>
      <c r="T43" s="93" t="str">
        <f t="shared" si="3"/>
        <v/>
      </c>
      <c r="U43" s="100" t="str">
        <f t="shared" si="4"/>
        <v/>
      </c>
      <c r="V43" s="95" t="str">
        <f t="shared" si="5"/>
        <v/>
      </c>
      <c r="W43" s="95" t="str">
        <f t="shared" si="6"/>
        <v/>
      </c>
      <c r="X43" s="95" t="str">
        <f>IFERROR(AJ43*
(Assumptions!$S$7*(W43/P43)^3+
Assumptions!$S$8*(W43/P43)^2+
Assumptions!$S$9*(W43/P43)+
Assumptions!$S$10),
"")</f>
        <v/>
      </c>
      <c r="Y43" s="96" t="str">
        <f>IFERROR(U43*V43*Assumptions!$B$15/3956,"")</f>
        <v/>
      </c>
      <c r="Z43" s="102" t="str">
        <f t="shared" si="7"/>
        <v/>
      </c>
      <c r="AA43" s="95" t="str">
        <f t="shared" si="8"/>
        <v/>
      </c>
      <c r="AB43" s="95" t="str">
        <f t="shared" si="9"/>
        <v/>
      </c>
      <c r="AC43" s="95" t="str">
        <f>IFERROR(AJ43*
(Assumptions!$S$7*(AB43/P43)^3+
Assumptions!$S$8*(AB43/P43)^2+
Assumptions!$S$9*(AB43/P43)+
Assumptions!$S$10),
"")</f>
        <v/>
      </c>
      <c r="AD43" s="96" t="str">
        <f>IFERROR(Z43*AA43*Assumptions!$B$15/3956,"")</f>
        <v/>
      </c>
      <c r="AE43" s="102" t="str">
        <f t="shared" si="10"/>
        <v/>
      </c>
      <c r="AF43" s="95" t="str">
        <f t="shared" si="11"/>
        <v/>
      </c>
      <c r="AG43" s="95" t="str">
        <f t="shared" si="12"/>
        <v/>
      </c>
      <c r="AH43" s="95" t="str">
        <f>IFERROR(AJ43*
(Assumptions!$S$7*(AG43/P43)^3+
Assumptions!$S$8*(AG43/P43)^2+
Assumptions!$S$9*(AG43/P43)+
Assumptions!$S$10),
"")</f>
        <v/>
      </c>
      <c r="AI43" s="96" t="str">
        <f>IFERROR(AE43*AF43*Assumptions!$B$15/3956,"")</f>
        <v/>
      </c>
      <c r="AJ43" s="247" t="str">
        <f t="shared" si="17"/>
        <v/>
      </c>
      <c r="AK43" s="99" t="str">
        <f>IFERROR(
IF(C43="VTS",
IF(P43&gt;=AVERAGE(
INDEX(Assumptions!$I$38:$I$57,MATCH(P43,Assumptions!$I$38:$I$57,-1)),
INDEX(Assumptions!$I$38:$I$57,MATCH(P43,Assumptions!$I$38:$I$57,-1)+1)),
INDEX(Assumptions!$I$38:$I$57,MATCH(P43,Assumptions!$I$38:$I$57,-1)),
INDEX(Assumptions!$I$38:$I$57,MATCH(P43,Assumptions!$I$38:$I$57,-1)+1)),
IF(P43&gt;=AVERAGE(
INDEX(Assumptions!$I$13:$I$32,MATCH(P43,Assumptions!$I$13:$I$32,-1)),
INDEX(Assumptions!$I$13:$I$32,MATCH(P43,Assumptions!$I$13:$I$32,-1)+1)),
INDEX(Assumptions!$I$13:$I$32,MATCH(P43,Assumptions!$I$13:$I$32,-1)),
INDEX(Assumptions!$I$13:$I$32,MATCH(P43,Assumptions!$I$13:$I$32,-1)+1))),
"")</f>
        <v/>
      </c>
      <c r="AL43" s="95" t="str">
        <f>IFERROR(
IF(C43="VTS",
VLOOKUP(AK43,Assumptions!$I$38:$K$57,MATCH(R43,Assumptions!$I$37:$K$37,0),FALSE),
VLOOKUP(AK43,Assumptions!$I$13:$K$32,MATCH(R43,Assumptions!$I$12:$K$12,0),FALSE)),
"")</f>
        <v/>
      </c>
      <c r="AM43" s="95" t="str">
        <f t="shared" si="14"/>
        <v/>
      </c>
      <c r="AN43" s="95" t="str">
        <f>IFERROR(AM43*
(Assumptions!$S$7*(Y43/(AQ43*Assumptions!$AB$9/100)/P43)^3+
Assumptions!$S$8*(Y43/(AQ43*Assumptions!$AB$9/100)/P43)^2+
Assumptions!$S$9*(Y43/(AQ43*Assumptions!$AB$9/100)/P43)+
Assumptions!$S$10),"")</f>
        <v/>
      </c>
      <c r="AO43" s="95" t="str">
        <f>IFERROR(AM43*
(Assumptions!$S$7*(AD43/(AQ43*Assumptions!$AB$8/100)/P43)^3+
Assumptions!$S$8*(AD43/(AQ43*Assumptions!$AB$8/100)/P43)^2+
Assumptions!$S$9*(AD43/(AQ43*Assumptions!$AB$8/100)/P43)+
Assumptions!$S$10),"")</f>
        <v/>
      </c>
      <c r="AP43" s="95" t="str">
        <f>IFERROR(AM43*
(Assumptions!$S$7*(AI43/(AQ43*Assumptions!$AB$10/100)/P43)^3+
Assumptions!$S$8*(AI43/(AQ43*Assumptions!$AB$10/100)/P43)^2+
Assumptions!$S$9*(AI43/(AQ43*Assumptions!$AB$10/100)/P43)+
Assumptions!$S$10),"")</f>
        <v/>
      </c>
      <c r="AQ43" s="95" t="str">
        <f>IFERROR(
Assumptions!$AD$8*LN(U43)^2+
Assumptions!$AE$8*LN(T43)*LN(U43)+
Assumptions!$AF$8*LN(T43)^2+
Assumptions!$AG$8*LN(U43)+
Assumptions!$AH$8*LN(T43)-
(IF(S43=1800,
VLOOKUP(C43,Assumptions!$AA$13:$AC$17,3),
IF(S43=3600,
VLOOKUP(C43,Assumptions!$AA$18:$AC$22,3),
""))+Assumptions!$AI$8),
"")</f>
        <v/>
      </c>
      <c r="AR43" s="96" t="str">
        <f>IFERROR(
Assumptions!$D$11*(Y43/(Assumptions!$AB$9*AQ43/100)+AN43)+
Assumptions!$D$10*(AD43/(Assumptions!$AB$8*AQ43/100)+AO43)+
Assumptions!$D$12*(AI43/(Assumptions!$AB$10*AQ43/100)+AP43),
"")</f>
        <v/>
      </c>
      <c r="AS43" s="76" t="str">
        <f>IFERROR(
(W43+X43)*Assumptions!$D$11+
(AB43+AC43)*Assumptions!$D$10+
(AG43+AH43)*Assumptions!$D$12,
"")</f>
        <v/>
      </c>
      <c r="AT43" s="77" t="str">
        <f t="shared" si="15"/>
        <v/>
      </c>
      <c r="AU43" s="68" t="str">
        <f t="shared" si="1"/>
        <v/>
      </c>
    </row>
    <row r="44" spans="1:47" s="7" customFormat="1" x14ac:dyDescent="0.25">
      <c r="A44" s="264"/>
      <c r="B44" s="265"/>
      <c r="C44" s="265"/>
      <c r="D44" s="265"/>
      <c r="E44" s="266"/>
      <c r="F44" s="270"/>
      <c r="G44" s="271"/>
      <c r="H44" s="271"/>
      <c r="I44" s="272"/>
      <c r="J44" s="270"/>
      <c r="K44" s="271"/>
      <c r="L44" s="272"/>
      <c r="M44" s="270"/>
      <c r="N44" s="271"/>
      <c r="O44" s="272"/>
      <c r="P44" s="290"/>
      <c r="Q44" s="291"/>
      <c r="R44" s="51" t="str">
        <f t="shared" si="16"/>
        <v/>
      </c>
      <c r="S44" s="84" t="str">
        <f t="shared" si="2"/>
        <v/>
      </c>
      <c r="T44" s="93" t="str">
        <f t="shared" si="3"/>
        <v/>
      </c>
      <c r="U44" s="100" t="str">
        <f t="shared" si="4"/>
        <v/>
      </c>
      <c r="V44" s="95" t="str">
        <f t="shared" si="5"/>
        <v/>
      </c>
      <c r="W44" s="95" t="str">
        <f t="shared" si="6"/>
        <v/>
      </c>
      <c r="X44" s="95" t="str">
        <f>IFERROR(AJ44*
(Assumptions!$S$7*(W44/P44)^3+
Assumptions!$S$8*(W44/P44)^2+
Assumptions!$S$9*(W44/P44)+
Assumptions!$S$10),
"")</f>
        <v/>
      </c>
      <c r="Y44" s="96" t="str">
        <f>IFERROR(U44*V44*Assumptions!$B$15/3956,"")</f>
        <v/>
      </c>
      <c r="Z44" s="102" t="str">
        <f t="shared" si="7"/>
        <v/>
      </c>
      <c r="AA44" s="95" t="str">
        <f t="shared" si="8"/>
        <v/>
      </c>
      <c r="AB44" s="95" t="str">
        <f t="shared" si="9"/>
        <v/>
      </c>
      <c r="AC44" s="95" t="str">
        <f>IFERROR(AJ44*
(Assumptions!$S$7*(AB44/P44)^3+
Assumptions!$S$8*(AB44/P44)^2+
Assumptions!$S$9*(AB44/P44)+
Assumptions!$S$10),
"")</f>
        <v/>
      </c>
      <c r="AD44" s="96" t="str">
        <f>IFERROR(Z44*AA44*Assumptions!$B$15/3956,"")</f>
        <v/>
      </c>
      <c r="AE44" s="102" t="str">
        <f t="shared" si="10"/>
        <v/>
      </c>
      <c r="AF44" s="95" t="str">
        <f t="shared" si="11"/>
        <v/>
      </c>
      <c r="AG44" s="95" t="str">
        <f t="shared" si="12"/>
        <v/>
      </c>
      <c r="AH44" s="95" t="str">
        <f>IFERROR(AJ44*
(Assumptions!$S$7*(AG44/P44)^3+
Assumptions!$S$8*(AG44/P44)^2+
Assumptions!$S$9*(AG44/P44)+
Assumptions!$S$10),
"")</f>
        <v/>
      </c>
      <c r="AI44" s="96" t="str">
        <f>IFERROR(AE44*AF44*Assumptions!$B$15/3956,"")</f>
        <v/>
      </c>
      <c r="AJ44" s="247" t="str">
        <f t="shared" si="17"/>
        <v/>
      </c>
      <c r="AK44" s="99" t="str">
        <f>IFERROR(
IF(C44="VTS",
IF(P44&gt;=AVERAGE(
INDEX(Assumptions!$I$38:$I$57,MATCH(P44,Assumptions!$I$38:$I$57,-1)),
INDEX(Assumptions!$I$38:$I$57,MATCH(P44,Assumptions!$I$38:$I$57,-1)+1)),
INDEX(Assumptions!$I$38:$I$57,MATCH(P44,Assumptions!$I$38:$I$57,-1)),
INDEX(Assumptions!$I$38:$I$57,MATCH(P44,Assumptions!$I$38:$I$57,-1)+1)),
IF(P44&gt;=AVERAGE(
INDEX(Assumptions!$I$13:$I$32,MATCH(P44,Assumptions!$I$13:$I$32,-1)),
INDEX(Assumptions!$I$13:$I$32,MATCH(P44,Assumptions!$I$13:$I$32,-1)+1)),
INDEX(Assumptions!$I$13:$I$32,MATCH(P44,Assumptions!$I$13:$I$32,-1)),
INDEX(Assumptions!$I$13:$I$32,MATCH(P44,Assumptions!$I$13:$I$32,-1)+1))),
"")</f>
        <v/>
      </c>
      <c r="AL44" s="95" t="str">
        <f>IFERROR(
IF(C44="VTS",
VLOOKUP(AK44,Assumptions!$I$38:$K$57,MATCH(R44,Assumptions!$I$37:$K$37,0),FALSE),
VLOOKUP(AK44,Assumptions!$I$13:$K$32,MATCH(R44,Assumptions!$I$12:$K$12,0),FALSE)),
"")</f>
        <v/>
      </c>
      <c r="AM44" s="95" t="str">
        <f t="shared" si="14"/>
        <v/>
      </c>
      <c r="AN44" s="95" t="str">
        <f>IFERROR(AM44*
(Assumptions!$S$7*(Y44/(AQ44*Assumptions!$AB$9/100)/P44)^3+
Assumptions!$S$8*(Y44/(AQ44*Assumptions!$AB$9/100)/P44)^2+
Assumptions!$S$9*(Y44/(AQ44*Assumptions!$AB$9/100)/P44)+
Assumptions!$S$10),"")</f>
        <v/>
      </c>
      <c r="AO44" s="95" t="str">
        <f>IFERROR(AM44*
(Assumptions!$S$7*(AD44/(AQ44*Assumptions!$AB$8/100)/P44)^3+
Assumptions!$S$8*(AD44/(AQ44*Assumptions!$AB$8/100)/P44)^2+
Assumptions!$S$9*(AD44/(AQ44*Assumptions!$AB$8/100)/P44)+
Assumptions!$S$10),"")</f>
        <v/>
      </c>
      <c r="AP44" s="95" t="str">
        <f>IFERROR(AM44*
(Assumptions!$S$7*(AI44/(AQ44*Assumptions!$AB$10/100)/P44)^3+
Assumptions!$S$8*(AI44/(AQ44*Assumptions!$AB$10/100)/P44)^2+
Assumptions!$S$9*(AI44/(AQ44*Assumptions!$AB$10/100)/P44)+
Assumptions!$S$10),"")</f>
        <v/>
      </c>
      <c r="AQ44" s="95" t="str">
        <f>IFERROR(
Assumptions!$AD$8*LN(U44)^2+
Assumptions!$AE$8*LN(T44)*LN(U44)+
Assumptions!$AF$8*LN(T44)^2+
Assumptions!$AG$8*LN(U44)+
Assumptions!$AH$8*LN(T44)-
(IF(S44=1800,
VLOOKUP(C44,Assumptions!$AA$13:$AC$17,3),
IF(S44=3600,
VLOOKUP(C44,Assumptions!$AA$18:$AC$22,3),
""))+Assumptions!$AI$8),
"")</f>
        <v/>
      </c>
      <c r="AR44" s="96" t="str">
        <f>IFERROR(
Assumptions!$D$11*(Y44/(Assumptions!$AB$9*AQ44/100)+AN44)+
Assumptions!$D$10*(AD44/(Assumptions!$AB$8*AQ44/100)+AO44)+
Assumptions!$D$12*(AI44/(Assumptions!$AB$10*AQ44/100)+AP44),
"")</f>
        <v/>
      </c>
      <c r="AS44" s="76" t="str">
        <f>IFERROR(
(W44+X44)*Assumptions!$D$11+
(AB44+AC44)*Assumptions!$D$10+
(AG44+AH44)*Assumptions!$D$12,
"")</f>
        <v/>
      </c>
      <c r="AT44" s="77" t="str">
        <f t="shared" si="15"/>
        <v/>
      </c>
      <c r="AU44" s="68" t="str">
        <f t="shared" si="1"/>
        <v/>
      </c>
    </row>
    <row r="45" spans="1:47" s="7" customFormat="1" x14ac:dyDescent="0.25">
      <c r="A45" s="264"/>
      <c r="B45" s="265"/>
      <c r="C45" s="265"/>
      <c r="D45" s="265"/>
      <c r="E45" s="266"/>
      <c r="F45" s="270"/>
      <c r="G45" s="271"/>
      <c r="H45" s="271"/>
      <c r="I45" s="272"/>
      <c r="J45" s="270"/>
      <c r="K45" s="271"/>
      <c r="L45" s="272"/>
      <c r="M45" s="270"/>
      <c r="N45" s="271"/>
      <c r="O45" s="272"/>
      <c r="P45" s="290"/>
      <c r="Q45" s="291"/>
      <c r="R45" s="51" t="str">
        <f t="shared" si="16"/>
        <v/>
      </c>
      <c r="S45" s="84" t="str">
        <f t="shared" si="2"/>
        <v/>
      </c>
      <c r="T45" s="93" t="str">
        <f t="shared" si="3"/>
        <v/>
      </c>
      <c r="U45" s="100" t="str">
        <f t="shared" si="4"/>
        <v/>
      </c>
      <c r="V45" s="95" t="str">
        <f t="shared" si="5"/>
        <v/>
      </c>
      <c r="W45" s="95" t="str">
        <f t="shared" si="6"/>
        <v/>
      </c>
      <c r="X45" s="95" t="str">
        <f>IFERROR(AJ45*
(Assumptions!$S$7*(W45/P45)^3+
Assumptions!$S$8*(W45/P45)^2+
Assumptions!$S$9*(W45/P45)+
Assumptions!$S$10),
"")</f>
        <v/>
      </c>
      <c r="Y45" s="96" t="str">
        <f>IFERROR(U45*V45*Assumptions!$B$15/3956,"")</f>
        <v/>
      </c>
      <c r="Z45" s="102" t="str">
        <f t="shared" si="7"/>
        <v/>
      </c>
      <c r="AA45" s="95" t="str">
        <f t="shared" si="8"/>
        <v/>
      </c>
      <c r="AB45" s="95" t="str">
        <f t="shared" si="9"/>
        <v/>
      </c>
      <c r="AC45" s="95" t="str">
        <f>IFERROR(AJ45*
(Assumptions!$S$7*(AB45/P45)^3+
Assumptions!$S$8*(AB45/P45)^2+
Assumptions!$S$9*(AB45/P45)+
Assumptions!$S$10),
"")</f>
        <v/>
      </c>
      <c r="AD45" s="96" t="str">
        <f>IFERROR(Z45*AA45*Assumptions!$B$15/3956,"")</f>
        <v/>
      </c>
      <c r="AE45" s="102" t="str">
        <f t="shared" si="10"/>
        <v/>
      </c>
      <c r="AF45" s="95" t="str">
        <f t="shared" si="11"/>
        <v/>
      </c>
      <c r="AG45" s="95" t="str">
        <f t="shared" si="12"/>
        <v/>
      </c>
      <c r="AH45" s="95" t="str">
        <f>IFERROR(AJ45*
(Assumptions!$S$7*(AG45/P45)^3+
Assumptions!$S$8*(AG45/P45)^2+
Assumptions!$S$9*(AG45/P45)+
Assumptions!$S$10),
"")</f>
        <v/>
      </c>
      <c r="AI45" s="96" t="str">
        <f>IFERROR(AE45*AF45*Assumptions!$B$15/3956,"")</f>
        <v/>
      </c>
      <c r="AJ45" s="247" t="str">
        <f t="shared" si="17"/>
        <v/>
      </c>
      <c r="AK45" s="99" t="str">
        <f>IFERROR(
IF(C45="VTS",
IF(P45&gt;=AVERAGE(
INDEX(Assumptions!$I$38:$I$57,MATCH(P45,Assumptions!$I$38:$I$57,-1)),
INDEX(Assumptions!$I$38:$I$57,MATCH(P45,Assumptions!$I$38:$I$57,-1)+1)),
INDEX(Assumptions!$I$38:$I$57,MATCH(P45,Assumptions!$I$38:$I$57,-1)),
INDEX(Assumptions!$I$38:$I$57,MATCH(P45,Assumptions!$I$38:$I$57,-1)+1)),
IF(P45&gt;=AVERAGE(
INDEX(Assumptions!$I$13:$I$32,MATCH(P45,Assumptions!$I$13:$I$32,-1)),
INDEX(Assumptions!$I$13:$I$32,MATCH(P45,Assumptions!$I$13:$I$32,-1)+1)),
INDEX(Assumptions!$I$13:$I$32,MATCH(P45,Assumptions!$I$13:$I$32,-1)),
INDEX(Assumptions!$I$13:$I$32,MATCH(P45,Assumptions!$I$13:$I$32,-1)+1))),
"")</f>
        <v/>
      </c>
      <c r="AL45" s="95" t="str">
        <f>IFERROR(
IF(C45="VTS",
VLOOKUP(AK45,Assumptions!$I$38:$K$57,MATCH(R45,Assumptions!$I$37:$K$37,0),FALSE),
VLOOKUP(AK45,Assumptions!$I$13:$K$32,MATCH(R45,Assumptions!$I$12:$K$12,0),FALSE)),
"")</f>
        <v/>
      </c>
      <c r="AM45" s="95" t="str">
        <f t="shared" si="14"/>
        <v/>
      </c>
      <c r="AN45" s="95" t="str">
        <f>IFERROR(AM45*
(Assumptions!$S$7*(Y45/(AQ45*Assumptions!$AB$9/100)/P45)^3+
Assumptions!$S$8*(Y45/(AQ45*Assumptions!$AB$9/100)/P45)^2+
Assumptions!$S$9*(Y45/(AQ45*Assumptions!$AB$9/100)/P45)+
Assumptions!$S$10),"")</f>
        <v/>
      </c>
      <c r="AO45" s="95" t="str">
        <f>IFERROR(AM45*
(Assumptions!$S$7*(AD45/(AQ45*Assumptions!$AB$8/100)/P45)^3+
Assumptions!$S$8*(AD45/(AQ45*Assumptions!$AB$8/100)/P45)^2+
Assumptions!$S$9*(AD45/(AQ45*Assumptions!$AB$8/100)/P45)+
Assumptions!$S$10),"")</f>
        <v/>
      </c>
      <c r="AP45" s="95" t="str">
        <f>IFERROR(AM45*
(Assumptions!$S$7*(AI45/(AQ45*Assumptions!$AB$10/100)/P45)^3+
Assumptions!$S$8*(AI45/(AQ45*Assumptions!$AB$10/100)/P45)^2+
Assumptions!$S$9*(AI45/(AQ45*Assumptions!$AB$10/100)/P45)+
Assumptions!$S$10),"")</f>
        <v/>
      </c>
      <c r="AQ45" s="95" t="str">
        <f>IFERROR(
Assumptions!$AD$8*LN(U45)^2+
Assumptions!$AE$8*LN(T45)*LN(U45)+
Assumptions!$AF$8*LN(T45)^2+
Assumptions!$AG$8*LN(U45)+
Assumptions!$AH$8*LN(T45)-
(IF(S45=1800,
VLOOKUP(C45,Assumptions!$AA$13:$AC$17,3),
IF(S45=3600,
VLOOKUP(C45,Assumptions!$AA$18:$AC$22,3),
""))+Assumptions!$AI$8),
"")</f>
        <v/>
      </c>
      <c r="AR45" s="96" t="str">
        <f>IFERROR(
Assumptions!$D$11*(Y45/(Assumptions!$AB$9*AQ45/100)+AN45)+
Assumptions!$D$10*(AD45/(Assumptions!$AB$8*AQ45/100)+AO45)+
Assumptions!$D$12*(AI45/(Assumptions!$AB$10*AQ45/100)+AP45),
"")</f>
        <v/>
      </c>
      <c r="AS45" s="76" t="str">
        <f>IFERROR(
(W45+X45)*Assumptions!$D$11+
(AB45+AC45)*Assumptions!$D$10+
(AG45+AH45)*Assumptions!$D$12,
"")</f>
        <v/>
      </c>
      <c r="AT45" s="77" t="str">
        <f t="shared" si="15"/>
        <v/>
      </c>
      <c r="AU45" s="68" t="str">
        <f t="shared" si="1"/>
        <v/>
      </c>
    </row>
    <row r="46" spans="1:47" s="7" customFormat="1" x14ac:dyDescent="0.25">
      <c r="A46" s="264"/>
      <c r="B46" s="265"/>
      <c r="C46" s="265"/>
      <c r="D46" s="265"/>
      <c r="E46" s="266"/>
      <c r="F46" s="270"/>
      <c r="G46" s="271"/>
      <c r="H46" s="271"/>
      <c r="I46" s="272"/>
      <c r="J46" s="270"/>
      <c r="K46" s="271"/>
      <c r="L46" s="272"/>
      <c r="M46" s="270"/>
      <c r="N46" s="271"/>
      <c r="O46" s="272"/>
      <c r="P46" s="290"/>
      <c r="Q46" s="291"/>
      <c r="R46" s="51" t="str">
        <f t="shared" si="16"/>
        <v/>
      </c>
      <c r="S46" s="84" t="str">
        <f t="shared" si="2"/>
        <v/>
      </c>
      <c r="T46" s="93" t="str">
        <f t="shared" si="3"/>
        <v/>
      </c>
      <c r="U46" s="100" t="str">
        <f t="shared" si="4"/>
        <v/>
      </c>
      <c r="V46" s="95" t="str">
        <f t="shared" si="5"/>
        <v/>
      </c>
      <c r="W46" s="95" t="str">
        <f t="shared" si="6"/>
        <v/>
      </c>
      <c r="X46" s="95" t="str">
        <f>IFERROR(AJ46*
(Assumptions!$S$7*(W46/P46)^3+
Assumptions!$S$8*(W46/P46)^2+
Assumptions!$S$9*(W46/P46)+
Assumptions!$S$10),
"")</f>
        <v/>
      </c>
      <c r="Y46" s="96" t="str">
        <f>IFERROR(U46*V46*Assumptions!$B$15/3956,"")</f>
        <v/>
      </c>
      <c r="Z46" s="102" t="str">
        <f t="shared" si="7"/>
        <v/>
      </c>
      <c r="AA46" s="95" t="str">
        <f t="shared" si="8"/>
        <v/>
      </c>
      <c r="AB46" s="95" t="str">
        <f t="shared" si="9"/>
        <v/>
      </c>
      <c r="AC46" s="95" t="str">
        <f>IFERROR(AJ46*
(Assumptions!$S$7*(AB46/P46)^3+
Assumptions!$S$8*(AB46/P46)^2+
Assumptions!$S$9*(AB46/P46)+
Assumptions!$S$10),
"")</f>
        <v/>
      </c>
      <c r="AD46" s="96" t="str">
        <f>IFERROR(Z46*AA46*Assumptions!$B$15/3956,"")</f>
        <v/>
      </c>
      <c r="AE46" s="102" t="str">
        <f t="shared" si="10"/>
        <v/>
      </c>
      <c r="AF46" s="95" t="str">
        <f t="shared" si="11"/>
        <v/>
      </c>
      <c r="AG46" s="95" t="str">
        <f t="shared" si="12"/>
        <v/>
      </c>
      <c r="AH46" s="95" t="str">
        <f>IFERROR(AJ46*
(Assumptions!$S$7*(AG46/P46)^3+
Assumptions!$S$8*(AG46/P46)^2+
Assumptions!$S$9*(AG46/P46)+
Assumptions!$S$10),
"")</f>
        <v/>
      </c>
      <c r="AI46" s="96" t="str">
        <f>IFERROR(AE46*AF46*Assumptions!$B$15/3956,"")</f>
        <v/>
      </c>
      <c r="AJ46" s="247" t="str">
        <f t="shared" si="17"/>
        <v/>
      </c>
      <c r="AK46" s="99" t="str">
        <f>IFERROR(
IF(C46="VTS",
IF(P46&gt;=AVERAGE(
INDEX(Assumptions!$I$38:$I$57,MATCH(P46,Assumptions!$I$38:$I$57,-1)),
INDEX(Assumptions!$I$38:$I$57,MATCH(P46,Assumptions!$I$38:$I$57,-1)+1)),
INDEX(Assumptions!$I$38:$I$57,MATCH(P46,Assumptions!$I$38:$I$57,-1)),
INDEX(Assumptions!$I$38:$I$57,MATCH(P46,Assumptions!$I$38:$I$57,-1)+1)),
IF(P46&gt;=AVERAGE(
INDEX(Assumptions!$I$13:$I$32,MATCH(P46,Assumptions!$I$13:$I$32,-1)),
INDEX(Assumptions!$I$13:$I$32,MATCH(P46,Assumptions!$I$13:$I$32,-1)+1)),
INDEX(Assumptions!$I$13:$I$32,MATCH(P46,Assumptions!$I$13:$I$32,-1)),
INDEX(Assumptions!$I$13:$I$32,MATCH(P46,Assumptions!$I$13:$I$32,-1)+1))),
"")</f>
        <v/>
      </c>
      <c r="AL46" s="95" t="str">
        <f>IFERROR(
IF(C46="VTS",
VLOOKUP(AK46,Assumptions!$I$38:$K$57,MATCH(R46,Assumptions!$I$37:$K$37,0),FALSE),
VLOOKUP(AK46,Assumptions!$I$13:$K$32,MATCH(R46,Assumptions!$I$12:$K$12,0),FALSE)),
"")</f>
        <v/>
      </c>
      <c r="AM46" s="95" t="str">
        <f t="shared" si="14"/>
        <v/>
      </c>
      <c r="AN46" s="95" t="str">
        <f>IFERROR(AM46*
(Assumptions!$S$7*(Y46/(AQ46*Assumptions!$AB$9/100)/P46)^3+
Assumptions!$S$8*(Y46/(AQ46*Assumptions!$AB$9/100)/P46)^2+
Assumptions!$S$9*(Y46/(AQ46*Assumptions!$AB$9/100)/P46)+
Assumptions!$S$10),"")</f>
        <v/>
      </c>
      <c r="AO46" s="95" t="str">
        <f>IFERROR(AM46*
(Assumptions!$S$7*(AD46/(AQ46*Assumptions!$AB$8/100)/P46)^3+
Assumptions!$S$8*(AD46/(AQ46*Assumptions!$AB$8/100)/P46)^2+
Assumptions!$S$9*(AD46/(AQ46*Assumptions!$AB$8/100)/P46)+
Assumptions!$S$10),"")</f>
        <v/>
      </c>
      <c r="AP46" s="95" t="str">
        <f>IFERROR(AM46*
(Assumptions!$S$7*(AI46/(AQ46*Assumptions!$AB$10/100)/P46)^3+
Assumptions!$S$8*(AI46/(AQ46*Assumptions!$AB$10/100)/P46)^2+
Assumptions!$S$9*(AI46/(AQ46*Assumptions!$AB$10/100)/P46)+
Assumptions!$S$10),"")</f>
        <v/>
      </c>
      <c r="AQ46" s="95" t="str">
        <f>IFERROR(
Assumptions!$AD$8*LN(U46)^2+
Assumptions!$AE$8*LN(T46)*LN(U46)+
Assumptions!$AF$8*LN(T46)^2+
Assumptions!$AG$8*LN(U46)+
Assumptions!$AH$8*LN(T46)-
(IF(S46=1800,
VLOOKUP(C46,Assumptions!$AA$13:$AC$17,3),
IF(S46=3600,
VLOOKUP(C46,Assumptions!$AA$18:$AC$22,3),
""))+Assumptions!$AI$8),
"")</f>
        <v/>
      </c>
      <c r="AR46" s="96" t="str">
        <f>IFERROR(
Assumptions!$D$11*(Y46/(Assumptions!$AB$9*AQ46/100)+AN46)+
Assumptions!$D$10*(AD46/(Assumptions!$AB$8*AQ46/100)+AO46)+
Assumptions!$D$12*(AI46/(Assumptions!$AB$10*AQ46/100)+AP46),
"")</f>
        <v/>
      </c>
      <c r="AS46" s="76" t="str">
        <f>IFERROR(
(W46+X46)*Assumptions!$D$11+
(AB46+AC46)*Assumptions!$D$10+
(AG46+AH46)*Assumptions!$D$12,
"")</f>
        <v/>
      </c>
      <c r="AT46" s="77" t="str">
        <f t="shared" si="15"/>
        <v/>
      </c>
      <c r="AU46" s="68" t="str">
        <f t="shared" si="1"/>
        <v/>
      </c>
    </row>
    <row r="47" spans="1:47" s="7" customFormat="1" x14ac:dyDescent="0.25">
      <c r="A47" s="264"/>
      <c r="B47" s="265"/>
      <c r="C47" s="265"/>
      <c r="D47" s="265"/>
      <c r="E47" s="266"/>
      <c r="F47" s="270"/>
      <c r="G47" s="271"/>
      <c r="H47" s="271"/>
      <c r="I47" s="272"/>
      <c r="J47" s="270"/>
      <c r="K47" s="271"/>
      <c r="L47" s="272"/>
      <c r="M47" s="270"/>
      <c r="N47" s="271"/>
      <c r="O47" s="272"/>
      <c r="P47" s="290"/>
      <c r="Q47" s="291"/>
      <c r="R47" s="51" t="str">
        <f t="shared" si="16"/>
        <v/>
      </c>
      <c r="S47" s="84" t="str">
        <f t="shared" si="2"/>
        <v/>
      </c>
      <c r="T47" s="93" t="str">
        <f t="shared" si="3"/>
        <v/>
      </c>
      <c r="U47" s="100" t="str">
        <f t="shared" si="4"/>
        <v/>
      </c>
      <c r="V47" s="95" t="str">
        <f t="shared" si="5"/>
        <v/>
      </c>
      <c r="W47" s="95" t="str">
        <f t="shared" si="6"/>
        <v/>
      </c>
      <c r="X47" s="95" t="str">
        <f>IFERROR(AJ47*
(Assumptions!$S$7*(W47/P47)^3+
Assumptions!$S$8*(W47/P47)^2+
Assumptions!$S$9*(W47/P47)+
Assumptions!$S$10),
"")</f>
        <v/>
      </c>
      <c r="Y47" s="96" t="str">
        <f>IFERROR(U47*V47*Assumptions!$B$15/3956,"")</f>
        <v/>
      </c>
      <c r="Z47" s="102" t="str">
        <f t="shared" si="7"/>
        <v/>
      </c>
      <c r="AA47" s="95" t="str">
        <f t="shared" si="8"/>
        <v/>
      </c>
      <c r="AB47" s="95" t="str">
        <f t="shared" si="9"/>
        <v/>
      </c>
      <c r="AC47" s="95" t="str">
        <f>IFERROR(AJ47*
(Assumptions!$S$7*(AB47/P47)^3+
Assumptions!$S$8*(AB47/P47)^2+
Assumptions!$S$9*(AB47/P47)+
Assumptions!$S$10),
"")</f>
        <v/>
      </c>
      <c r="AD47" s="96" t="str">
        <f>IFERROR(Z47*AA47*Assumptions!$B$15/3956,"")</f>
        <v/>
      </c>
      <c r="AE47" s="102" t="str">
        <f t="shared" si="10"/>
        <v/>
      </c>
      <c r="AF47" s="95" t="str">
        <f t="shared" si="11"/>
        <v/>
      </c>
      <c r="AG47" s="95" t="str">
        <f t="shared" si="12"/>
        <v/>
      </c>
      <c r="AH47" s="95" t="str">
        <f>IFERROR(AJ47*
(Assumptions!$S$7*(AG47/P47)^3+
Assumptions!$S$8*(AG47/P47)^2+
Assumptions!$S$9*(AG47/P47)+
Assumptions!$S$10),
"")</f>
        <v/>
      </c>
      <c r="AI47" s="96" t="str">
        <f>IFERROR(AE47*AF47*Assumptions!$B$15/3956,"")</f>
        <v/>
      </c>
      <c r="AJ47" s="247" t="str">
        <f t="shared" si="17"/>
        <v/>
      </c>
      <c r="AK47" s="99" t="str">
        <f>IFERROR(
IF(C47="VTS",
IF(P47&gt;=AVERAGE(
INDEX(Assumptions!$I$38:$I$57,MATCH(P47,Assumptions!$I$38:$I$57,-1)),
INDEX(Assumptions!$I$38:$I$57,MATCH(P47,Assumptions!$I$38:$I$57,-1)+1)),
INDEX(Assumptions!$I$38:$I$57,MATCH(P47,Assumptions!$I$38:$I$57,-1)),
INDEX(Assumptions!$I$38:$I$57,MATCH(P47,Assumptions!$I$38:$I$57,-1)+1)),
IF(P47&gt;=AVERAGE(
INDEX(Assumptions!$I$13:$I$32,MATCH(P47,Assumptions!$I$13:$I$32,-1)),
INDEX(Assumptions!$I$13:$I$32,MATCH(P47,Assumptions!$I$13:$I$32,-1)+1)),
INDEX(Assumptions!$I$13:$I$32,MATCH(P47,Assumptions!$I$13:$I$32,-1)),
INDEX(Assumptions!$I$13:$I$32,MATCH(P47,Assumptions!$I$13:$I$32,-1)+1))),
"")</f>
        <v/>
      </c>
      <c r="AL47" s="95" t="str">
        <f>IFERROR(
IF(C47="VTS",
VLOOKUP(AK47,Assumptions!$I$38:$K$57,MATCH(R47,Assumptions!$I$37:$K$37,0),FALSE),
VLOOKUP(AK47,Assumptions!$I$13:$K$32,MATCH(R47,Assumptions!$I$12:$K$12,0),FALSE)),
"")</f>
        <v/>
      </c>
      <c r="AM47" s="95" t="str">
        <f t="shared" si="14"/>
        <v/>
      </c>
      <c r="AN47" s="95" t="str">
        <f>IFERROR(AM47*
(Assumptions!$S$7*(Y47/(AQ47*Assumptions!$AB$9/100)/P47)^3+
Assumptions!$S$8*(Y47/(AQ47*Assumptions!$AB$9/100)/P47)^2+
Assumptions!$S$9*(Y47/(AQ47*Assumptions!$AB$9/100)/P47)+
Assumptions!$S$10),"")</f>
        <v/>
      </c>
      <c r="AO47" s="95" t="str">
        <f>IFERROR(AM47*
(Assumptions!$S$7*(AD47/(AQ47*Assumptions!$AB$8/100)/P47)^3+
Assumptions!$S$8*(AD47/(AQ47*Assumptions!$AB$8/100)/P47)^2+
Assumptions!$S$9*(AD47/(AQ47*Assumptions!$AB$8/100)/P47)+
Assumptions!$S$10),"")</f>
        <v/>
      </c>
      <c r="AP47" s="95" t="str">
        <f>IFERROR(AM47*
(Assumptions!$S$7*(AI47/(AQ47*Assumptions!$AB$10/100)/P47)^3+
Assumptions!$S$8*(AI47/(AQ47*Assumptions!$AB$10/100)/P47)^2+
Assumptions!$S$9*(AI47/(AQ47*Assumptions!$AB$10/100)/P47)+
Assumptions!$S$10),"")</f>
        <v/>
      </c>
      <c r="AQ47" s="95" t="str">
        <f>IFERROR(
Assumptions!$AD$8*LN(U47)^2+
Assumptions!$AE$8*LN(T47)*LN(U47)+
Assumptions!$AF$8*LN(T47)^2+
Assumptions!$AG$8*LN(U47)+
Assumptions!$AH$8*LN(T47)-
(IF(S47=1800,
VLOOKUP(C47,Assumptions!$AA$13:$AC$17,3),
IF(S47=3600,
VLOOKUP(C47,Assumptions!$AA$18:$AC$22,3),
""))+Assumptions!$AI$8),
"")</f>
        <v/>
      </c>
      <c r="AR47" s="96" t="str">
        <f>IFERROR(
Assumptions!$D$11*(Y47/(Assumptions!$AB$9*AQ47/100)+AN47)+
Assumptions!$D$10*(AD47/(Assumptions!$AB$8*AQ47/100)+AO47)+
Assumptions!$D$12*(AI47/(Assumptions!$AB$10*AQ47/100)+AP47),
"")</f>
        <v/>
      </c>
      <c r="AS47" s="76" t="str">
        <f>IFERROR(
(W47+X47)*Assumptions!$D$11+
(AB47+AC47)*Assumptions!$D$10+
(AG47+AH47)*Assumptions!$D$12,
"")</f>
        <v/>
      </c>
      <c r="AT47" s="77" t="str">
        <f t="shared" si="15"/>
        <v/>
      </c>
      <c r="AU47" s="68" t="str">
        <f t="shared" si="1"/>
        <v/>
      </c>
    </row>
    <row r="48" spans="1:47" s="7" customFormat="1" x14ac:dyDescent="0.25">
      <c r="A48" s="264"/>
      <c r="B48" s="265"/>
      <c r="C48" s="265"/>
      <c r="D48" s="265"/>
      <c r="E48" s="266"/>
      <c r="F48" s="270"/>
      <c r="G48" s="271"/>
      <c r="H48" s="271"/>
      <c r="I48" s="272"/>
      <c r="J48" s="270"/>
      <c r="K48" s="271"/>
      <c r="L48" s="272"/>
      <c r="M48" s="270"/>
      <c r="N48" s="271"/>
      <c r="O48" s="272"/>
      <c r="P48" s="290"/>
      <c r="Q48" s="291"/>
      <c r="R48" s="51" t="str">
        <f t="shared" si="16"/>
        <v/>
      </c>
      <c r="S48" s="84" t="str">
        <f t="shared" si="2"/>
        <v/>
      </c>
      <c r="T48" s="93" t="str">
        <f t="shared" si="3"/>
        <v/>
      </c>
      <c r="U48" s="100" t="str">
        <f t="shared" si="4"/>
        <v/>
      </c>
      <c r="V48" s="95" t="str">
        <f t="shared" si="5"/>
        <v/>
      </c>
      <c r="W48" s="95" t="str">
        <f t="shared" si="6"/>
        <v/>
      </c>
      <c r="X48" s="95" t="str">
        <f>IFERROR(AJ48*
(Assumptions!$S$7*(W48/P48)^3+
Assumptions!$S$8*(W48/P48)^2+
Assumptions!$S$9*(W48/P48)+
Assumptions!$S$10),
"")</f>
        <v/>
      </c>
      <c r="Y48" s="96" t="str">
        <f>IFERROR(U48*V48*Assumptions!$B$15/3956,"")</f>
        <v/>
      </c>
      <c r="Z48" s="102" t="str">
        <f t="shared" si="7"/>
        <v/>
      </c>
      <c r="AA48" s="95" t="str">
        <f t="shared" si="8"/>
        <v/>
      </c>
      <c r="AB48" s="95" t="str">
        <f t="shared" si="9"/>
        <v/>
      </c>
      <c r="AC48" s="95" t="str">
        <f>IFERROR(AJ48*
(Assumptions!$S$7*(AB48/P48)^3+
Assumptions!$S$8*(AB48/P48)^2+
Assumptions!$S$9*(AB48/P48)+
Assumptions!$S$10),
"")</f>
        <v/>
      </c>
      <c r="AD48" s="96" t="str">
        <f>IFERROR(Z48*AA48*Assumptions!$B$15/3956,"")</f>
        <v/>
      </c>
      <c r="AE48" s="102" t="str">
        <f t="shared" si="10"/>
        <v/>
      </c>
      <c r="AF48" s="95" t="str">
        <f t="shared" si="11"/>
        <v/>
      </c>
      <c r="AG48" s="95" t="str">
        <f t="shared" si="12"/>
        <v/>
      </c>
      <c r="AH48" s="95" t="str">
        <f>IFERROR(AJ48*
(Assumptions!$S$7*(AG48/P48)^3+
Assumptions!$S$8*(AG48/P48)^2+
Assumptions!$S$9*(AG48/P48)+
Assumptions!$S$10),
"")</f>
        <v/>
      </c>
      <c r="AI48" s="96" t="str">
        <f>IFERROR(AE48*AF48*Assumptions!$B$15/3956,"")</f>
        <v/>
      </c>
      <c r="AJ48" s="247" t="str">
        <f t="shared" si="17"/>
        <v/>
      </c>
      <c r="AK48" s="99" t="str">
        <f>IFERROR(
IF(C48="VTS",
IF(P48&gt;=AVERAGE(
INDEX(Assumptions!$I$38:$I$57,MATCH(P48,Assumptions!$I$38:$I$57,-1)),
INDEX(Assumptions!$I$38:$I$57,MATCH(P48,Assumptions!$I$38:$I$57,-1)+1)),
INDEX(Assumptions!$I$38:$I$57,MATCH(P48,Assumptions!$I$38:$I$57,-1)),
INDEX(Assumptions!$I$38:$I$57,MATCH(P48,Assumptions!$I$38:$I$57,-1)+1)),
IF(P48&gt;=AVERAGE(
INDEX(Assumptions!$I$13:$I$32,MATCH(P48,Assumptions!$I$13:$I$32,-1)),
INDEX(Assumptions!$I$13:$I$32,MATCH(P48,Assumptions!$I$13:$I$32,-1)+1)),
INDEX(Assumptions!$I$13:$I$32,MATCH(P48,Assumptions!$I$13:$I$32,-1)),
INDEX(Assumptions!$I$13:$I$32,MATCH(P48,Assumptions!$I$13:$I$32,-1)+1))),
"")</f>
        <v/>
      </c>
      <c r="AL48" s="95" t="str">
        <f>IFERROR(
IF(C48="VTS",
VLOOKUP(AK48,Assumptions!$I$38:$K$57,MATCH(R48,Assumptions!$I$37:$K$37,0),FALSE),
VLOOKUP(AK48,Assumptions!$I$13:$K$32,MATCH(R48,Assumptions!$I$12:$K$12,0),FALSE)),
"")</f>
        <v/>
      </c>
      <c r="AM48" s="95" t="str">
        <f t="shared" si="14"/>
        <v/>
      </c>
      <c r="AN48" s="95" t="str">
        <f>IFERROR(AM48*
(Assumptions!$S$7*(Y48/(AQ48*Assumptions!$AB$9/100)/P48)^3+
Assumptions!$S$8*(Y48/(AQ48*Assumptions!$AB$9/100)/P48)^2+
Assumptions!$S$9*(Y48/(AQ48*Assumptions!$AB$9/100)/P48)+
Assumptions!$S$10),"")</f>
        <v/>
      </c>
      <c r="AO48" s="95" t="str">
        <f>IFERROR(AM48*
(Assumptions!$S$7*(AD48/(AQ48*Assumptions!$AB$8/100)/P48)^3+
Assumptions!$S$8*(AD48/(AQ48*Assumptions!$AB$8/100)/P48)^2+
Assumptions!$S$9*(AD48/(AQ48*Assumptions!$AB$8/100)/P48)+
Assumptions!$S$10),"")</f>
        <v/>
      </c>
      <c r="AP48" s="95" t="str">
        <f>IFERROR(AM48*
(Assumptions!$S$7*(AI48/(AQ48*Assumptions!$AB$10/100)/P48)^3+
Assumptions!$S$8*(AI48/(AQ48*Assumptions!$AB$10/100)/P48)^2+
Assumptions!$S$9*(AI48/(AQ48*Assumptions!$AB$10/100)/P48)+
Assumptions!$S$10),"")</f>
        <v/>
      </c>
      <c r="AQ48" s="95" t="str">
        <f>IFERROR(
Assumptions!$AD$8*LN(U48)^2+
Assumptions!$AE$8*LN(T48)*LN(U48)+
Assumptions!$AF$8*LN(T48)^2+
Assumptions!$AG$8*LN(U48)+
Assumptions!$AH$8*LN(T48)-
(IF(S48=1800,
VLOOKUP(C48,Assumptions!$AA$13:$AC$17,3),
IF(S48=3600,
VLOOKUP(C48,Assumptions!$AA$18:$AC$22,3),
""))+Assumptions!$AI$8),
"")</f>
        <v/>
      </c>
      <c r="AR48" s="96" t="str">
        <f>IFERROR(
Assumptions!$D$11*(Y48/(Assumptions!$AB$9*AQ48/100)+AN48)+
Assumptions!$D$10*(AD48/(Assumptions!$AB$8*AQ48/100)+AO48)+
Assumptions!$D$12*(AI48/(Assumptions!$AB$10*AQ48/100)+AP48),
"")</f>
        <v/>
      </c>
      <c r="AS48" s="76" t="str">
        <f>IFERROR(
(W48+X48)*Assumptions!$D$11+
(AB48+AC48)*Assumptions!$D$10+
(AG48+AH48)*Assumptions!$D$12,
"")</f>
        <v/>
      </c>
      <c r="AT48" s="77" t="str">
        <f t="shared" si="15"/>
        <v/>
      </c>
      <c r="AU48" s="68" t="str">
        <f t="shared" si="1"/>
        <v/>
      </c>
    </row>
    <row r="49" spans="1:47" s="7" customFormat="1" x14ac:dyDescent="0.25">
      <c r="A49" s="264"/>
      <c r="B49" s="265"/>
      <c r="C49" s="265"/>
      <c r="D49" s="265"/>
      <c r="E49" s="266"/>
      <c r="F49" s="270"/>
      <c r="G49" s="271"/>
      <c r="H49" s="271"/>
      <c r="I49" s="272"/>
      <c r="J49" s="270"/>
      <c r="K49" s="271"/>
      <c r="L49" s="272"/>
      <c r="M49" s="270"/>
      <c r="N49" s="271"/>
      <c r="O49" s="272"/>
      <c r="P49" s="290"/>
      <c r="Q49" s="291"/>
      <c r="R49" s="51" t="str">
        <f t="shared" si="16"/>
        <v/>
      </c>
      <c r="S49" s="84" t="str">
        <f t="shared" si="2"/>
        <v/>
      </c>
      <c r="T49" s="93" t="str">
        <f t="shared" si="3"/>
        <v/>
      </c>
      <c r="U49" s="100" t="str">
        <f t="shared" si="4"/>
        <v/>
      </c>
      <c r="V49" s="95" t="str">
        <f t="shared" si="5"/>
        <v/>
      </c>
      <c r="W49" s="95" t="str">
        <f t="shared" si="6"/>
        <v/>
      </c>
      <c r="X49" s="95" t="str">
        <f>IFERROR(AJ49*
(Assumptions!$S$7*(W49/P49)^3+
Assumptions!$S$8*(W49/P49)^2+
Assumptions!$S$9*(W49/P49)+
Assumptions!$S$10),
"")</f>
        <v/>
      </c>
      <c r="Y49" s="96" t="str">
        <f>IFERROR(U49*V49*Assumptions!$B$15/3956,"")</f>
        <v/>
      </c>
      <c r="Z49" s="102" t="str">
        <f t="shared" si="7"/>
        <v/>
      </c>
      <c r="AA49" s="95" t="str">
        <f t="shared" si="8"/>
        <v/>
      </c>
      <c r="AB49" s="95" t="str">
        <f t="shared" si="9"/>
        <v/>
      </c>
      <c r="AC49" s="95" t="str">
        <f>IFERROR(AJ49*
(Assumptions!$S$7*(AB49/P49)^3+
Assumptions!$S$8*(AB49/P49)^2+
Assumptions!$S$9*(AB49/P49)+
Assumptions!$S$10),
"")</f>
        <v/>
      </c>
      <c r="AD49" s="96" t="str">
        <f>IFERROR(Z49*AA49*Assumptions!$B$15/3956,"")</f>
        <v/>
      </c>
      <c r="AE49" s="102" t="str">
        <f t="shared" si="10"/>
        <v/>
      </c>
      <c r="AF49" s="95" t="str">
        <f t="shared" si="11"/>
        <v/>
      </c>
      <c r="AG49" s="95" t="str">
        <f t="shared" si="12"/>
        <v/>
      </c>
      <c r="AH49" s="95" t="str">
        <f>IFERROR(AJ49*
(Assumptions!$S$7*(AG49/P49)^3+
Assumptions!$S$8*(AG49/P49)^2+
Assumptions!$S$9*(AG49/P49)+
Assumptions!$S$10),
"")</f>
        <v/>
      </c>
      <c r="AI49" s="96" t="str">
        <f>IFERROR(AE49*AF49*Assumptions!$B$15/3956,"")</f>
        <v/>
      </c>
      <c r="AJ49" s="247" t="str">
        <f t="shared" si="17"/>
        <v/>
      </c>
      <c r="AK49" s="99" t="str">
        <f>IFERROR(
IF(C49="VTS",
IF(P49&gt;=AVERAGE(
INDEX(Assumptions!$I$38:$I$57,MATCH(P49,Assumptions!$I$38:$I$57,-1)),
INDEX(Assumptions!$I$38:$I$57,MATCH(P49,Assumptions!$I$38:$I$57,-1)+1)),
INDEX(Assumptions!$I$38:$I$57,MATCH(P49,Assumptions!$I$38:$I$57,-1)),
INDEX(Assumptions!$I$38:$I$57,MATCH(P49,Assumptions!$I$38:$I$57,-1)+1)),
IF(P49&gt;=AVERAGE(
INDEX(Assumptions!$I$13:$I$32,MATCH(P49,Assumptions!$I$13:$I$32,-1)),
INDEX(Assumptions!$I$13:$I$32,MATCH(P49,Assumptions!$I$13:$I$32,-1)+1)),
INDEX(Assumptions!$I$13:$I$32,MATCH(P49,Assumptions!$I$13:$I$32,-1)),
INDEX(Assumptions!$I$13:$I$32,MATCH(P49,Assumptions!$I$13:$I$32,-1)+1))),
"")</f>
        <v/>
      </c>
      <c r="AL49" s="95" t="str">
        <f>IFERROR(
IF(C49="VTS",
VLOOKUP(AK49,Assumptions!$I$38:$K$57,MATCH(R49,Assumptions!$I$37:$K$37,0),FALSE),
VLOOKUP(AK49,Assumptions!$I$13:$K$32,MATCH(R49,Assumptions!$I$12:$K$12,0),FALSE)),
"")</f>
        <v/>
      </c>
      <c r="AM49" s="95" t="str">
        <f t="shared" si="14"/>
        <v/>
      </c>
      <c r="AN49" s="95" t="str">
        <f>IFERROR(AM49*
(Assumptions!$S$7*(Y49/(AQ49*Assumptions!$AB$9/100)/P49)^3+
Assumptions!$S$8*(Y49/(AQ49*Assumptions!$AB$9/100)/P49)^2+
Assumptions!$S$9*(Y49/(AQ49*Assumptions!$AB$9/100)/P49)+
Assumptions!$S$10),"")</f>
        <v/>
      </c>
      <c r="AO49" s="95" t="str">
        <f>IFERROR(AM49*
(Assumptions!$S$7*(AD49/(AQ49*Assumptions!$AB$8/100)/P49)^3+
Assumptions!$S$8*(AD49/(AQ49*Assumptions!$AB$8/100)/P49)^2+
Assumptions!$S$9*(AD49/(AQ49*Assumptions!$AB$8/100)/P49)+
Assumptions!$S$10),"")</f>
        <v/>
      </c>
      <c r="AP49" s="95" t="str">
        <f>IFERROR(AM49*
(Assumptions!$S$7*(AI49/(AQ49*Assumptions!$AB$10/100)/P49)^3+
Assumptions!$S$8*(AI49/(AQ49*Assumptions!$AB$10/100)/P49)^2+
Assumptions!$S$9*(AI49/(AQ49*Assumptions!$AB$10/100)/P49)+
Assumptions!$S$10),"")</f>
        <v/>
      </c>
      <c r="AQ49" s="95" t="str">
        <f>IFERROR(
Assumptions!$AD$8*LN(U49)^2+
Assumptions!$AE$8*LN(T49)*LN(U49)+
Assumptions!$AF$8*LN(T49)^2+
Assumptions!$AG$8*LN(U49)+
Assumptions!$AH$8*LN(T49)-
(IF(S49=1800,
VLOOKUP(C49,Assumptions!$AA$13:$AC$17,3),
IF(S49=3600,
VLOOKUP(C49,Assumptions!$AA$18:$AC$22,3),
""))+Assumptions!$AI$8),
"")</f>
        <v/>
      </c>
      <c r="AR49" s="96" t="str">
        <f>IFERROR(
Assumptions!$D$11*(Y49/(Assumptions!$AB$9*AQ49/100)+AN49)+
Assumptions!$D$10*(AD49/(Assumptions!$AB$8*AQ49/100)+AO49)+
Assumptions!$D$12*(AI49/(Assumptions!$AB$10*AQ49/100)+AP49),
"")</f>
        <v/>
      </c>
      <c r="AS49" s="76" t="str">
        <f>IFERROR(
(W49+X49)*Assumptions!$D$11+
(AB49+AC49)*Assumptions!$D$10+
(AG49+AH49)*Assumptions!$D$12,
"")</f>
        <v/>
      </c>
      <c r="AT49" s="77" t="str">
        <f t="shared" si="15"/>
        <v/>
      </c>
      <c r="AU49" s="68" t="str">
        <f t="shared" si="1"/>
        <v/>
      </c>
    </row>
    <row r="50" spans="1:47" s="7" customFormat="1" x14ac:dyDescent="0.25">
      <c r="A50" s="264"/>
      <c r="B50" s="265"/>
      <c r="C50" s="265"/>
      <c r="D50" s="265"/>
      <c r="E50" s="266"/>
      <c r="F50" s="270"/>
      <c r="G50" s="271"/>
      <c r="H50" s="271"/>
      <c r="I50" s="272"/>
      <c r="J50" s="270"/>
      <c r="K50" s="271"/>
      <c r="L50" s="272"/>
      <c r="M50" s="270"/>
      <c r="N50" s="271"/>
      <c r="O50" s="272"/>
      <c r="P50" s="290"/>
      <c r="Q50" s="291"/>
      <c r="R50" s="51" t="str">
        <f t="shared" si="16"/>
        <v/>
      </c>
      <c r="S50" s="84" t="str">
        <f t="shared" si="2"/>
        <v/>
      </c>
      <c r="T50" s="93" t="str">
        <f t="shared" si="3"/>
        <v/>
      </c>
      <c r="U50" s="100" t="str">
        <f t="shared" si="4"/>
        <v/>
      </c>
      <c r="V50" s="95" t="str">
        <f t="shared" si="5"/>
        <v/>
      </c>
      <c r="W50" s="95" t="str">
        <f t="shared" si="6"/>
        <v/>
      </c>
      <c r="X50" s="95" t="str">
        <f>IFERROR(AJ50*
(Assumptions!$S$7*(W50/P50)^3+
Assumptions!$S$8*(W50/P50)^2+
Assumptions!$S$9*(W50/P50)+
Assumptions!$S$10),
"")</f>
        <v/>
      </c>
      <c r="Y50" s="96" t="str">
        <f>IFERROR(U50*V50*Assumptions!$B$15/3956,"")</f>
        <v/>
      </c>
      <c r="Z50" s="102" t="str">
        <f t="shared" si="7"/>
        <v/>
      </c>
      <c r="AA50" s="95" t="str">
        <f t="shared" si="8"/>
        <v/>
      </c>
      <c r="AB50" s="95" t="str">
        <f t="shared" si="9"/>
        <v/>
      </c>
      <c r="AC50" s="95" t="str">
        <f>IFERROR(AJ50*
(Assumptions!$S$7*(AB50/P50)^3+
Assumptions!$S$8*(AB50/P50)^2+
Assumptions!$S$9*(AB50/P50)+
Assumptions!$S$10),
"")</f>
        <v/>
      </c>
      <c r="AD50" s="96" t="str">
        <f>IFERROR(Z50*AA50*Assumptions!$B$15/3956,"")</f>
        <v/>
      </c>
      <c r="AE50" s="102" t="str">
        <f t="shared" si="10"/>
        <v/>
      </c>
      <c r="AF50" s="95" t="str">
        <f t="shared" si="11"/>
        <v/>
      </c>
      <c r="AG50" s="95" t="str">
        <f t="shared" si="12"/>
        <v/>
      </c>
      <c r="AH50" s="95" t="str">
        <f>IFERROR(AJ50*
(Assumptions!$S$7*(AG50/P50)^3+
Assumptions!$S$8*(AG50/P50)^2+
Assumptions!$S$9*(AG50/P50)+
Assumptions!$S$10),
"")</f>
        <v/>
      </c>
      <c r="AI50" s="96" t="str">
        <f>IFERROR(AE50*AF50*Assumptions!$B$15/3956,"")</f>
        <v/>
      </c>
      <c r="AJ50" s="247" t="str">
        <f t="shared" si="17"/>
        <v/>
      </c>
      <c r="AK50" s="99" t="str">
        <f>IFERROR(
IF(C50="VTS",
IF(P50&gt;=AVERAGE(
INDEX(Assumptions!$I$38:$I$57,MATCH(P50,Assumptions!$I$38:$I$57,-1)),
INDEX(Assumptions!$I$38:$I$57,MATCH(P50,Assumptions!$I$38:$I$57,-1)+1)),
INDEX(Assumptions!$I$38:$I$57,MATCH(P50,Assumptions!$I$38:$I$57,-1)),
INDEX(Assumptions!$I$38:$I$57,MATCH(P50,Assumptions!$I$38:$I$57,-1)+1)),
IF(P50&gt;=AVERAGE(
INDEX(Assumptions!$I$13:$I$32,MATCH(P50,Assumptions!$I$13:$I$32,-1)),
INDEX(Assumptions!$I$13:$I$32,MATCH(P50,Assumptions!$I$13:$I$32,-1)+1)),
INDEX(Assumptions!$I$13:$I$32,MATCH(P50,Assumptions!$I$13:$I$32,-1)),
INDEX(Assumptions!$I$13:$I$32,MATCH(P50,Assumptions!$I$13:$I$32,-1)+1))),
"")</f>
        <v/>
      </c>
      <c r="AL50" s="95" t="str">
        <f>IFERROR(
IF(C50="VTS",
VLOOKUP(AK50,Assumptions!$I$38:$K$57,MATCH(R50,Assumptions!$I$37:$K$37,0),FALSE),
VLOOKUP(AK50,Assumptions!$I$13:$K$32,MATCH(R50,Assumptions!$I$12:$K$12,0),FALSE)),
"")</f>
        <v/>
      </c>
      <c r="AM50" s="95" t="str">
        <f t="shared" si="14"/>
        <v/>
      </c>
      <c r="AN50" s="95" t="str">
        <f>IFERROR(AM50*
(Assumptions!$S$7*(Y50/(AQ50*Assumptions!$AB$9/100)/P50)^3+
Assumptions!$S$8*(Y50/(AQ50*Assumptions!$AB$9/100)/P50)^2+
Assumptions!$S$9*(Y50/(AQ50*Assumptions!$AB$9/100)/P50)+
Assumptions!$S$10),"")</f>
        <v/>
      </c>
      <c r="AO50" s="95" t="str">
        <f>IFERROR(AM50*
(Assumptions!$S$7*(AD50/(AQ50*Assumptions!$AB$8/100)/P50)^3+
Assumptions!$S$8*(AD50/(AQ50*Assumptions!$AB$8/100)/P50)^2+
Assumptions!$S$9*(AD50/(AQ50*Assumptions!$AB$8/100)/P50)+
Assumptions!$S$10),"")</f>
        <v/>
      </c>
      <c r="AP50" s="95" t="str">
        <f>IFERROR(AM50*
(Assumptions!$S$7*(AI50/(AQ50*Assumptions!$AB$10/100)/P50)^3+
Assumptions!$S$8*(AI50/(AQ50*Assumptions!$AB$10/100)/P50)^2+
Assumptions!$S$9*(AI50/(AQ50*Assumptions!$AB$10/100)/P50)+
Assumptions!$S$10),"")</f>
        <v/>
      </c>
      <c r="AQ50" s="95" t="str">
        <f>IFERROR(
Assumptions!$AD$8*LN(U50)^2+
Assumptions!$AE$8*LN(T50)*LN(U50)+
Assumptions!$AF$8*LN(T50)^2+
Assumptions!$AG$8*LN(U50)+
Assumptions!$AH$8*LN(T50)-
(IF(S50=1800,
VLOOKUP(C50,Assumptions!$AA$13:$AC$17,3),
IF(S50=3600,
VLOOKUP(C50,Assumptions!$AA$18:$AC$22,3),
""))+Assumptions!$AI$8),
"")</f>
        <v/>
      </c>
      <c r="AR50" s="96" t="str">
        <f>IFERROR(
Assumptions!$D$11*(Y50/(Assumptions!$AB$9*AQ50/100)+AN50)+
Assumptions!$D$10*(AD50/(Assumptions!$AB$8*AQ50/100)+AO50)+
Assumptions!$D$12*(AI50/(Assumptions!$AB$10*AQ50/100)+AP50),
"")</f>
        <v/>
      </c>
      <c r="AS50" s="76" t="str">
        <f>IFERROR(
(W50+X50)*Assumptions!$D$11+
(AB50+AC50)*Assumptions!$D$10+
(AG50+AH50)*Assumptions!$D$12,
"")</f>
        <v/>
      </c>
      <c r="AT50" s="77" t="str">
        <f t="shared" si="15"/>
        <v/>
      </c>
      <c r="AU50" s="68" t="str">
        <f t="shared" si="1"/>
        <v/>
      </c>
    </row>
    <row r="51" spans="1:47" s="7" customFormat="1" x14ac:dyDescent="0.25">
      <c r="A51" s="264"/>
      <c r="B51" s="265"/>
      <c r="C51" s="265"/>
      <c r="D51" s="265"/>
      <c r="E51" s="266"/>
      <c r="F51" s="270"/>
      <c r="G51" s="271"/>
      <c r="H51" s="271"/>
      <c r="I51" s="272"/>
      <c r="J51" s="270"/>
      <c r="K51" s="271"/>
      <c r="L51" s="272"/>
      <c r="M51" s="270"/>
      <c r="N51" s="271"/>
      <c r="O51" s="272"/>
      <c r="P51" s="290"/>
      <c r="Q51" s="291"/>
      <c r="R51" s="51" t="str">
        <f t="shared" si="16"/>
        <v/>
      </c>
      <c r="S51" s="84" t="str">
        <f t="shared" si="2"/>
        <v/>
      </c>
      <c r="T51" s="93" t="str">
        <f t="shared" si="3"/>
        <v/>
      </c>
      <c r="U51" s="100" t="str">
        <f t="shared" si="4"/>
        <v/>
      </c>
      <c r="V51" s="95" t="str">
        <f t="shared" si="5"/>
        <v/>
      </c>
      <c r="W51" s="95" t="str">
        <f t="shared" si="6"/>
        <v/>
      </c>
      <c r="X51" s="95" t="str">
        <f>IFERROR(AJ51*
(Assumptions!$S$7*(W51/P51)^3+
Assumptions!$S$8*(W51/P51)^2+
Assumptions!$S$9*(W51/P51)+
Assumptions!$S$10),
"")</f>
        <v/>
      </c>
      <c r="Y51" s="96" t="str">
        <f>IFERROR(U51*V51*Assumptions!$B$15/3956,"")</f>
        <v/>
      </c>
      <c r="Z51" s="102" t="str">
        <f t="shared" si="7"/>
        <v/>
      </c>
      <c r="AA51" s="95" t="str">
        <f t="shared" si="8"/>
        <v/>
      </c>
      <c r="AB51" s="95" t="str">
        <f t="shared" si="9"/>
        <v/>
      </c>
      <c r="AC51" s="95" t="str">
        <f>IFERROR(AJ51*
(Assumptions!$S$7*(AB51/P51)^3+
Assumptions!$S$8*(AB51/P51)^2+
Assumptions!$S$9*(AB51/P51)+
Assumptions!$S$10),
"")</f>
        <v/>
      </c>
      <c r="AD51" s="96" t="str">
        <f>IFERROR(Z51*AA51*Assumptions!$B$15/3956,"")</f>
        <v/>
      </c>
      <c r="AE51" s="102" t="str">
        <f t="shared" si="10"/>
        <v/>
      </c>
      <c r="AF51" s="95" t="str">
        <f t="shared" si="11"/>
        <v/>
      </c>
      <c r="AG51" s="95" t="str">
        <f t="shared" si="12"/>
        <v/>
      </c>
      <c r="AH51" s="95" t="str">
        <f>IFERROR(AJ51*
(Assumptions!$S$7*(AG51/P51)^3+
Assumptions!$S$8*(AG51/P51)^2+
Assumptions!$S$9*(AG51/P51)+
Assumptions!$S$10),
"")</f>
        <v/>
      </c>
      <c r="AI51" s="96" t="str">
        <f>IFERROR(AE51*AF51*Assumptions!$B$15/3956,"")</f>
        <v/>
      </c>
      <c r="AJ51" s="247" t="str">
        <f t="shared" si="17"/>
        <v/>
      </c>
      <c r="AK51" s="99" t="str">
        <f>IFERROR(
IF(C51="VTS",
IF(P51&gt;=AVERAGE(
INDEX(Assumptions!$I$38:$I$57,MATCH(P51,Assumptions!$I$38:$I$57,-1)),
INDEX(Assumptions!$I$38:$I$57,MATCH(P51,Assumptions!$I$38:$I$57,-1)+1)),
INDEX(Assumptions!$I$38:$I$57,MATCH(P51,Assumptions!$I$38:$I$57,-1)),
INDEX(Assumptions!$I$38:$I$57,MATCH(P51,Assumptions!$I$38:$I$57,-1)+1)),
IF(P51&gt;=AVERAGE(
INDEX(Assumptions!$I$13:$I$32,MATCH(P51,Assumptions!$I$13:$I$32,-1)),
INDEX(Assumptions!$I$13:$I$32,MATCH(P51,Assumptions!$I$13:$I$32,-1)+1)),
INDEX(Assumptions!$I$13:$I$32,MATCH(P51,Assumptions!$I$13:$I$32,-1)),
INDEX(Assumptions!$I$13:$I$32,MATCH(P51,Assumptions!$I$13:$I$32,-1)+1))),
"")</f>
        <v/>
      </c>
      <c r="AL51" s="95" t="str">
        <f>IFERROR(
IF(C51="VTS",
VLOOKUP(AK51,Assumptions!$I$38:$K$57,MATCH(R51,Assumptions!$I$37:$K$37,0),FALSE),
VLOOKUP(AK51,Assumptions!$I$13:$K$32,MATCH(R51,Assumptions!$I$12:$K$12,0),FALSE)),
"")</f>
        <v/>
      </c>
      <c r="AM51" s="95" t="str">
        <f t="shared" si="14"/>
        <v/>
      </c>
      <c r="AN51" s="95" t="str">
        <f>IFERROR(AM51*
(Assumptions!$S$7*(Y51/(AQ51*Assumptions!$AB$9/100)/P51)^3+
Assumptions!$S$8*(Y51/(AQ51*Assumptions!$AB$9/100)/P51)^2+
Assumptions!$S$9*(Y51/(AQ51*Assumptions!$AB$9/100)/P51)+
Assumptions!$S$10),"")</f>
        <v/>
      </c>
      <c r="AO51" s="95" t="str">
        <f>IFERROR(AM51*
(Assumptions!$S$7*(AD51/(AQ51*Assumptions!$AB$8/100)/P51)^3+
Assumptions!$S$8*(AD51/(AQ51*Assumptions!$AB$8/100)/P51)^2+
Assumptions!$S$9*(AD51/(AQ51*Assumptions!$AB$8/100)/P51)+
Assumptions!$S$10),"")</f>
        <v/>
      </c>
      <c r="AP51" s="95" t="str">
        <f>IFERROR(AM51*
(Assumptions!$S$7*(AI51/(AQ51*Assumptions!$AB$10/100)/P51)^3+
Assumptions!$S$8*(AI51/(AQ51*Assumptions!$AB$10/100)/P51)^2+
Assumptions!$S$9*(AI51/(AQ51*Assumptions!$AB$10/100)/P51)+
Assumptions!$S$10),"")</f>
        <v/>
      </c>
      <c r="AQ51" s="95" t="str">
        <f>IFERROR(
Assumptions!$AD$8*LN(U51)^2+
Assumptions!$AE$8*LN(T51)*LN(U51)+
Assumptions!$AF$8*LN(T51)^2+
Assumptions!$AG$8*LN(U51)+
Assumptions!$AH$8*LN(T51)-
(IF(S51=1800,
VLOOKUP(C51,Assumptions!$AA$13:$AC$17,3),
IF(S51=3600,
VLOOKUP(C51,Assumptions!$AA$18:$AC$22,3),
""))+Assumptions!$AI$8),
"")</f>
        <v/>
      </c>
      <c r="AR51" s="96" t="str">
        <f>IFERROR(
Assumptions!$D$11*(Y51/(Assumptions!$AB$9*AQ51/100)+AN51)+
Assumptions!$D$10*(AD51/(Assumptions!$AB$8*AQ51/100)+AO51)+
Assumptions!$D$12*(AI51/(Assumptions!$AB$10*AQ51/100)+AP51),
"")</f>
        <v/>
      </c>
      <c r="AS51" s="76" t="str">
        <f>IFERROR(
(W51+X51)*Assumptions!$D$11+
(AB51+AC51)*Assumptions!$D$10+
(AG51+AH51)*Assumptions!$D$12,
"")</f>
        <v/>
      </c>
      <c r="AT51" s="77" t="str">
        <f t="shared" si="15"/>
        <v/>
      </c>
      <c r="AU51" s="68" t="str">
        <f t="shared" si="1"/>
        <v/>
      </c>
    </row>
    <row r="52" spans="1:47" s="7" customFormat="1" x14ac:dyDescent="0.25">
      <c r="A52" s="264"/>
      <c r="B52" s="265"/>
      <c r="C52" s="265"/>
      <c r="D52" s="265"/>
      <c r="E52" s="266"/>
      <c r="F52" s="270"/>
      <c r="G52" s="271"/>
      <c r="H52" s="271"/>
      <c r="I52" s="272"/>
      <c r="J52" s="270"/>
      <c r="K52" s="271"/>
      <c r="L52" s="272"/>
      <c r="M52" s="270"/>
      <c r="N52" s="271"/>
      <c r="O52" s="272"/>
      <c r="P52" s="290"/>
      <c r="Q52" s="291"/>
      <c r="R52" s="51" t="str">
        <f t="shared" si="16"/>
        <v/>
      </c>
      <c r="S52" s="84" t="str">
        <f t="shared" si="2"/>
        <v/>
      </c>
      <c r="T52" s="93" t="str">
        <f t="shared" si="3"/>
        <v/>
      </c>
      <c r="U52" s="100" t="str">
        <f t="shared" si="4"/>
        <v/>
      </c>
      <c r="V52" s="95" t="str">
        <f t="shared" si="5"/>
        <v/>
      </c>
      <c r="W52" s="95" t="str">
        <f t="shared" si="6"/>
        <v/>
      </c>
      <c r="X52" s="95" t="str">
        <f>IFERROR(AJ52*
(Assumptions!$S$7*(W52/P52)^3+
Assumptions!$S$8*(W52/P52)^2+
Assumptions!$S$9*(W52/P52)+
Assumptions!$S$10),
"")</f>
        <v/>
      </c>
      <c r="Y52" s="96" t="str">
        <f>IFERROR(U52*V52*Assumptions!$B$15/3956,"")</f>
        <v/>
      </c>
      <c r="Z52" s="102" t="str">
        <f t="shared" si="7"/>
        <v/>
      </c>
      <c r="AA52" s="95" t="str">
        <f t="shared" si="8"/>
        <v/>
      </c>
      <c r="AB52" s="95" t="str">
        <f t="shared" si="9"/>
        <v/>
      </c>
      <c r="AC52" s="95" t="str">
        <f>IFERROR(AJ52*
(Assumptions!$S$7*(AB52/P52)^3+
Assumptions!$S$8*(AB52/P52)^2+
Assumptions!$S$9*(AB52/P52)+
Assumptions!$S$10),
"")</f>
        <v/>
      </c>
      <c r="AD52" s="96" t="str">
        <f>IFERROR(Z52*AA52*Assumptions!$B$15/3956,"")</f>
        <v/>
      </c>
      <c r="AE52" s="102" t="str">
        <f t="shared" si="10"/>
        <v/>
      </c>
      <c r="AF52" s="95" t="str">
        <f t="shared" si="11"/>
        <v/>
      </c>
      <c r="AG52" s="95" t="str">
        <f t="shared" si="12"/>
        <v/>
      </c>
      <c r="AH52" s="95" t="str">
        <f>IFERROR(AJ52*
(Assumptions!$S$7*(AG52/P52)^3+
Assumptions!$S$8*(AG52/P52)^2+
Assumptions!$S$9*(AG52/P52)+
Assumptions!$S$10),
"")</f>
        <v/>
      </c>
      <c r="AI52" s="96" t="str">
        <f>IFERROR(AE52*AF52*Assumptions!$B$15/3956,"")</f>
        <v/>
      </c>
      <c r="AJ52" s="247" t="str">
        <f t="shared" si="17"/>
        <v/>
      </c>
      <c r="AK52" s="99" t="str">
        <f>IFERROR(
IF(C52="VTS",
IF(P52&gt;=AVERAGE(
INDEX(Assumptions!$I$38:$I$57,MATCH(P52,Assumptions!$I$38:$I$57,-1)),
INDEX(Assumptions!$I$38:$I$57,MATCH(P52,Assumptions!$I$38:$I$57,-1)+1)),
INDEX(Assumptions!$I$38:$I$57,MATCH(P52,Assumptions!$I$38:$I$57,-1)),
INDEX(Assumptions!$I$38:$I$57,MATCH(P52,Assumptions!$I$38:$I$57,-1)+1)),
IF(P52&gt;=AVERAGE(
INDEX(Assumptions!$I$13:$I$32,MATCH(P52,Assumptions!$I$13:$I$32,-1)),
INDEX(Assumptions!$I$13:$I$32,MATCH(P52,Assumptions!$I$13:$I$32,-1)+1)),
INDEX(Assumptions!$I$13:$I$32,MATCH(P52,Assumptions!$I$13:$I$32,-1)),
INDEX(Assumptions!$I$13:$I$32,MATCH(P52,Assumptions!$I$13:$I$32,-1)+1))),
"")</f>
        <v/>
      </c>
      <c r="AL52" s="95" t="str">
        <f>IFERROR(
IF(C52="VTS",
VLOOKUP(AK52,Assumptions!$I$38:$K$57,MATCH(R52,Assumptions!$I$37:$K$37,0),FALSE),
VLOOKUP(AK52,Assumptions!$I$13:$K$32,MATCH(R52,Assumptions!$I$12:$K$12,0),FALSE)),
"")</f>
        <v/>
      </c>
      <c r="AM52" s="95" t="str">
        <f t="shared" si="14"/>
        <v/>
      </c>
      <c r="AN52" s="95" t="str">
        <f>IFERROR(AM52*
(Assumptions!$S$7*(Y52/(AQ52*Assumptions!$AB$9/100)/P52)^3+
Assumptions!$S$8*(Y52/(AQ52*Assumptions!$AB$9/100)/P52)^2+
Assumptions!$S$9*(Y52/(AQ52*Assumptions!$AB$9/100)/P52)+
Assumptions!$S$10),"")</f>
        <v/>
      </c>
      <c r="AO52" s="95" t="str">
        <f>IFERROR(AM52*
(Assumptions!$S$7*(AD52/(AQ52*Assumptions!$AB$8/100)/P52)^3+
Assumptions!$S$8*(AD52/(AQ52*Assumptions!$AB$8/100)/P52)^2+
Assumptions!$S$9*(AD52/(AQ52*Assumptions!$AB$8/100)/P52)+
Assumptions!$S$10),"")</f>
        <v/>
      </c>
      <c r="AP52" s="95" t="str">
        <f>IFERROR(AM52*
(Assumptions!$S$7*(AI52/(AQ52*Assumptions!$AB$10/100)/P52)^3+
Assumptions!$S$8*(AI52/(AQ52*Assumptions!$AB$10/100)/P52)^2+
Assumptions!$S$9*(AI52/(AQ52*Assumptions!$AB$10/100)/P52)+
Assumptions!$S$10),"")</f>
        <v/>
      </c>
      <c r="AQ52" s="95" t="str">
        <f>IFERROR(
Assumptions!$AD$8*LN(U52)^2+
Assumptions!$AE$8*LN(T52)*LN(U52)+
Assumptions!$AF$8*LN(T52)^2+
Assumptions!$AG$8*LN(U52)+
Assumptions!$AH$8*LN(T52)-
(IF(S52=1800,
VLOOKUP(C52,Assumptions!$AA$13:$AC$17,3),
IF(S52=3600,
VLOOKUP(C52,Assumptions!$AA$18:$AC$22,3),
""))+Assumptions!$AI$8),
"")</f>
        <v/>
      </c>
      <c r="AR52" s="96" t="str">
        <f>IFERROR(
Assumptions!$D$11*(Y52/(Assumptions!$AB$9*AQ52/100)+AN52)+
Assumptions!$D$10*(AD52/(Assumptions!$AB$8*AQ52/100)+AO52)+
Assumptions!$D$12*(AI52/(Assumptions!$AB$10*AQ52/100)+AP52),
"")</f>
        <v/>
      </c>
      <c r="AS52" s="76" t="str">
        <f>IFERROR(
(W52+X52)*Assumptions!$D$11+
(AB52+AC52)*Assumptions!$D$10+
(AG52+AH52)*Assumptions!$D$12,
"")</f>
        <v/>
      </c>
      <c r="AT52" s="77" t="str">
        <f t="shared" si="15"/>
        <v/>
      </c>
      <c r="AU52" s="68" t="str">
        <f t="shared" si="1"/>
        <v/>
      </c>
    </row>
    <row r="53" spans="1:47" s="7" customFormat="1" x14ac:dyDescent="0.25">
      <c r="A53" s="264"/>
      <c r="B53" s="265"/>
      <c r="C53" s="265"/>
      <c r="D53" s="265"/>
      <c r="E53" s="266"/>
      <c r="F53" s="270"/>
      <c r="G53" s="271"/>
      <c r="H53" s="271"/>
      <c r="I53" s="272"/>
      <c r="J53" s="270"/>
      <c r="K53" s="271"/>
      <c r="L53" s="272"/>
      <c r="M53" s="270"/>
      <c r="N53" s="271"/>
      <c r="O53" s="272"/>
      <c r="P53" s="290"/>
      <c r="Q53" s="291"/>
      <c r="R53" s="51" t="str">
        <f t="shared" si="16"/>
        <v/>
      </c>
      <c r="S53" s="84" t="str">
        <f t="shared" si="2"/>
        <v/>
      </c>
      <c r="T53" s="93" t="str">
        <f t="shared" si="3"/>
        <v/>
      </c>
      <c r="U53" s="100" t="str">
        <f t="shared" si="4"/>
        <v/>
      </c>
      <c r="V53" s="95" t="str">
        <f t="shared" si="5"/>
        <v/>
      </c>
      <c r="W53" s="95" t="str">
        <f t="shared" si="6"/>
        <v/>
      </c>
      <c r="X53" s="95" t="str">
        <f>IFERROR(AJ53*
(Assumptions!$S$7*(W53/P53)^3+
Assumptions!$S$8*(W53/P53)^2+
Assumptions!$S$9*(W53/P53)+
Assumptions!$S$10),
"")</f>
        <v/>
      </c>
      <c r="Y53" s="96" t="str">
        <f>IFERROR(U53*V53*Assumptions!$B$15/3956,"")</f>
        <v/>
      </c>
      <c r="Z53" s="102" t="str">
        <f t="shared" si="7"/>
        <v/>
      </c>
      <c r="AA53" s="95" t="str">
        <f t="shared" si="8"/>
        <v/>
      </c>
      <c r="AB53" s="95" t="str">
        <f t="shared" si="9"/>
        <v/>
      </c>
      <c r="AC53" s="95" t="str">
        <f>IFERROR(AJ53*
(Assumptions!$S$7*(AB53/P53)^3+
Assumptions!$S$8*(AB53/P53)^2+
Assumptions!$S$9*(AB53/P53)+
Assumptions!$S$10),
"")</f>
        <v/>
      </c>
      <c r="AD53" s="96" t="str">
        <f>IFERROR(Z53*AA53*Assumptions!$B$15/3956,"")</f>
        <v/>
      </c>
      <c r="AE53" s="102" t="str">
        <f t="shared" si="10"/>
        <v/>
      </c>
      <c r="AF53" s="95" t="str">
        <f t="shared" si="11"/>
        <v/>
      </c>
      <c r="AG53" s="95" t="str">
        <f t="shared" si="12"/>
        <v/>
      </c>
      <c r="AH53" s="95" t="str">
        <f>IFERROR(AJ53*
(Assumptions!$S$7*(AG53/P53)^3+
Assumptions!$S$8*(AG53/P53)^2+
Assumptions!$S$9*(AG53/P53)+
Assumptions!$S$10),
"")</f>
        <v/>
      </c>
      <c r="AI53" s="96" t="str">
        <f>IFERROR(AE53*AF53*Assumptions!$B$15/3956,"")</f>
        <v/>
      </c>
      <c r="AJ53" s="247" t="str">
        <f t="shared" si="17"/>
        <v/>
      </c>
      <c r="AK53" s="99" t="str">
        <f>IFERROR(
IF(C53="VTS",
IF(P53&gt;=AVERAGE(
INDEX(Assumptions!$I$38:$I$57,MATCH(P53,Assumptions!$I$38:$I$57,-1)),
INDEX(Assumptions!$I$38:$I$57,MATCH(P53,Assumptions!$I$38:$I$57,-1)+1)),
INDEX(Assumptions!$I$38:$I$57,MATCH(P53,Assumptions!$I$38:$I$57,-1)),
INDEX(Assumptions!$I$38:$I$57,MATCH(P53,Assumptions!$I$38:$I$57,-1)+1)),
IF(P53&gt;=AVERAGE(
INDEX(Assumptions!$I$13:$I$32,MATCH(P53,Assumptions!$I$13:$I$32,-1)),
INDEX(Assumptions!$I$13:$I$32,MATCH(P53,Assumptions!$I$13:$I$32,-1)+1)),
INDEX(Assumptions!$I$13:$I$32,MATCH(P53,Assumptions!$I$13:$I$32,-1)),
INDEX(Assumptions!$I$13:$I$32,MATCH(P53,Assumptions!$I$13:$I$32,-1)+1))),
"")</f>
        <v/>
      </c>
      <c r="AL53" s="95" t="str">
        <f>IFERROR(
IF(C53="VTS",
VLOOKUP(AK53,Assumptions!$I$38:$K$57,MATCH(R53,Assumptions!$I$37:$K$37,0),FALSE),
VLOOKUP(AK53,Assumptions!$I$13:$K$32,MATCH(R53,Assumptions!$I$12:$K$12,0),FALSE)),
"")</f>
        <v/>
      </c>
      <c r="AM53" s="95" t="str">
        <f t="shared" si="14"/>
        <v/>
      </c>
      <c r="AN53" s="95" t="str">
        <f>IFERROR(AM53*
(Assumptions!$S$7*(Y53/(AQ53*Assumptions!$AB$9/100)/P53)^3+
Assumptions!$S$8*(Y53/(AQ53*Assumptions!$AB$9/100)/P53)^2+
Assumptions!$S$9*(Y53/(AQ53*Assumptions!$AB$9/100)/P53)+
Assumptions!$S$10),"")</f>
        <v/>
      </c>
      <c r="AO53" s="95" t="str">
        <f>IFERROR(AM53*
(Assumptions!$S$7*(AD53/(AQ53*Assumptions!$AB$8/100)/P53)^3+
Assumptions!$S$8*(AD53/(AQ53*Assumptions!$AB$8/100)/P53)^2+
Assumptions!$S$9*(AD53/(AQ53*Assumptions!$AB$8/100)/P53)+
Assumptions!$S$10),"")</f>
        <v/>
      </c>
      <c r="AP53" s="95" t="str">
        <f>IFERROR(AM53*
(Assumptions!$S$7*(AI53/(AQ53*Assumptions!$AB$10/100)/P53)^3+
Assumptions!$S$8*(AI53/(AQ53*Assumptions!$AB$10/100)/P53)^2+
Assumptions!$S$9*(AI53/(AQ53*Assumptions!$AB$10/100)/P53)+
Assumptions!$S$10),"")</f>
        <v/>
      </c>
      <c r="AQ53" s="95" t="str">
        <f>IFERROR(
Assumptions!$AD$8*LN(U53)^2+
Assumptions!$AE$8*LN(T53)*LN(U53)+
Assumptions!$AF$8*LN(T53)^2+
Assumptions!$AG$8*LN(U53)+
Assumptions!$AH$8*LN(T53)-
(IF(S53=1800,
VLOOKUP(C53,Assumptions!$AA$13:$AC$17,3),
IF(S53=3600,
VLOOKUP(C53,Assumptions!$AA$18:$AC$22,3),
""))+Assumptions!$AI$8),
"")</f>
        <v/>
      </c>
      <c r="AR53" s="96" t="str">
        <f>IFERROR(
Assumptions!$D$11*(Y53/(Assumptions!$AB$9*AQ53/100)+AN53)+
Assumptions!$D$10*(AD53/(Assumptions!$AB$8*AQ53/100)+AO53)+
Assumptions!$D$12*(AI53/(Assumptions!$AB$10*AQ53/100)+AP53),
"")</f>
        <v/>
      </c>
      <c r="AS53" s="76" t="str">
        <f>IFERROR(
(W53+X53)*Assumptions!$D$11+
(AB53+AC53)*Assumptions!$D$10+
(AG53+AH53)*Assumptions!$D$12,
"")</f>
        <v/>
      </c>
      <c r="AT53" s="77" t="str">
        <f t="shared" si="15"/>
        <v/>
      </c>
      <c r="AU53" s="68" t="str">
        <f t="shared" si="1"/>
        <v/>
      </c>
    </row>
    <row r="54" spans="1:47" s="7" customFormat="1" x14ac:dyDescent="0.25">
      <c r="A54" s="264"/>
      <c r="B54" s="265"/>
      <c r="C54" s="265"/>
      <c r="D54" s="265"/>
      <c r="E54" s="266"/>
      <c r="F54" s="270"/>
      <c r="G54" s="271"/>
      <c r="H54" s="271"/>
      <c r="I54" s="272"/>
      <c r="J54" s="270"/>
      <c r="K54" s="271"/>
      <c r="L54" s="272"/>
      <c r="M54" s="270"/>
      <c r="N54" s="271"/>
      <c r="O54" s="272"/>
      <c r="P54" s="290"/>
      <c r="Q54" s="291"/>
      <c r="R54" s="51" t="str">
        <f t="shared" si="16"/>
        <v/>
      </c>
      <c r="S54" s="84" t="str">
        <f t="shared" si="2"/>
        <v/>
      </c>
      <c r="T54" s="93" t="str">
        <f t="shared" si="3"/>
        <v/>
      </c>
      <c r="U54" s="100" t="str">
        <f t="shared" si="4"/>
        <v/>
      </c>
      <c r="V54" s="95" t="str">
        <f t="shared" si="5"/>
        <v/>
      </c>
      <c r="W54" s="95" t="str">
        <f t="shared" si="6"/>
        <v/>
      </c>
      <c r="X54" s="95" t="str">
        <f>IFERROR(AJ54*
(Assumptions!$S$7*(W54/P54)^3+
Assumptions!$S$8*(W54/P54)^2+
Assumptions!$S$9*(W54/P54)+
Assumptions!$S$10),
"")</f>
        <v/>
      </c>
      <c r="Y54" s="96" t="str">
        <f>IFERROR(U54*V54*Assumptions!$B$15/3956,"")</f>
        <v/>
      </c>
      <c r="Z54" s="102" t="str">
        <f t="shared" si="7"/>
        <v/>
      </c>
      <c r="AA54" s="95" t="str">
        <f t="shared" si="8"/>
        <v/>
      </c>
      <c r="AB54" s="95" t="str">
        <f t="shared" si="9"/>
        <v/>
      </c>
      <c r="AC54" s="95" t="str">
        <f>IFERROR(AJ54*
(Assumptions!$S$7*(AB54/P54)^3+
Assumptions!$S$8*(AB54/P54)^2+
Assumptions!$S$9*(AB54/P54)+
Assumptions!$S$10),
"")</f>
        <v/>
      </c>
      <c r="AD54" s="96" t="str">
        <f>IFERROR(Z54*AA54*Assumptions!$B$15/3956,"")</f>
        <v/>
      </c>
      <c r="AE54" s="102" t="str">
        <f t="shared" si="10"/>
        <v/>
      </c>
      <c r="AF54" s="95" t="str">
        <f t="shared" si="11"/>
        <v/>
      </c>
      <c r="AG54" s="95" t="str">
        <f t="shared" si="12"/>
        <v/>
      </c>
      <c r="AH54" s="95" t="str">
        <f>IFERROR(AJ54*
(Assumptions!$S$7*(AG54/P54)^3+
Assumptions!$S$8*(AG54/P54)^2+
Assumptions!$S$9*(AG54/P54)+
Assumptions!$S$10),
"")</f>
        <v/>
      </c>
      <c r="AI54" s="96" t="str">
        <f>IFERROR(AE54*AF54*Assumptions!$B$15/3956,"")</f>
        <v/>
      </c>
      <c r="AJ54" s="247" t="str">
        <f t="shared" si="17"/>
        <v/>
      </c>
      <c r="AK54" s="99" t="str">
        <f>IFERROR(
IF(C54="VTS",
IF(P54&gt;=AVERAGE(
INDEX(Assumptions!$I$38:$I$57,MATCH(P54,Assumptions!$I$38:$I$57,-1)),
INDEX(Assumptions!$I$38:$I$57,MATCH(P54,Assumptions!$I$38:$I$57,-1)+1)),
INDEX(Assumptions!$I$38:$I$57,MATCH(P54,Assumptions!$I$38:$I$57,-1)),
INDEX(Assumptions!$I$38:$I$57,MATCH(P54,Assumptions!$I$38:$I$57,-1)+1)),
IF(P54&gt;=AVERAGE(
INDEX(Assumptions!$I$13:$I$32,MATCH(P54,Assumptions!$I$13:$I$32,-1)),
INDEX(Assumptions!$I$13:$I$32,MATCH(P54,Assumptions!$I$13:$I$32,-1)+1)),
INDEX(Assumptions!$I$13:$I$32,MATCH(P54,Assumptions!$I$13:$I$32,-1)),
INDEX(Assumptions!$I$13:$I$32,MATCH(P54,Assumptions!$I$13:$I$32,-1)+1))),
"")</f>
        <v/>
      </c>
      <c r="AL54" s="95" t="str">
        <f>IFERROR(
IF(C54="VTS",
VLOOKUP(AK54,Assumptions!$I$38:$K$57,MATCH(R54,Assumptions!$I$37:$K$37,0),FALSE),
VLOOKUP(AK54,Assumptions!$I$13:$K$32,MATCH(R54,Assumptions!$I$12:$K$12,0),FALSE)),
"")</f>
        <v/>
      </c>
      <c r="AM54" s="95" t="str">
        <f t="shared" si="14"/>
        <v/>
      </c>
      <c r="AN54" s="95" t="str">
        <f>IFERROR(AM54*
(Assumptions!$S$7*(Y54/(AQ54*Assumptions!$AB$9/100)/P54)^3+
Assumptions!$S$8*(Y54/(AQ54*Assumptions!$AB$9/100)/P54)^2+
Assumptions!$S$9*(Y54/(AQ54*Assumptions!$AB$9/100)/P54)+
Assumptions!$S$10),"")</f>
        <v/>
      </c>
      <c r="AO54" s="95" t="str">
        <f>IFERROR(AM54*
(Assumptions!$S$7*(AD54/(AQ54*Assumptions!$AB$8/100)/P54)^3+
Assumptions!$S$8*(AD54/(AQ54*Assumptions!$AB$8/100)/P54)^2+
Assumptions!$S$9*(AD54/(AQ54*Assumptions!$AB$8/100)/P54)+
Assumptions!$S$10),"")</f>
        <v/>
      </c>
      <c r="AP54" s="95" t="str">
        <f>IFERROR(AM54*
(Assumptions!$S$7*(AI54/(AQ54*Assumptions!$AB$10/100)/P54)^3+
Assumptions!$S$8*(AI54/(AQ54*Assumptions!$AB$10/100)/P54)^2+
Assumptions!$S$9*(AI54/(AQ54*Assumptions!$AB$10/100)/P54)+
Assumptions!$S$10),"")</f>
        <v/>
      </c>
      <c r="AQ54" s="95" t="str">
        <f>IFERROR(
Assumptions!$AD$8*LN(U54)^2+
Assumptions!$AE$8*LN(T54)*LN(U54)+
Assumptions!$AF$8*LN(T54)^2+
Assumptions!$AG$8*LN(U54)+
Assumptions!$AH$8*LN(T54)-
(IF(S54=1800,
VLOOKUP(C54,Assumptions!$AA$13:$AC$17,3),
IF(S54=3600,
VLOOKUP(C54,Assumptions!$AA$18:$AC$22,3),
""))+Assumptions!$AI$8),
"")</f>
        <v/>
      </c>
      <c r="AR54" s="96" t="str">
        <f>IFERROR(
Assumptions!$D$11*(Y54/(Assumptions!$AB$9*AQ54/100)+AN54)+
Assumptions!$D$10*(AD54/(Assumptions!$AB$8*AQ54/100)+AO54)+
Assumptions!$D$12*(AI54/(Assumptions!$AB$10*AQ54/100)+AP54),
"")</f>
        <v/>
      </c>
      <c r="AS54" s="76" t="str">
        <f>IFERROR(
(W54+X54)*Assumptions!$D$11+
(AB54+AC54)*Assumptions!$D$10+
(AG54+AH54)*Assumptions!$D$12,
"")</f>
        <v/>
      </c>
      <c r="AT54" s="77" t="str">
        <f t="shared" si="15"/>
        <v/>
      </c>
      <c r="AU54" s="68" t="str">
        <f t="shared" si="1"/>
        <v/>
      </c>
    </row>
    <row r="55" spans="1:47" s="7" customFormat="1" x14ac:dyDescent="0.25">
      <c r="A55" s="264"/>
      <c r="B55" s="265"/>
      <c r="C55" s="265"/>
      <c r="D55" s="265"/>
      <c r="E55" s="266"/>
      <c r="F55" s="270"/>
      <c r="G55" s="271"/>
      <c r="H55" s="271"/>
      <c r="I55" s="272"/>
      <c r="J55" s="270"/>
      <c r="K55" s="271"/>
      <c r="L55" s="272"/>
      <c r="M55" s="270"/>
      <c r="N55" s="271"/>
      <c r="O55" s="272"/>
      <c r="P55" s="290"/>
      <c r="Q55" s="291"/>
      <c r="R55" s="51" t="str">
        <f t="shared" si="16"/>
        <v/>
      </c>
      <c r="S55" s="84" t="str">
        <f t="shared" si="2"/>
        <v/>
      </c>
      <c r="T55" s="93" t="str">
        <f t="shared" si="3"/>
        <v/>
      </c>
      <c r="U55" s="100" t="str">
        <f t="shared" si="4"/>
        <v/>
      </c>
      <c r="V55" s="95" t="str">
        <f t="shared" si="5"/>
        <v/>
      </c>
      <c r="W55" s="95" t="str">
        <f t="shared" si="6"/>
        <v/>
      </c>
      <c r="X55" s="95" t="str">
        <f>IFERROR(AJ55*
(Assumptions!$S$7*(W55/P55)^3+
Assumptions!$S$8*(W55/P55)^2+
Assumptions!$S$9*(W55/P55)+
Assumptions!$S$10),
"")</f>
        <v/>
      </c>
      <c r="Y55" s="96" t="str">
        <f>IFERROR(U55*V55*Assumptions!$B$15/3956,"")</f>
        <v/>
      </c>
      <c r="Z55" s="102" t="str">
        <f t="shared" si="7"/>
        <v/>
      </c>
      <c r="AA55" s="95" t="str">
        <f t="shared" si="8"/>
        <v/>
      </c>
      <c r="AB55" s="95" t="str">
        <f t="shared" si="9"/>
        <v/>
      </c>
      <c r="AC55" s="95" t="str">
        <f>IFERROR(AJ55*
(Assumptions!$S$7*(AB55/P55)^3+
Assumptions!$S$8*(AB55/P55)^2+
Assumptions!$S$9*(AB55/P55)+
Assumptions!$S$10),
"")</f>
        <v/>
      </c>
      <c r="AD55" s="96" t="str">
        <f>IFERROR(Z55*AA55*Assumptions!$B$15/3956,"")</f>
        <v/>
      </c>
      <c r="AE55" s="102" t="str">
        <f t="shared" si="10"/>
        <v/>
      </c>
      <c r="AF55" s="95" t="str">
        <f t="shared" si="11"/>
        <v/>
      </c>
      <c r="AG55" s="95" t="str">
        <f t="shared" si="12"/>
        <v/>
      </c>
      <c r="AH55" s="95" t="str">
        <f>IFERROR(AJ55*
(Assumptions!$S$7*(AG55/P55)^3+
Assumptions!$S$8*(AG55/P55)^2+
Assumptions!$S$9*(AG55/P55)+
Assumptions!$S$10),
"")</f>
        <v/>
      </c>
      <c r="AI55" s="96" t="str">
        <f>IFERROR(AE55*AF55*Assumptions!$B$15/3956,"")</f>
        <v/>
      </c>
      <c r="AJ55" s="247" t="str">
        <f t="shared" si="17"/>
        <v/>
      </c>
      <c r="AK55" s="99" t="str">
        <f>IFERROR(
IF(C55="VTS",
IF(P55&gt;=AVERAGE(
INDEX(Assumptions!$I$38:$I$57,MATCH(P55,Assumptions!$I$38:$I$57,-1)),
INDEX(Assumptions!$I$38:$I$57,MATCH(P55,Assumptions!$I$38:$I$57,-1)+1)),
INDEX(Assumptions!$I$38:$I$57,MATCH(P55,Assumptions!$I$38:$I$57,-1)),
INDEX(Assumptions!$I$38:$I$57,MATCH(P55,Assumptions!$I$38:$I$57,-1)+1)),
IF(P55&gt;=AVERAGE(
INDEX(Assumptions!$I$13:$I$32,MATCH(P55,Assumptions!$I$13:$I$32,-1)),
INDEX(Assumptions!$I$13:$I$32,MATCH(P55,Assumptions!$I$13:$I$32,-1)+1)),
INDEX(Assumptions!$I$13:$I$32,MATCH(P55,Assumptions!$I$13:$I$32,-1)),
INDEX(Assumptions!$I$13:$I$32,MATCH(P55,Assumptions!$I$13:$I$32,-1)+1))),
"")</f>
        <v/>
      </c>
      <c r="AL55" s="95" t="str">
        <f>IFERROR(
IF(C55="VTS",
VLOOKUP(AK55,Assumptions!$I$38:$K$57,MATCH(R55,Assumptions!$I$37:$K$37,0),FALSE),
VLOOKUP(AK55,Assumptions!$I$13:$K$32,MATCH(R55,Assumptions!$I$12:$K$12,0),FALSE)),
"")</f>
        <v/>
      </c>
      <c r="AM55" s="95" t="str">
        <f t="shared" si="14"/>
        <v/>
      </c>
      <c r="AN55" s="95" t="str">
        <f>IFERROR(AM55*
(Assumptions!$S$7*(Y55/(AQ55*Assumptions!$AB$9/100)/P55)^3+
Assumptions!$S$8*(Y55/(AQ55*Assumptions!$AB$9/100)/P55)^2+
Assumptions!$S$9*(Y55/(AQ55*Assumptions!$AB$9/100)/P55)+
Assumptions!$S$10),"")</f>
        <v/>
      </c>
      <c r="AO55" s="95" t="str">
        <f>IFERROR(AM55*
(Assumptions!$S$7*(AD55/(AQ55*Assumptions!$AB$8/100)/P55)^3+
Assumptions!$S$8*(AD55/(AQ55*Assumptions!$AB$8/100)/P55)^2+
Assumptions!$S$9*(AD55/(AQ55*Assumptions!$AB$8/100)/P55)+
Assumptions!$S$10),"")</f>
        <v/>
      </c>
      <c r="AP55" s="95" t="str">
        <f>IFERROR(AM55*
(Assumptions!$S$7*(AI55/(AQ55*Assumptions!$AB$10/100)/P55)^3+
Assumptions!$S$8*(AI55/(AQ55*Assumptions!$AB$10/100)/P55)^2+
Assumptions!$S$9*(AI55/(AQ55*Assumptions!$AB$10/100)/P55)+
Assumptions!$S$10),"")</f>
        <v/>
      </c>
      <c r="AQ55" s="95" t="str">
        <f>IFERROR(
Assumptions!$AD$8*LN(U55)^2+
Assumptions!$AE$8*LN(T55)*LN(U55)+
Assumptions!$AF$8*LN(T55)^2+
Assumptions!$AG$8*LN(U55)+
Assumptions!$AH$8*LN(T55)-
(IF(S55=1800,
VLOOKUP(C55,Assumptions!$AA$13:$AC$17,3),
IF(S55=3600,
VLOOKUP(C55,Assumptions!$AA$18:$AC$22,3),
""))+Assumptions!$AI$8),
"")</f>
        <v/>
      </c>
      <c r="AR55" s="96" t="str">
        <f>IFERROR(
Assumptions!$D$11*(Y55/(Assumptions!$AB$9*AQ55/100)+AN55)+
Assumptions!$D$10*(AD55/(Assumptions!$AB$8*AQ55/100)+AO55)+
Assumptions!$D$12*(AI55/(Assumptions!$AB$10*AQ55/100)+AP55),
"")</f>
        <v/>
      </c>
      <c r="AS55" s="76" t="str">
        <f>IFERROR(
(W55+X55)*Assumptions!$D$11+
(AB55+AC55)*Assumptions!$D$10+
(AG55+AH55)*Assumptions!$D$12,
"")</f>
        <v/>
      </c>
      <c r="AT55" s="77" t="str">
        <f t="shared" si="15"/>
        <v/>
      </c>
      <c r="AU55" s="68" t="str">
        <f t="shared" si="1"/>
        <v/>
      </c>
    </row>
    <row r="56" spans="1:47" s="7" customFormat="1" x14ac:dyDescent="0.25">
      <c r="A56" s="264"/>
      <c r="B56" s="265"/>
      <c r="C56" s="265"/>
      <c r="D56" s="265"/>
      <c r="E56" s="266"/>
      <c r="F56" s="270"/>
      <c r="G56" s="271"/>
      <c r="H56" s="271"/>
      <c r="I56" s="272"/>
      <c r="J56" s="270"/>
      <c r="K56" s="271"/>
      <c r="L56" s="272"/>
      <c r="M56" s="270"/>
      <c r="N56" s="271"/>
      <c r="O56" s="272"/>
      <c r="P56" s="290"/>
      <c r="Q56" s="291"/>
      <c r="R56" s="51" t="str">
        <f t="shared" si="16"/>
        <v/>
      </c>
      <c r="S56" s="84" t="str">
        <f t="shared" si="2"/>
        <v/>
      </c>
      <c r="T56" s="93" t="str">
        <f t="shared" si="3"/>
        <v/>
      </c>
      <c r="U56" s="100" t="str">
        <f t="shared" si="4"/>
        <v/>
      </c>
      <c r="V56" s="95" t="str">
        <f t="shared" si="5"/>
        <v/>
      </c>
      <c r="W56" s="95" t="str">
        <f t="shared" si="6"/>
        <v/>
      </c>
      <c r="X56" s="95" t="str">
        <f>IFERROR(AJ56*
(Assumptions!$S$7*(W56/P56)^3+
Assumptions!$S$8*(W56/P56)^2+
Assumptions!$S$9*(W56/P56)+
Assumptions!$S$10),
"")</f>
        <v/>
      </c>
      <c r="Y56" s="96" t="str">
        <f>IFERROR(U56*V56*Assumptions!$B$15/3956,"")</f>
        <v/>
      </c>
      <c r="Z56" s="102" t="str">
        <f t="shared" si="7"/>
        <v/>
      </c>
      <c r="AA56" s="95" t="str">
        <f t="shared" si="8"/>
        <v/>
      </c>
      <c r="AB56" s="95" t="str">
        <f t="shared" si="9"/>
        <v/>
      </c>
      <c r="AC56" s="95" t="str">
        <f>IFERROR(AJ56*
(Assumptions!$S$7*(AB56/P56)^3+
Assumptions!$S$8*(AB56/P56)^2+
Assumptions!$S$9*(AB56/P56)+
Assumptions!$S$10),
"")</f>
        <v/>
      </c>
      <c r="AD56" s="96" t="str">
        <f>IFERROR(Z56*AA56*Assumptions!$B$15/3956,"")</f>
        <v/>
      </c>
      <c r="AE56" s="102" t="str">
        <f t="shared" si="10"/>
        <v/>
      </c>
      <c r="AF56" s="95" t="str">
        <f t="shared" si="11"/>
        <v/>
      </c>
      <c r="AG56" s="95" t="str">
        <f t="shared" si="12"/>
        <v/>
      </c>
      <c r="AH56" s="95" t="str">
        <f>IFERROR(AJ56*
(Assumptions!$S$7*(AG56/P56)^3+
Assumptions!$S$8*(AG56/P56)^2+
Assumptions!$S$9*(AG56/P56)+
Assumptions!$S$10),
"")</f>
        <v/>
      </c>
      <c r="AI56" s="96" t="str">
        <f>IFERROR(AE56*AF56*Assumptions!$B$15/3956,"")</f>
        <v/>
      </c>
      <c r="AJ56" s="247" t="str">
        <f t="shared" si="17"/>
        <v/>
      </c>
      <c r="AK56" s="99" t="str">
        <f>IFERROR(
IF(C56="VTS",
IF(P56&gt;=AVERAGE(
INDEX(Assumptions!$I$38:$I$57,MATCH(P56,Assumptions!$I$38:$I$57,-1)),
INDEX(Assumptions!$I$38:$I$57,MATCH(P56,Assumptions!$I$38:$I$57,-1)+1)),
INDEX(Assumptions!$I$38:$I$57,MATCH(P56,Assumptions!$I$38:$I$57,-1)),
INDEX(Assumptions!$I$38:$I$57,MATCH(P56,Assumptions!$I$38:$I$57,-1)+1)),
IF(P56&gt;=AVERAGE(
INDEX(Assumptions!$I$13:$I$32,MATCH(P56,Assumptions!$I$13:$I$32,-1)),
INDEX(Assumptions!$I$13:$I$32,MATCH(P56,Assumptions!$I$13:$I$32,-1)+1)),
INDEX(Assumptions!$I$13:$I$32,MATCH(P56,Assumptions!$I$13:$I$32,-1)),
INDEX(Assumptions!$I$13:$I$32,MATCH(P56,Assumptions!$I$13:$I$32,-1)+1))),
"")</f>
        <v/>
      </c>
      <c r="AL56" s="95" t="str">
        <f>IFERROR(
IF(C56="VTS",
VLOOKUP(AK56,Assumptions!$I$38:$K$57,MATCH(R56,Assumptions!$I$37:$K$37,0),FALSE),
VLOOKUP(AK56,Assumptions!$I$13:$K$32,MATCH(R56,Assumptions!$I$12:$K$12,0),FALSE)),
"")</f>
        <v/>
      </c>
      <c r="AM56" s="95" t="str">
        <f t="shared" si="14"/>
        <v/>
      </c>
      <c r="AN56" s="95" t="str">
        <f>IFERROR(AM56*
(Assumptions!$S$7*(Y56/(AQ56*Assumptions!$AB$9/100)/P56)^3+
Assumptions!$S$8*(Y56/(AQ56*Assumptions!$AB$9/100)/P56)^2+
Assumptions!$S$9*(Y56/(AQ56*Assumptions!$AB$9/100)/P56)+
Assumptions!$S$10),"")</f>
        <v/>
      </c>
      <c r="AO56" s="95" t="str">
        <f>IFERROR(AM56*
(Assumptions!$S$7*(AD56/(AQ56*Assumptions!$AB$8/100)/P56)^3+
Assumptions!$S$8*(AD56/(AQ56*Assumptions!$AB$8/100)/P56)^2+
Assumptions!$S$9*(AD56/(AQ56*Assumptions!$AB$8/100)/P56)+
Assumptions!$S$10),"")</f>
        <v/>
      </c>
      <c r="AP56" s="95" t="str">
        <f>IFERROR(AM56*
(Assumptions!$S$7*(AI56/(AQ56*Assumptions!$AB$10/100)/P56)^3+
Assumptions!$S$8*(AI56/(AQ56*Assumptions!$AB$10/100)/P56)^2+
Assumptions!$S$9*(AI56/(AQ56*Assumptions!$AB$10/100)/P56)+
Assumptions!$S$10),"")</f>
        <v/>
      </c>
      <c r="AQ56" s="95" t="str">
        <f>IFERROR(
Assumptions!$AD$8*LN(U56)^2+
Assumptions!$AE$8*LN(T56)*LN(U56)+
Assumptions!$AF$8*LN(T56)^2+
Assumptions!$AG$8*LN(U56)+
Assumptions!$AH$8*LN(T56)-
(IF(S56=1800,
VLOOKUP(C56,Assumptions!$AA$13:$AC$17,3),
IF(S56=3600,
VLOOKUP(C56,Assumptions!$AA$18:$AC$22,3),
""))+Assumptions!$AI$8),
"")</f>
        <v/>
      </c>
      <c r="AR56" s="96" t="str">
        <f>IFERROR(
Assumptions!$D$11*(Y56/(Assumptions!$AB$9*AQ56/100)+AN56)+
Assumptions!$D$10*(AD56/(Assumptions!$AB$8*AQ56/100)+AO56)+
Assumptions!$D$12*(AI56/(Assumptions!$AB$10*AQ56/100)+AP56),
"")</f>
        <v/>
      </c>
      <c r="AS56" s="76" t="str">
        <f>IFERROR(
(W56+X56)*Assumptions!$D$11+
(AB56+AC56)*Assumptions!$D$10+
(AG56+AH56)*Assumptions!$D$12,
"")</f>
        <v/>
      </c>
      <c r="AT56" s="77" t="str">
        <f t="shared" si="15"/>
        <v/>
      </c>
      <c r="AU56" s="68" t="str">
        <f t="shared" si="1"/>
        <v/>
      </c>
    </row>
    <row r="57" spans="1:47" s="7" customFormat="1" x14ac:dyDescent="0.25">
      <c r="A57" s="264"/>
      <c r="B57" s="265"/>
      <c r="C57" s="265"/>
      <c r="D57" s="265"/>
      <c r="E57" s="266"/>
      <c r="F57" s="270"/>
      <c r="G57" s="271"/>
      <c r="H57" s="271"/>
      <c r="I57" s="272"/>
      <c r="J57" s="270"/>
      <c r="K57" s="271"/>
      <c r="L57" s="272"/>
      <c r="M57" s="270"/>
      <c r="N57" s="271"/>
      <c r="O57" s="272"/>
      <c r="P57" s="290"/>
      <c r="Q57" s="291"/>
      <c r="R57" s="51" t="str">
        <f t="shared" si="16"/>
        <v/>
      </c>
      <c r="S57" s="84" t="str">
        <f t="shared" si="2"/>
        <v/>
      </c>
      <c r="T57" s="93" t="str">
        <f t="shared" si="3"/>
        <v/>
      </c>
      <c r="U57" s="100" t="str">
        <f t="shared" si="4"/>
        <v/>
      </c>
      <c r="V57" s="95" t="str">
        <f t="shared" si="5"/>
        <v/>
      </c>
      <c r="W57" s="95" t="str">
        <f t="shared" si="6"/>
        <v/>
      </c>
      <c r="X57" s="95" t="str">
        <f>IFERROR(AJ57*
(Assumptions!$S$7*(W57/P57)^3+
Assumptions!$S$8*(W57/P57)^2+
Assumptions!$S$9*(W57/P57)+
Assumptions!$S$10),
"")</f>
        <v/>
      </c>
      <c r="Y57" s="96" t="str">
        <f>IFERROR(U57*V57*Assumptions!$B$15/3956,"")</f>
        <v/>
      </c>
      <c r="Z57" s="102" t="str">
        <f t="shared" si="7"/>
        <v/>
      </c>
      <c r="AA57" s="95" t="str">
        <f t="shared" si="8"/>
        <v/>
      </c>
      <c r="AB57" s="95" t="str">
        <f t="shared" si="9"/>
        <v/>
      </c>
      <c r="AC57" s="95" t="str">
        <f>IFERROR(AJ57*
(Assumptions!$S$7*(AB57/P57)^3+
Assumptions!$S$8*(AB57/P57)^2+
Assumptions!$S$9*(AB57/P57)+
Assumptions!$S$10),
"")</f>
        <v/>
      </c>
      <c r="AD57" s="96" t="str">
        <f>IFERROR(Z57*AA57*Assumptions!$B$15/3956,"")</f>
        <v/>
      </c>
      <c r="AE57" s="102" t="str">
        <f t="shared" si="10"/>
        <v/>
      </c>
      <c r="AF57" s="95" t="str">
        <f t="shared" si="11"/>
        <v/>
      </c>
      <c r="AG57" s="95" t="str">
        <f t="shared" si="12"/>
        <v/>
      </c>
      <c r="AH57" s="95" t="str">
        <f>IFERROR(AJ57*
(Assumptions!$S$7*(AG57/P57)^3+
Assumptions!$S$8*(AG57/P57)^2+
Assumptions!$S$9*(AG57/P57)+
Assumptions!$S$10),
"")</f>
        <v/>
      </c>
      <c r="AI57" s="96" t="str">
        <f>IFERROR(AE57*AF57*Assumptions!$B$15/3956,"")</f>
        <v/>
      </c>
      <c r="AJ57" s="247" t="str">
        <f t="shared" si="17"/>
        <v/>
      </c>
      <c r="AK57" s="99" t="str">
        <f>IFERROR(
IF(C57="VTS",
IF(P57&gt;=AVERAGE(
INDEX(Assumptions!$I$38:$I$57,MATCH(P57,Assumptions!$I$38:$I$57,-1)),
INDEX(Assumptions!$I$38:$I$57,MATCH(P57,Assumptions!$I$38:$I$57,-1)+1)),
INDEX(Assumptions!$I$38:$I$57,MATCH(P57,Assumptions!$I$38:$I$57,-1)),
INDEX(Assumptions!$I$38:$I$57,MATCH(P57,Assumptions!$I$38:$I$57,-1)+1)),
IF(P57&gt;=AVERAGE(
INDEX(Assumptions!$I$13:$I$32,MATCH(P57,Assumptions!$I$13:$I$32,-1)),
INDEX(Assumptions!$I$13:$I$32,MATCH(P57,Assumptions!$I$13:$I$32,-1)+1)),
INDEX(Assumptions!$I$13:$I$32,MATCH(P57,Assumptions!$I$13:$I$32,-1)),
INDEX(Assumptions!$I$13:$I$32,MATCH(P57,Assumptions!$I$13:$I$32,-1)+1))),
"")</f>
        <v/>
      </c>
      <c r="AL57" s="95" t="str">
        <f>IFERROR(
IF(C57="VTS",
VLOOKUP(AK57,Assumptions!$I$38:$K$57,MATCH(R57,Assumptions!$I$37:$K$37,0),FALSE),
VLOOKUP(AK57,Assumptions!$I$13:$K$32,MATCH(R57,Assumptions!$I$12:$K$12,0),FALSE)),
"")</f>
        <v/>
      </c>
      <c r="AM57" s="95" t="str">
        <f t="shared" si="14"/>
        <v/>
      </c>
      <c r="AN57" s="95" t="str">
        <f>IFERROR(AM57*
(Assumptions!$S$7*(Y57/(AQ57*Assumptions!$AB$9/100)/P57)^3+
Assumptions!$S$8*(Y57/(AQ57*Assumptions!$AB$9/100)/P57)^2+
Assumptions!$S$9*(Y57/(AQ57*Assumptions!$AB$9/100)/P57)+
Assumptions!$S$10),"")</f>
        <v/>
      </c>
      <c r="AO57" s="95" t="str">
        <f>IFERROR(AM57*
(Assumptions!$S$7*(AD57/(AQ57*Assumptions!$AB$8/100)/P57)^3+
Assumptions!$S$8*(AD57/(AQ57*Assumptions!$AB$8/100)/P57)^2+
Assumptions!$S$9*(AD57/(AQ57*Assumptions!$AB$8/100)/P57)+
Assumptions!$S$10),"")</f>
        <v/>
      </c>
      <c r="AP57" s="95" t="str">
        <f>IFERROR(AM57*
(Assumptions!$S$7*(AI57/(AQ57*Assumptions!$AB$10/100)/P57)^3+
Assumptions!$S$8*(AI57/(AQ57*Assumptions!$AB$10/100)/P57)^2+
Assumptions!$S$9*(AI57/(AQ57*Assumptions!$AB$10/100)/P57)+
Assumptions!$S$10),"")</f>
        <v/>
      </c>
      <c r="AQ57" s="95" t="str">
        <f>IFERROR(
Assumptions!$AD$8*LN(U57)^2+
Assumptions!$AE$8*LN(T57)*LN(U57)+
Assumptions!$AF$8*LN(T57)^2+
Assumptions!$AG$8*LN(U57)+
Assumptions!$AH$8*LN(T57)-
(IF(S57=1800,
VLOOKUP(C57,Assumptions!$AA$13:$AC$17,3),
IF(S57=3600,
VLOOKUP(C57,Assumptions!$AA$18:$AC$22,3),
""))+Assumptions!$AI$8),
"")</f>
        <v/>
      </c>
      <c r="AR57" s="96" t="str">
        <f>IFERROR(
Assumptions!$D$11*(Y57/(Assumptions!$AB$9*AQ57/100)+AN57)+
Assumptions!$D$10*(AD57/(Assumptions!$AB$8*AQ57/100)+AO57)+
Assumptions!$D$12*(AI57/(Assumptions!$AB$10*AQ57/100)+AP57),
"")</f>
        <v/>
      </c>
      <c r="AS57" s="76" t="str">
        <f>IFERROR(
(W57+X57)*Assumptions!$D$11+
(AB57+AC57)*Assumptions!$D$10+
(AG57+AH57)*Assumptions!$D$12,
"")</f>
        <v/>
      </c>
      <c r="AT57" s="77" t="str">
        <f t="shared" si="15"/>
        <v/>
      </c>
      <c r="AU57" s="68" t="str">
        <f t="shared" si="1"/>
        <v/>
      </c>
    </row>
    <row r="58" spans="1:47" s="7" customFormat="1" x14ac:dyDescent="0.25">
      <c r="A58" s="264"/>
      <c r="B58" s="265"/>
      <c r="C58" s="265"/>
      <c r="D58" s="265"/>
      <c r="E58" s="266"/>
      <c r="F58" s="270"/>
      <c r="G58" s="271"/>
      <c r="H58" s="271"/>
      <c r="I58" s="272"/>
      <c r="J58" s="270"/>
      <c r="K58" s="271"/>
      <c r="L58" s="272"/>
      <c r="M58" s="270"/>
      <c r="N58" s="271"/>
      <c r="O58" s="272"/>
      <c r="P58" s="290"/>
      <c r="Q58" s="291"/>
      <c r="R58" s="51" t="str">
        <f t="shared" si="16"/>
        <v/>
      </c>
      <c r="S58" s="84" t="str">
        <f t="shared" si="2"/>
        <v/>
      </c>
      <c r="T58" s="93" t="str">
        <f t="shared" si="3"/>
        <v/>
      </c>
      <c r="U58" s="100" t="str">
        <f t="shared" si="4"/>
        <v/>
      </c>
      <c r="V58" s="95" t="str">
        <f t="shared" si="5"/>
        <v/>
      </c>
      <c r="W58" s="95" t="str">
        <f t="shared" si="6"/>
        <v/>
      </c>
      <c r="X58" s="95" t="str">
        <f>IFERROR(AJ58*
(Assumptions!$S$7*(W58/P58)^3+
Assumptions!$S$8*(W58/P58)^2+
Assumptions!$S$9*(W58/P58)+
Assumptions!$S$10),
"")</f>
        <v/>
      </c>
      <c r="Y58" s="96" t="str">
        <f>IFERROR(U58*V58*Assumptions!$B$15/3956,"")</f>
        <v/>
      </c>
      <c r="Z58" s="102" t="str">
        <f t="shared" si="7"/>
        <v/>
      </c>
      <c r="AA58" s="95" t="str">
        <f t="shared" si="8"/>
        <v/>
      </c>
      <c r="AB58" s="95" t="str">
        <f t="shared" si="9"/>
        <v/>
      </c>
      <c r="AC58" s="95" t="str">
        <f>IFERROR(AJ58*
(Assumptions!$S$7*(AB58/P58)^3+
Assumptions!$S$8*(AB58/P58)^2+
Assumptions!$S$9*(AB58/P58)+
Assumptions!$S$10),
"")</f>
        <v/>
      </c>
      <c r="AD58" s="96" t="str">
        <f>IFERROR(Z58*AA58*Assumptions!$B$15/3956,"")</f>
        <v/>
      </c>
      <c r="AE58" s="102" t="str">
        <f t="shared" si="10"/>
        <v/>
      </c>
      <c r="AF58" s="95" t="str">
        <f t="shared" si="11"/>
        <v/>
      </c>
      <c r="AG58" s="95" t="str">
        <f t="shared" si="12"/>
        <v/>
      </c>
      <c r="AH58" s="95" t="str">
        <f>IFERROR(AJ58*
(Assumptions!$S$7*(AG58/P58)^3+
Assumptions!$S$8*(AG58/P58)^2+
Assumptions!$S$9*(AG58/P58)+
Assumptions!$S$10),
"")</f>
        <v/>
      </c>
      <c r="AI58" s="96" t="str">
        <f>IFERROR(AE58*AF58*Assumptions!$B$15/3956,"")</f>
        <v/>
      </c>
      <c r="AJ58" s="247" t="str">
        <f t="shared" si="17"/>
        <v/>
      </c>
      <c r="AK58" s="99" t="str">
        <f>IFERROR(
IF(C58="VTS",
IF(P58&gt;=AVERAGE(
INDEX(Assumptions!$I$38:$I$57,MATCH(P58,Assumptions!$I$38:$I$57,-1)),
INDEX(Assumptions!$I$38:$I$57,MATCH(P58,Assumptions!$I$38:$I$57,-1)+1)),
INDEX(Assumptions!$I$38:$I$57,MATCH(P58,Assumptions!$I$38:$I$57,-1)),
INDEX(Assumptions!$I$38:$I$57,MATCH(P58,Assumptions!$I$38:$I$57,-1)+1)),
IF(P58&gt;=AVERAGE(
INDEX(Assumptions!$I$13:$I$32,MATCH(P58,Assumptions!$I$13:$I$32,-1)),
INDEX(Assumptions!$I$13:$I$32,MATCH(P58,Assumptions!$I$13:$I$32,-1)+1)),
INDEX(Assumptions!$I$13:$I$32,MATCH(P58,Assumptions!$I$13:$I$32,-1)),
INDEX(Assumptions!$I$13:$I$32,MATCH(P58,Assumptions!$I$13:$I$32,-1)+1))),
"")</f>
        <v/>
      </c>
      <c r="AL58" s="95" t="str">
        <f>IFERROR(
IF(C58="VTS",
VLOOKUP(AK58,Assumptions!$I$38:$K$57,MATCH(R58,Assumptions!$I$37:$K$37,0),FALSE),
VLOOKUP(AK58,Assumptions!$I$13:$K$32,MATCH(R58,Assumptions!$I$12:$K$12,0),FALSE)),
"")</f>
        <v/>
      </c>
      <c r="AM58" s="95" t="str">
        <f t="shared" si="14"/>
        <v/>
      </c>
      <c r="AN58" s="95" t="str">
        <f>IFERROR(AM58*
(Assumptions!$S$7*(Y58/(AQ58*Assumptions!$AB$9/100)/P58)^3+
Assumptions!$S$8*(Y58/(AQ58*Assumptions!$AB$9/100)/P58)^2+
Assumptions!$S$9*(Y58/(AQ58*Assumptions!$AB$9/100)/P58)+
Assumptions!$S$10),"")</f>
        <v/>
      </c>
      <c r="AO58" s="95" t="str">
        <f>IFERROR(AM58*
(Assumptions!$S$7*(AD58/(AQ58*Assumptions!$AB$8/100)/P58)^3+
Assumptions!$S$8*(AD58/(AQ58*Assumptions!$AB$8/100)/P58)^2+
Assumptions!$S$9*(AD58/(AQ58*Assumptions!$AB$8/100)/P58)+
Assumptions!$S$10),"")</f>
        <v/>
      </c>
      <c r="AP58" s="95" t="str">
        <f>IFERROR(AM58*
(Assumptions!$S$7*(AI58/(AQ58*Assumptions!$AB$10/100)/P58)^3+
Assumptions!$S$8*(AI58/(AQ58*Assumptions!$AB$10/100)/P58)^2+
Assumptions!$S$9*(AI58/(AQ58*Assumptions!$AB$10/100)/P58)+
Assumptions!$S$10),"")</f>
        <v/>
      </c>
      <c r="AQ58" s="95" t="str">
        <f>IFERROR(
Assumptions!$AD$8*LN(U58)^2+
Assumptions!$AE$8*LN(T58)*LN(U58)+
Assumptions!$AF$8*LN(T58)^2+
Assumptions!$AG$8*LN(U58)+
Assumptions!$AH$8*LN(T58)-
(IF(S58=1800,
VLOOKUP(C58,Assumptions!$AA$13:$AC$17,3),
IF(S58=3600,
VLOOKUP(C58,Assumptions!$AA$18:$AC$22,3),
""))+Assumptions!$AI$8),
"")</f>
        <v/>
      </c>
      <c r="AR58" s="96" t="str">
        <f>IFERROR(
Assumptions!$D$11*(Y58/(Assumptions!$AB$9*AQ58/100)+AN58)+
Assumptions!$D$10*(AD58/(Assumptions!$AB$8*AQ58/100)+AO58)+
Assumptions!$D$12*(AI58/(Assumptions!$AB$10*AQ58/100)+AP58),
"")</f>
        <v/>
      </c>
      <c r="AS58" s="76" t="str">
        <f>IFERROR(
(W58+X58)*Assumptions!$D$11+
(AB58+AC58)*Assumptions!$D$10+
(AG58+AH58)*Assumptions!$D$12,
"")</f>
        <v/>
      </c>
      <c r="AT58" s="77" t="str">
        <f t="shared" si="15"/>
        <v/>
      </c>
      <c r="AU58" s="68" t="str">
        <f t="shared" si="1"/>
        <v/>
      </c>
    </row>
    <row r="59" spans="1:47" s="7" customFormat="1" x14ac:dyDescent="0.25">
      <c r="A59" s="264"/>
      <c r="B59" s="265"/>
      <c r="C59" s="265"/>
      <c r="D59" s="265"/>
      <c r="E59" s="266"/>
      <c r="F59" s="270"/>
      <c r="G59" s="271"/>
      <c r="H59" s="271"/>
      <c r="I59" s="272"/>
      <c r="J59" s="270"/>
      <c r="K59" s="271"/>
      <c r="L59" s="272"/>
      <c r="M59" s="270"/>
      <c r="N59" s="271"/>
      <c r="O59" s="272"/>
      <c r="P59" s="290"/>
      <c r="Q59" s="291"/>
      <c r="R59" s="51" t="str">
        <f t="shared" si="16"/>
        <v/>
      </c>
      <c r="S59" s="84" t="str">
        <f t="shared" si="2"/>
        <v/>
      </c>
      <c r="T59" s="93" t="str">
        <f t="shared" si="3"/>
        <v/>
      </c>
      <c r="U59" s="100" t="str">
        <f t="shared" si="4"/>
        <v/>
      </c>
      <c r="V59" s="95" t="str">
        <f t="shared" si="5"/>
        <v/>
      </c>
      <c r="W59" s="95" t="str">
        <f t="shared" si="6"/>
        <v/>
      </c>
      <c r="X59" s="95" t="str">
        <f>IFERROR(AJ59*
(Assumptions!$S$7*(W59/P59)^3+
Assumptions!$S$8*(W59/P59)^2+
Assumptions!$S$9*(W59/P59)+
Assumptions!$S$10),
"")</f>
        <v/>
      </c>
      <c r="Y59" s="96" t="str">
        <f>IFERROR(U59*V59*Assumptions!$B$15/3956,"")</f>
        <v/>
      </c>
      <c r="Z59" s="102" t="str">
        <f t="shared" si="7"/>
        <v/>
      </c>
      <c r="AA59" s="95" t="str">
        <f t="shared" si="8"/>
        <v/>
      </c>
      <c r="AB59" s="95" t="str">
        <f t="shared" si="9"/>
        <v/>
      </c>
      <c r="AC59" s="95" t="str">
        <f>IFERROR(AJ59*
(Assumptions!$S$7*(AB59/P59)^3+
Assumptions!$S$8*(AB59/P59)^2+
Assumptions!$S$9*(AB59/P59)+
Assumptions!$S$10),
"")</f>
        <v/>
      </c>
      <c r="AD59" s="96" t="str">
        <f>IFERROR(Z59*AA59*Assumptions!$B$15/3956,"")</f>
        <v/>
      </c>
      <c r="AE59" s="102" t="str">
        <f t="shared" si="10"/>
        <v/>
      </c>
      <c r="AF59" s="95" t="str">
        <f t="shared" si="11"/>
        <v/>
      </c>
      <c r="AG59" s="95" t="str">
        <f t="shared" si="12"/>
        <v/>
      </c>
      <c r="AH59" s="95" t="str">
        <f>IFERROR(AJ59*
(Assumptions!$S$7*(AG59/P59)^3+
Assumptions!$S$8*(AG59/P59)^2+
Assumptions!$S$9*(AG59/P59)+
Assumptions!$S$10),
"")</f>
        <v/>
      </c>
      <c r="AI59" s="96" t="str">
        <f>IFERROR(AE59*AF59*Assumptions!$B$15/3956,"")</f>
        <v/>
      </c>
      <c r="AJ59" s="247" t="str">
        <f t="shared" si="17"/>
        <v/>
      </c>
      <c r="AK59" s="99" t="str">
        <f>IFERROR(
IF(C59="VTS",
IF(P59&gt;=AVERAGE(
INDEX(Assumptions!$I$38:$I$57,MATCH(P59,Assumptions!$I$38:$I$57,-1)),
INDEX(Assumptions!$I$38:$I$57,MATCH(P59,Assumptions!$I$38:$I$57,-1)+1)),
INDEX(Assumptions!$I$38:$I$57,MATCH(P59,Assumptions!$I$38:$I$57,-1)),
INDEX(Assumptions!$I$38:$I$57,MATCH(P59,Assumptions!$I$38:$I$57,-1)+1)),
IF(P59&gt;=AVERAGE(
INDEX(Assumptions!$I$13:$I$32,MATCH(P59,Assumptions!$I$13:$I$32,-1)),
INDEX(Assumptions!$I$13:$I$32,MATCH(P59,Assumptions!$I$13:$I$32,-1)+1)),
INDEX(Assumptions!$I$13:$I$32,MATCH(P59,Assumptions!$I$13:$I$32,-1)),
INDEX(Assumptions!$I$13:$I$32,MATCH(P59,Assumptions!$I$13:$I$32,-1)+1))),
"")</f>
        <v/>
      </c>
      <c r="AL59" s="95" t="str">
        <f>IFERROR(
IF(C59="VTS",
VLOOKUP(AK59,Assumptions!$I$38:$K$57,MATCH(R59,Assumptions!$I$37:$K$37,0),FALSE),
VLOOKUP(AK59,Assumptions!$I$13:$K$32,MATCH(R59,Assumptions!$I$12:$K$12,0),FALSE)),
"")</f>
        <v/>
      </c>
      <c r="AM59" s="95" t="str">
        <f t="shared" si="14"/>
        <v/>
      </c>
      <c r="AN59" s="95" t="str">
        <f>IFERROR(AM59*
(Assumptions!$S$7*(Y59/(AQ59*Assumptions!$AB$9/100)/P59)^3+
Assumptions!$S$8*(Y59/(AQ59*Assumptions!$AB$9/100)/P59)^2+
Assumptions!$S$9*(Y59/(AQ59*Assumptions!$AB$9/100)/P59)+
Assumptions!$S$10),"")</f>
        <v/>
      </c>
      <c r="AO59" s="95" t="str">
        <f>IFERROR(AM59*
(Assumptions!$S$7*(AD59/(AQ59*Assumptions!$AB$8/100)/P59)^3+
Assumptions!$S$8*(AD59/(AQ59*Assumptions!$AB$8/100)/P59)^2+
Assumptions!$S$9*(AD59/(AQ59*Assumptions!$AB$8/100)/P59)+
Assumptions!$S$10),"")</f>
        <v/>
      </c>
      <c r="AP59" s="95" t="str">
        <f>IFERROR(AM59*
(Assumptions!$S$7*(AI59/(AQ59*Assumptions!$AB$10/100)/P59)^3+
Assumptions!$S$8*(AI59/(AQ59*Assumptions!$AB$10/100)/P59)^2+
Assumptions!$S$9*(AI59/(AQ59*Assumptions!$AB$10/100)/P59)+
Assumptions!$S$10),"")</f>
        <v/>
      </c>
      <c r="AQ59" s="95" t="str">
        <f>IFERROR(
Assumptions!$AD$8*LN(U59)^2+
Assumptions!$AE$8*LN(T59)*LN(U59)+
Assumptions!$AF$8*LN(T59)^2+
Assumptions!$AG$8*LN(U59)+
Assumptions!$AH$8*LN(T59)-
(IF(S59=1800,
VLOOKUP(C59,Assumptions!$AA$13:$AC$17,3),
IF(S59=3600,
VLOOKUP(C59,Assumptions!$AA$18:$AC$22,3),
""))+Assumptions!$AI$8),
"")</f>
        <v/>
      </c>
      <c r="AR59" s="96" t="str">
        <f>IFERROR(
Assumptions!$D$11*(Y59/(Assumptions!$AB$9*AQ59/100)+AN59)+
Assumptions!$D$10*(AD59/(Assumptions!$AB$8*AQ59/100)+AO59)+
Assumptions!$D$12*(AI59/(Assumptions!$AB$10*AQ59/100)+AP59),
"")</f>
        <v/>
      </c>
      <c r="AS59" s="76" t="str">
        <f>IFERROR(
(W59+X59)*Assumptions!$D$11+
(AB59+AC59)*Assumptions!$D$10+
(AG59+AH59)*Assumptions!$D$12,
"")</f>
        <v/>
      </c>
      <c r="AT59" s="77" t="str">
        <f t="shared" si="15"/>
        <v/>
      </c>
      <c r="AU59" s="68" t="str">
        <f t="shared" si="1"/>
        <v/>
      </c>
    </row>
    <row r="60" spans="1:47" s="7" customFormat="1" x14ac:dyDescent="0.25">
      <c r="A60" s="264"/>
      <c r="B60" s="265"/>
      <c r="C60" s="265"/>
      <c r="D60" s="265"/>
      <c r="E60" s="266"/>
      <c r="F60" s="270"/>
      <c r="G60" s="271"/>
      <c r="H60" s="271"/>
      <c r="I60" s="272"/>
      <c r="J60" s="270"/>
      <c r="K60" s="271"/>
      <c r="L60" s="272"/>
      <c r="M60" s="270"/>
      <c r="N60" s="271"/>
      <c r="O60" s="272"/>
      <c r="P60" s="290"/>
      <c r="Q60" s="291"/>
      <c r="R60" s="51" t="str">
        <f t="shared" si="16"/>
        <v/>
      </c>
      <c r="S60" s="84" t="str">
        <f t="shared" si="2"/>
        <v/>
      </c>
      <c r="T60" s="93" t="str">
        <f t="shared" si="3"/>
        <v/>
      </c>
      <c r="U60" s="100" t="str">
        <f t="shared" si="4"/>
        <v/>
      </c>
      <c r="V60" s="95" t="str">
        <f t="shared" si="5"/>
        <v/>
      </c>
      <c r="W60" s="95" t="str">
        <f t="shared" si="6"/>
        <v/>
      </c>
      <c r="X60" s="95" t="str">
        <f>IFERROR(AJ60*
(Assumptions!$S$7*(W60/P60)^3+
Assumptions!$S$8*(W60/P60)^2+
Assumptions!$S$9*(W60/P60)+
Assumptions!$S$10),
"")</f>
        <v/>
      </c>
      <c r="Y60" s="96" t="str">
        <f>IFERROR(U60*V60*Assumptions!$B$15/3956,"")</f>
        <v/>
      </c>
      <c r="Z60" s="102" t="str">
        <f t="shared" si="7"/>
        <v/>
      </c>
      <c r="AA60" s="95" t="str">
        <f t="shared" si="8"/>
        <v/>
      </c>
      <c r="AB60" s="95" t="str">
        <f t="shared" si="9"/>
        <v/>
      </c>
      <c r="AC60" s="95" t="str">
        <f>IFERROR(AJ60*
(Assumptions!$S$7*(AB60/P60)^3+
Assumptions!$S$8*(AB60/P60)^2+
Assumptions!$S$9*(AB60/P60)+
Assumptions!$S$10),
"")</f>
        <v/>
      </c>
      <c r="AD60" s="96" t="str">
        <f>IFERROR(Z60*AA60*Assumptions!$B$15/3956,"")</f>
        <v/>
      </c>
      <c r="AE60" s="102" t="str">
        <f t="shared" si="10"/>
        <v/>
      </c>
      <c r="AF60" s="95" t="str">
        <f t="shared" si="11"/>
        <v/>
      </c>
      <c r="AG60" s="95" t="str">
        <f t="shared" si="12"/>
        <v/>
      </c>
      <c r="AH60" s="95" t="str">
        <f>IFERROR(AJ60*
(Assumptions!$S$7*(AG60/P60)^3+
Assumptions!$S$8*(AG60/P60)^2+
Assumptions!$S$9*(AG60/P60)+
Assumptions!$S$10),
"")</f>
        <v/>
      </c>
      <c r="AI60" s="96" t="str">
        <f>IFERROR(AE60*AF60*Assumptions!$B$15/3956,"")</f>
        <v/>
      </c>
      <c r="AJ60" s="247" t="str">
        <f t="shared" si="17"/>
        <v/>
      </c>
      <c r="AK60" s="99" t="str">
        <f>IFERROR(
IF(C60="VTS",
IF(P60&gt;=AVERAGE(
INDEX(Assumptions!$I$38:$I$57,MATCH(P60,Assumptions!$I$38:$I$57,-1)),
INDEX(Assumptions!$I$38:$I$57,MATCH(P60,Assumptions!$I$38:$I$57,-1)+1)),
INDEX(Assumptions!$I$38:$I$57,MATCH(P60,Assumptions!$I$38:$I$57,-1)),
INDEX(Assumptions!$I$38:$I$57,MATCH(P60,Assumptions!$I$38:$I$57,-1)+1)),
IF(P60&gt;=AVERAGE(
INDEX(Assumptions!$I$13:$I$32,MATCH(P60,Assumptions!$I$13:$I$32,-1)),
INDEX(Assumptions!$I$13:$I$32,MATCH(P60,Assumptions!$I$13:$I$32,-1)+1)),
INDEX(Assumptions!$I$13:$I$32,MATCH(P60,Assumptions!$I$13:$I$32,-1)),
INDEX(Assumptions!$I$13:$I$32,MATCH(P60,Assumptions!$I$13:$I$32,-1)+1))),
"")</f>
        <v/>
      </c>
      <c r="AL60" s="95" t="str">
        <f>IFERROR(
IF(C60="VTS",
VLOOKUP(AK60,Assumptions!$I$38:$K$57,MATCH(R60,Assumptions!$I$37:$K$37,0),FALSE),
VLOOKUP(AK60,Assumptions!$I$13:$K$32,MATCH(R60,Assumptions!$I$12:$K$12,0),FALSE)),
"")</f>
        <v/>
      </c>
      <c r="AM60" s="95" t="str">
        <f t="shared" si="14"/>
        <v/>
      </c>
      <c r="AN60" s="95" t="str">
        <f>IFERROR(AM60*
(Assumptions!$S$7*(Y60/(AQ60*Assumptions!$AB$9/100)/P60)^3+
Assumptions!$S$8*(Y60/(AQ60*Assumptions!$AB$9/100)/P60)^2+
Assumptions!$S$9*(Y60/(AQ60*Assumptions!$AB$9/100)/P60)+
Assumptions!$S$10),"")</f>
        <v/>
      </c>
      <c r="AO60" s="95" t="str">
        <f>IFERROR(AM60*
(Assumptions!$S$7*(AD60/(AQ60*Assumptions!$AB$8/100)/P60)^3+
Assumptions!$S$8*(AD60/(AQ60*Assumptions!$AB$8/100)/P60)^2+
Assumptions!$S$9*(AD60/(AQ60*Assumptions!$AB$8/100)/P60)+
Assumptions!$S$10),"")</f>
        <v/>
      </c>
      <c r="AP60" s="95" t="str">
        <f>IFERROR(AM60*
(Assumptions!$S$7*(AI60/(AQ60*Assumptions!$AB$10/100)/P60)^3+
Assumptions!$S$8*(AI60/(AQ60*Assumptions!$AB$10/100)/P60)^2+
Assumptions!$S$9*(AI60/(AQ60*Assumptions!$AB$10/100)/P60)+
Assumptions!$S$10),"")</f>
        <v/>
      </c>
      <c r="AQ60" s="95" t="str">
        <f>IFERROR(
Assumptions!$AD$8*LN(U60)^2+
Assumptions!$AE$8*LN(T60)*LN(U60)+
Assumptions!$AF$8*LN(T60)^2+
Assumptions!$AG$8*LN(U60)+
Assumptions!$AH$8*LN(T60)-
(IF(S60=1800,
VLOOKUP(C60,Assumptions!$AA$13:$AC$17,3),
IF(S60=3600,
VLOOKUP(C60,Assumptions!$AA$18:$AC$22,3),
""))+Assumptions!$AI$8),
"")</f>
        <v/>
      </c>
      <c r="AR60" s="96" t="str">
        <f>IFERROR(
Assumptions!$D$11*(Y60/(Assumptions!$AB$9*AQ60/100)+AN60)+
Assumptions!$D$10*(AD60/(Assumptions!$AB$8*AQ60/100)+AO60)+
Assumptions!$D$12*(AI60/(Assumptions!$AB$10*AQ60/100)+AP60),
"")</f>
        <v/>
      </c>
      <c r="AS60" s="76" t="str">
        <f>IFERROR(
(W60+X60)*Assumptions!$D$11+
(AB60+AC60)*Assumptions!$D$10+
(AG60+AH60)*Assumptions!$D$12,
"")</f>
        <v/>
      </c>
      <c r="AT60" s="77" t="str">
        <f t="shared" si="15"/>
        <v/>
      </c>
      <c r="AU60" s="68" t="str">
        <f t="shared" si="1"/>
        <v/>
      </c>
    </row>
    <row r="61" spans="1:47" s="7" customFormat="1" x14ac:dyDescent="0.25">
      <c r="A61" s="264"/>
      <c r="B61" s="265"/>
      <c r="C61" s="265"/>
      <c r="D61" s="265"/>
      <c r="E61" s="266"/>
      <c r="F61" s="270"/>
      <c r="G61" s="271"/>
      <c r="H61" s="271"/>
      <c r="I61" s="272"/>
      <c r="J61" s="270"/>
      <c r="K61" s="271"/>
      <c r="L61" s="272"/>
      <c r="M61" s="270"/>
      <c r="N61" s="271"/>
      <c r="O61" s="272"/>
      <c r="P61" s="290"/>
      <c r="Q61" s="291"/>
      <c r="R61" s="51" t="str">
        <f t="shared" si="16"/>
        <v/>
      </c>
      <c r="S61" s="84" t="str">
        <f t="shared" si="2"/>
        <v/>
      </c>
      <c r="T61" s="93" t="str">
        <f t="shared" si="3"/>
        <v/>
      </c>
      <c r="U61" s="100" t="str">
        <f t="shared" si="4"/>
        <v/>
      </c>
      <c r="V61" s="95" t="str">
        <f t="shared" si="5"/>
        <v/>
      </c>
      <c r="W61" s="95" t="str">
        <f t="shared" si="6"/>
        <v/>
      </c>
      <c r="X61" s="95" t="str">
        <f>IFERROR(AJ61*
(Assumptions!$S$7*(W61/P61)^3+
Assumptions!$S$8*(W61/P61)^2+
Assumptions!$S$9*(W61/P61)+
Assumptions!$S$10),
"")</f>
        <v/>
      </c>
      <c r="Y61" s="96" t="str">
        <f>IFERROR(U61*V61*Assumptions!$B$15/3956,"")</f>
        <v/>
      </c>
      <c r="Z61" s="102" t="str">
        <f t="shared" si="7"/>
        <v/>
      </c>
      <c r="AA61" s="95" t="str">
        <f t="shared" si="8"/>
        <v/>
      </c>
      <c r="AB61" s="95" t="str">
        <f t="shared" si="9"/>
        <v/>
      </c>
      <c r="AC61" s="95" t="str">
        <f>IFERROR(AJ61*
(Assumptions!$S$7*(AB61/P61)^3+
Assumptions!$S$8*(AB61/P61)^2+
Assumptions!$S$9*(AB61/P61)+
Assumptions!$S$10),
"")</f>
        <v/>
      </c>
      <c r="AD61" s="96" t="str">
        <f>IFERROR(Z61*AA61*Assumptions!$B$15/3956,"")</f>
        <v/>
      </c>
      <c r="AE61" s="102" t="str">
        <f t="shared" si="10"/>
        <v/>
      </c>
      <c r="AF61" s="95" t="str">
        <f t="shared" si="11"/>
        <v/>
      </c>
      <c r="AG61" s="95" t="str">
        <f t="shared" si="12"/>
        <v/>
      </c>
      <c r="AH61" s="95" t="str">
        <f>IFERROR(AJ61*
(Assumptions!$S$7*(AG61/P61)^3+
Assumptions!$S$8*(AG61/P61)^2+
Assumptions!$S$9*(AG61/P61)+
Assumptions!$S$10),
"")</f>
        <v/>
      </c>
      <c r="AI61" s="96" t="str">
        <f>IFERROR(AE61*AF61*Assumptions!$B$15/3956,"")</f>
        <v/>
      </c>
      <c r="AJ61" s="247" t="str">
        <f t="shared" si="17"/>
        <v/>
      </c>
      <c r="AK61" s="99" t="str">
        <f>IFERROR(
IF(C61="VTS",
IF(P61&gt;=AVERAGE(
INDEX(Assumptions!$I$38:$I$57,MATCH(P61,Assumptions!$I$38:$I$57,-1)),
INDEX(Assumptions!$I$38:$I$57,MATCH(P61,Assumptions!$I$38:$I$57,-1)+1)),
INDEX(Assumptions!$I$38:$I$57,MATCH(P61,Assumptions!$I$38:$I$57,-1)),
INDEX(Assumptions!$I$38:$I$57,MATCH(P61,Assumptions!$I$38:$I$57,-1)+1)),
IF(P61&gt;=AVERAGE(
INDEX(Assumptions!$I$13:$I$32,MATCH(P61,Assumptions!$I$13:$I$32,-1)),
INDEX(Assumptions!$I$13:$I$32,MATCH(P61,Assumptions!$I$13:$I$32,-1)+1)),
INDEX(Assumptions!$I$13:$I$32,MATCH(P61,Assumptions!$I$13:$I$32,-1)),
INDEX(Assumptions!$I$13:$I$32,MATCH(P61,Assumptions!$I$13:$I$32,-1)+1))),
"")</f>
        <v/>
      </c>
      <c r="AL61" s="95" t="str">
        <f>IFERROR(
IF(C61="VTS",
VLOOKUP(AK61,Assumptions!$I$38:$K$57,MATCH(R61,Assumptions!$I$37:$K$37,0),FALSE),
VLOOKUP(AK61,Assumptions!$I$13:$K$32,MATCH(R61,Assumptions!$I$12:$K$12,0),FALSE)),
"")</f>
        <v/>
      </c>
      <c r="AM61" s="95" t="str">
        <f t="shared" si="14"/>
        <v/>
      </c>
      <c r="AN61" s="95" t="str">
        <f>IFERROR(AM61*
(Assumptions!$S$7*(Y61/(AQ61*Assumptions!$AB$9/100)/P61)^3+
Assumptions!$S$8*(Y61/(AQ61*Assumptions!$AB$9/100)/P61)^2+
Assumptions!$S$9*(Y61/(AQ61*Assumptions!$AB$9/100)/P61)+
Assumptions!$S$10),"")</f>
        <v/>
      </c>
      <c r="AO61" s="95" t="str">
        <f>IFERROR(AM61*
(Assumptions!$S$7*(AD61/(AQ61*Assumptions!$AB$8/100)/P61)^3+
Assumptions!$S$8*(AD61/(AQ61*Assumptions!$AB$8/100)/P61)^2+
Assumptions!$S$9*(AD61/(AQ61*Assumptions!$AB$8/100)/P61)+
Assumptions!$S$10),"")</f>
        <v/>
      </c>
      <c r="AP61" s="95" t="str">
        <f>IFERROR(AM61*
(Assumptions!$S$7*(AI61/(AQ61*Assumptions!$AB$10/100)/P61)^3+
Assumptions!$S$8*(AI61/(AQ61*Assumptions!$AB$10/100)/P61)^2+
Assumptions!$S$9*(AI61/(AQ61*Assumptions!$AB$10/100)/P61)+
Assumptions!$S$10),"")</f>
        <v/>
      </c>
      <c r="AQ61" s="95" t="str">
        <f>IFERROR(
Assumptions!$AD$8*LN(U61)^2+
Assumptions!$AE$8*LN(T61)*LN(U61)+
Assumptions!$AF$8*LN(T61)^2+
Assumptions!$AG$8*LN(U61)+
Assumptions!$AH$8*LN(T61)-
(IF(S61=1800,
VLOOKUP(C61,Assumptions!$AA$13:$AC$17,3),
IF(S61=3600,
VLOOKUP(C61,Assumptions!$AA$18:$AC$22,3),
""))+Assumptions!$AI$8),
"")</f>
        <v/>
      </c>
      <c r="AR61" s="96" t="str">
        <f>IFERROR(
Assumptions!$D$11*(Y61/(Assumptions!$AB$9*AQ61/100)+AN61)+
Assumptions!$D$10*(AD61/(Assumptions!$AB$8*AQ61/100)+AO61)+
Assumptions!$D$12*(AI61/(Assumptions!$AB$10*AQ61/100)+AP61),
"")</f>
        <v/>
      </c>
      <c r="AS61" s="76" t="str">
        <f>IFERROR(
(W61+X61)*Assumptions!$D$11+
(AB61+AC61)*Assumptions!$D$10+
(AG61+AH61)*Assumptions!$D$12,
"")</f>
        <v/>
      </c>
      <c r="AT61" s="77" t="str">
        <f t="shared" si="15"/>
        <v/>
      </c>
      <c r="AU61" s="68" t="str">
        <f t="shared" si="1"/>
        <v/>
      </c>
    </row>
    <row r="62" spans="1:47" s="7" customFormat="1" x14ac:dyDescent="0.25">
      <c r="A62" s="264"/>
      <c r="B62" s="265"/>
      <c r="C62" s="265"/>
      <c r="D62" s="265"/>
      <c r="E62" s="266"/>
      <c r="F62" s="270"/>
      <c r="G62" s="271"/>
      <c r="H62" s="271"/>
      <c r="I62" s="272"/>
      <c r="J62" s="270"/>
      <c r="K62" s="271"/>
      <c r="L62" s="272"/>
      <c r="M62" s="270"/>
      <c r="N62" s="271"/>
      <c r="O62" s="272"/>
      <c r="P62" s="290"/>
      <c r="Q62" s="291"/>
      <c r="R62" s="51" t="str">
        <f t="shared" si="16"/>
        <v/>
      </c>
      <c r="S62" s="84" t="str">
        <f t="shared" si="2"/>
        <v/>
      </c>
      <c r="T62" s="93" t="str">
        <f t="shared" si="3"/>
        <v/>
      </c>
      <c r="U62" s="100" t="str">
        <f t="shared" si="4"/>
        <v/>
      </c>
      <c r="V62" s="95" t="str">
        <f t="shared" si="5"/>
        <v/>
      </c>
      <c r="W62" s="95" t="str">
        <f t="shared" si="6"/>
        <v/>
      </c>
      <c r="X62" s="95" t="str">
        <f>IFERROR(AJ62*
(Assumptions!$S$7*(W62/P62)^3+
Assumptions!$S$8*(W62/P62)^2+
Assumptions!$S$9*(W62/P62)+
Assumptions!$S$10),
"")</f>
        <v/>
      </c>
      <c r="Y62" s="96" t="str">
        <f>IFERROR(U62*V62*Assumptions!$B$15/3956,"")</f>
        <v/>
      </c>
      <c r="Z62" s="102" t="str">
        <f t="shared" si="7"/>
        <v/>
      </c>
      <c r="AA62" s="95" t="str">
        <f t="shared" si="8"/>
        <v/>
      </c>
      <c r="AB62" s="95" t="str">
        <f t="shared" si="9"/>
        <v/>
      </c>
      <c r="AC62" s="95" t="str">
        <f>IFERROR(AJ62*
(Assumptions!$S$7*(AB62/P62)^3+
Assumptions!$S$8*(AB62/P62)^2+
Assumptions!$S$9*(AB62/P62)+
Assumptions!$S$10),
"")</f>
        <v/>
      </c>
      <c r="AD62" s="96" t="str">
        <f>IFERROR(Z62*AA62*Assumptions!$B$15/3956,"")</f>
        <v/>
      </c>
      <c r="AE62" s="102" t="str">
        <f t="shared" si="10"/>
        <v/>
      </c>
      <c r="AF62" s="95" t="str">
        <f t="shared" si="11"/>
        <v/>
      </c>
      <c r="AG62" s="95" t="str">
        <f t="shared" si="12"/>
        <v/>
      </c>
      <c r="AH62" s="95" t="str">
        <f>IFERROR(AJ62*
(Assumptions!$S$7*(AG62/P62)^3+
Assumptions!$S$8*(AG62/P62)^2+
Assumptions!$S$9*(AG62/P62)+
Assumptions!$S$10),
"")</f>
        <v/>
      </c>
      <c r="AI62" s="96" t="str">
        <f>IFERROR(AE62*AF62*Assumptions!$B$15/3956,"")</f>
        <v/>
      </c>
      <c r="AJ62" s="247" t="str">
        <f t="shared" si="17"/>
        <v/>
      </c>
      <c r="AK62" s="99" t="str">
        <f>IFERROR(
IF(C62="VTS",
IF(P62&gt;=AVERAGE(
INDEX(Assumptions!$I$38:$I$57,MATCH(P62,Assumptions!$I$38:$I$57,-1)),
INDEX(Assumptions!$I$38:$I$57,MATCH(P62,Assumptions!$I$38:$I$57,-1)+1)),
INDEX(Assumptions!$I$38:$I$57,MATCH(P62,Assumptions!$I$38:$I$57,-1)),
INDEX(Assumptions!$I$38:$I$57,MATCH(P62,Assumptions!$I$38:$I$57,-1)+1)),
IF(P62&gt;=AVERAGE(
INDEX(Assumptions!$I$13:$I$32,MATCH(P62,Assumptions!$I$13:$I$32,-1)),
INDEX(Assumptions!$I$13:$I$32,MATCH(P62,Assumptions!$I$13:$I$32,-1)+1)),
INDEX(Assumptions!$I$13:$I$32,MATCH(P62,Assumptions!$I$13:$I$32,-1)),
INDEX(Assumptions!$I$13:$I$32,MATCH(P62,Assumptions!$I$13:$I$32,-1)+1))),
"")</f>
        <v/>
      </c>
      <c r="AL62" s="95" t="str">
        <f>IFERROR(
IF(C62="VTS",
VLOOKUP(AK62,Assumptions!$I$38:$K$57,MATCH(R62,Assumptions!$I$37:$K$37,0),FALSE),
VLOOKUP(AK62,Assumptions!$I$13:$K$32,MATCH(R62,Assumptions!$I$12:$K$12,0),FALSE)),
"")</f>
        <v/>
      </c>
      <c r="AM62" s="95" t="str">
        <f t="shared" si="14"/>
        <v/>
      </c>
      <c r="AN62" s="95" t="str">
        <f>IFERROR(AM62*
(Assumptions!$S$7*(Y62/(AQ62*Assumptions!$AB$9/100)/P62)^3+
Assumptions!$S$8*(Y62/(AQ62*Assumptions!$AB$9/100)/P62)^2+
Assumptions!$S$9*(Y62/(AQ62*Assumptions!$AB$9/100)/P62)+
Assumptions!$S$10),"")</f>
        <v/>
      </c>
      <c r="AO62" s="95" t="str">
        <f>IFERROR(AM62*
(Assumptions!$S$7*(AD62/(AQ62*Assumptions!$AB$8/100)/P62)^3+
Assumptions!$S$8*(AD62/(AQ62*Assumptions!$AB$8/100)/P62)^2+
Assumptions!$S$9*(AD62/(AQ62*Assumptions!$AB$8/100)/P62)+
Assumptions!$S$10),"")</f>
        <v/>
      </c>
      <c r="AP62" s="95" t="str">
        <f>IFERROR(AM62*
(Assumptions!$S$7*(AI62/(AQ62*Assumptions!$AB$10/100)/P62)^3+
Assumptions!$S$8*(AI62/(AQ62*Assumptions!$AB$10/100)/P62)^2+
Assumptions!$S$9*(AI62/(AQ62*Assumptions!$AB$10/100)/P62)+
Assumptions!$S$10),"")</f>
        <v/>
      </c>
      <c r="AQ62" s="95" t="str">
        <f>IFERROR(
Assumptions!$AD$8*LN(U62)^2+
Assumptions!$AE$8*LN(T62)*LN(U62)+
Assumptions!$AF$8*LN(T62)^2+
Assumptions!$AG$8*LN(U62)+
Assumptions!$AH$8*LN(T62)-
(IF(S62=1800,
VLOOKUP(C62,Assumptions!$AA$13:$AC$17,3),
IF(S62=3600,
VLOOKUP(C62,Assumptions!$AA$18:$AC$22,3),
""))+Assumptions!$AI$8),
"")</f>
        <v/>
      </c>
      <c r="AR62" s="96" t="str">
        <f>IFERROR(
Assumptions!$D$11*(Y62/(Assumptions!$AB$9*AQ62/100)+AN62)+
Assumptions!$D$10*(AD62/(Assumptions!$AB$8*AQ62/100)+AO62)+
Assumptions!$D$12*(AI62/(Assumptions!$AB$10*AQ62/100)+AP62),
"")</f>
        <v/>
      </c>
      <c r="AS62" s="76" t="str">
        <f>IFERROR(
(W62+X62)*Assumptions!$D$11+
(AB62+AC62)*Assumptions!$D$10+
(AG62+AH62)*Assumptions!$D$12,
"")</f>
        <v/>
      </c>
      <c r="AT62" s="77" t="str">
        <f t="shared" si="15"/>
        <v/>
      </c>
      <c r="AU62" s="68" t="str">
        <f t="shared" si="1"/>
        <v/>
      </c>
    </row>
    <row r="63" spans="1:47" s="7" customFormat="1" x14ac:dyDescent="0.25">
      <c r="A63" s="264"/>
      <c r="B63" s="265"/>
      <c r="C63" s="265"/>
      <c r="D63" s="265"/>
      <c r="E63" s="266"/>
      <c r="F63" s="270"/>
      <c r="G63" s="271"/>
      <c r="H63" s="271"/>
      <c r="I63" s="272"/>
      <c r="J63" s="270"/>
      <c r="K63" s="271"/>
      <c r="L63" s="272"/>
      <c r="M63" s="270"/>
      <c r="N63" s="271"/>
      <c r="O63" s="272"/>
      <c r="P63" s="290"/>
      <c r="Q63" s="291"/>
      <c r="R63" s="51" t="str">
        <f t="shared" si="16"/>
        <v/>
      </c>
      <c r="S63" s="84" t="str">
        <f t="shared" si="2"/>
        <v/>
      </c>
      <c r="T63" s="93" t="str">
        <f t="shared" si="3"/>
        <v/>
      </c>
      <c r="U63" s="100" t="str">
        <f t="shared" si="4"/>
        <v/>
      </c>
      <c r="V63" s="95" t="str">
        <f t="shared" si="5"/>
        <v/>
      </c>
      <c r="W63" s="95" t="str">
        <f t="shared" si="6"/>
        <v/>
      </c>
      <c r="X63" s="95" t="str">
        <f>IFERROR(AJ63*
(Assumptions!$S$7*(W63/P63)^3+
Assumptions!$S$8*(W63/P63)^2+
Assumptions!$S$9*(W63/P63)+
Assumptions!$S$10),
"")</f>
        <v/>
      </c>
      <c r="Y63" s="96" t="str">
        <f>IFERROR(U63*V63*Assumptions!$B$15/3956,"")</f>
        <v/>
      </c>
      <c r="Z63" s="102" t="str">
        <f t="shared" si="7"/>
        <v/>
      </c>
      <c r="AA63" s="95" t="str">
        <f t="shared" si="8"/>
        <v/>
      </c>
      <c r="AB63" s="95" t="str">
        <f t="shared" si="9"/>
        <v/>
      </c>
      <c r="AC63" s="95" t="str">
        <f>IFERROR(AJ63*
(Assumptions!$S$7*(AB63/P63)^3+
Assumptions!$S$8*(AB63/P63)^2+
Assumptions!$S$9*(AB63/P63)+
Assumptions!$S$10),
"")</f>
        <v/>
      </c>
      <c r="AD63" s="96" t="str">
        <f>IFERROR(Z63*AA63*Assumptions!$B$15/3956,"")</f>
        <v/>
      </c>
      <c r="AE63" s="102" t="str">
        <f t="shared" si="10"/>
        <v/>
      </c>
      <c r="AF63" s="95" t="str">
        <f t="shared" si="11"/>
        <v/>
      </c>
      <c r="AG63" s="95" t="str">
        <f t="shared" si="12"/>
        <v/>
      </c>
      <c r="AH63" s="95" t="str">
        <f>IFERROR(AJ63*
(Assumptions!$S$7*(AG63/P63)^3+
Assumptions!$S$8*(AG63/P63)^2+
Assumptions!$S$9*(AG63/P63)+
Assumptions!$S$10),
"")</f>
        <v/>
      </c>
      <c r="AI63" s="96" t="str">
        <f>IFERROR(AE63*AF63*Assumptions!$B$15/3956,"")</f>
        <v/>
      </c>
      <c r="AJ63" s="247" t="str">
        <f t="shared" si="17"/>
        <v/>
      </c>
      <c r="AK63" s="99" t="str">
        <f>IFERROR(
IF(C63="VTS",
IF(P63&gt;=AVERAGE(
INDEX(Assumptions!$I$38:$I$57,MATCH(P63,Assumptions!$I$38:$I$57,-1)),
INDEX(Assumptions!$I$38:$I$57,MATCH(P63,Assumptions!$I$38:$I$57,-1)+1)),
INDEX(Assumptions!$I$38:$I$57,MATCH(P63,Assumptions!$I$38:$I$57,-1)),
INDEX(Assumptions!$I$38:$I$57,MATCH(P63,Assumptions!$I$38:$I$57,-1)+1)),
IF(P63&gt;=AVERAGE(
INDEX(Assumptions!$I$13:$I$32,MATCH(P63,Assumptions!$I$13:$I$32,-1)),
INDEX(Assumptions!$I$13:$I$32,MATCH(P63,Assumptions!$I$13:$I$32,-1)+1)),
INDEX(Assumptions!$I$13:$I$32,MATCH(P63,Assumptions!$I$13:$I$32,-1)),
INDEX(Assumptions!$I$13:$I$32,MATCH(P63,Assumptions!$I$13:$I$32,-1)+1))),
"")</f>
        <v/>
      </c>
      <c r="AL63" s="95" t="str">
        <f>IFERROR(
IF(C63="VTS",
VLOOKUP(AK63,Assumptions!$I$38:$K$57,MATCH(R63,Assumptions!$I$37:$K$37,0),FALSE),
VLOOKUP(AK63,Assumptions!$I$13:$K$32,MATCH(R63,Assumptions!$I$12:$K$12,0),FALSE)),
"")</f>
        <v/>
      </c>
      <c r="AM63" s="95" t="str">
        <f t="shared" si="14"/>
        <v/>
      </c>
      <c r="AN63" s="95" t="str">
        <f>IFERROR(AM63*
(Assumptions!$S$7*(Y63/(AQ63*Assumptions!$AB$9/100)/P63)^3+
Assumptions!$S$8*(Y63/(AQ63*Assumptions!$AB$9/100)/P63)^2+
Assumptions!$S$9*(Y63/(AQ63*Assumptions!$AB$9/100)/P63)+
Assumptions!$S$10),"")</f>
        <v/>
      </c>
      <c r="AO63" s="95" t="str">
        <f>IFERROR(AM63*
(Assumptions!$S$7*(AD63/(AQ63*Assumptions!$AB$8/100)/P63)^3+
Assumptions!$S$8*(AD63/(AQ63*Assumptions!$AB$8/100)/P63)^2+
Assumptions!$S$9*(AD63/(AQ63*Assumptions!$AB$8/100)/P63)+
Assumptions!$S$10),"")</f>
        <v/>
      </c>
      <c r="AP63" s="95" t="str">
        <f>IFERROR(AM63*
(Assumptions!$S$7*(AI63/(AQ63*Assumptions!$AB$10/100)/P63)^3+
Assumptions!$S$8*(AI63/(AQ63*Assumptions!$AB$10/100)/P63)^2+
Assumptions!$S$9*(AI63/(AQ63*Assumptions!$AB$10/100)/P63)+
Assumptions!$S$10),"")</f>
        <v/>
      </c>
      <c r="AQ63" s="95" t="str">
        <f>IFERROR(
Assumptions!$AD$8*LN(U63)^2+
Assumptions!$AE$8*LN(T63)*LN(U63)+
Assumptions!$AF$8*LN(T63)^2+
Assumptions!$AG$8*LN(U63)+
Assumptions!$AH$8*LN(T63)-
(IF(S63=1800,
VLOOKUP(C63,Assumptions!$AA$13:$AC$17,3),
IF(S63=3600,
VLOOKUP(C63,Assumptions!$AA$18:$AC$22,3),
""))+Assumptions!$AI$8),
"")</f>
        <v/>
      </c>
      <c r="AR63" s="96" t="str">
        <f>IFERROR(
Assumptions!$D$11*(Y63/(Assumptions!$AB$9*AQ63/100)+AN63)+
Assumptions!$D$10*(AD63/(Assumptions!$AB$8*AQ63/100)+AO63)+
Assumptions!$D$12*(AI63/(Assumptions!$AB$10*AQ63/100)+AP63),
"")</f>
        <v/>
      </c>
      <c r="AS63" s="76" t="str">
        <f>IFERROR(
(W63+X63)*Assumptions!$D$11+
(AB63+AC63)*Assumptions!$D$10+
(AG63+AH63)*Assumptions!$D$12,
"")</f>
        <v/>
      </c>
      <c r="AT63" s="77" t="str">
        <f t="shared" si="15"/>
        <v/>
      </c>
      <c r="AU63" s="68" t="str">
        <f t="shared" si="1"/>
        <v/>
      </c>
    </row>
    <row r="64" spans="1:47" s="7" customFormat="1" x14ac:dyDescent="0.25">
      <c r="A64" s="264"/>
      <c r="B64" s="265"/>
      <c r="C64" s="265"/>
      <c r="D64" s="265"/>
      <c r="E64" s="266"/>
      <c r="F64" s="270"/>
      <c r="G64" s="271"/>
      <c r="H64" s="271"/>
      <c r="I64" s="272"/>
      <c r="J64" s="270"/>
      <c r="K64" s="271"/>
      <c r="L64" s="272"/>
      <c r="M64" s="270"/>
      <c r="N64" s="271"/>
      <c r="O64" s="272"/>
      <c r="P64" s="290"/>
      <c r="Q64" s="291"/>
      <c r="R64" s="51" t="str">
        <f t="shared" si="16"/>
        <v/>
      </c>
      <c r="S64" s="84" t="str">
        <f t="shared" si="2"/>
        <v/>
      </c>
      <c r="T64" s="93" t="str">
        <f t="shared" si="3"/>
        <v/>
      </c>
      <c r="U64" s="100" t="str">
        <f t="shared" si="4"/>
        <v/>
      </c>
      <c r="V64" s="95" t="str">
        <f t="shared" si="5"/>
        <v/>
      </c>
      <c r="W64" s="95" t="str">
        <f t="shared" si="6"/>
        <v/>
      </c>
      <c r="X64" s="95" t="str">
        <f>IFERROR(AJ64*
(Assumptions!$S$7*(W64/P64)^3+
Assumptions!$S$8*(W64/P64)^2+
Assumptions!$S$9*(W64/P64)+
Assumptions!$S$10),
"")</f>
        <v/>
      </c>
      <c r="Y64" s="96" t="str">
        <f>IFERROR(U64*V64*Assumptions!$B$15/3956,"")</f>
        <v/>
      </c>
      <c r="Z64" s="102" t="str">
        <f t="shared" si="7"/>
        <v/>
      </c>
      <c r="AA64" s="95" t="str">
        <f t="shared" si="8"/>
        <v/>
      </c>
      <c r="AB64" s="95" t="str">
        <f t="shared" si="9"/>
        <v/>
      </c>
      <c r="AC64" s="95" t="str">
        <f>IFERROR(AJ64*
(Assumptions!$S$7*(AB64/P64)^3+
Assumptions!$S$8*(AB64/P64)^2+
Assumptions!$S$9*(AB64/P64)+
Assumptions!$S$10),
"")</f>
        <v/>
      </c>
      <c r="AD64" s="96" t="str">
        <f>IFERROR(Z64*AA64*Assumptions!$B$15/3956,"")</f>
        <v/>
      </c>
      <c r="AE64" s="102" t="str">
        <f t="shared" si="10"/>
        <v/>
      </c>
      <c r="AF64" s="95" t="str">
        <f t="shared" si="11"/>
        <v/>
      </c>
      <c r="AG64" s="95" t="str">
        <f t="shared" si="12"/>
        <v/>
      </c>
      <c r="AH64" s="95" t="str">
        <f>IFERROR(AJ64*
(Assumptions!$S$7*(AG64/P64)^3+
Assumptions!$S$8*(AG64/P64)^2+
Assumptions!$S$9*(AG64/P64)+
Assumptions!$S$10),
"")</f>
        <v/>
      </c>
      <c r="AI64" s="96" t="str">
        <f>IFERROR(AE64*AF64*Assumptions!$B$15/3956,"")</f>
        <v/>
      </c>
      <c r="AJ64" s="247" t="str">
        <f t="shared" si="17"/>
        <v/>
      </c>
      <c r="AK64" s="99" t="str">
        <f>IFERROR(
IF(C64="VTS",
IF(P64&gt;=AVERAGE(
INDEX(Assumptions!$I$38:$I$57,MATCH(P64,Assumptions!$I$38:$I$57,-1)),
INDEX(Assumptions!$I$38:$I$57,MATCH(P64,Assumptions!$I$38:$I$57,-1)+1)),
INDEX(Assumptions!$I$38:$I$57,MATCH(P64,Assumptions!$I$38:$I$57,-1)),
INDEX(Assumptions!$I$38:$I$57,MATCH(P64,Assumptions!$I$38:$I$57,-1)+1)),
IF(P64&gt;=AVERAGE(
INDEX(Assumptions!$I$13:$I$32,MATCH(P64,Assumptions!$I$13:$I$32,-1)),
INDEX(Assumptions!$I$13:$I$32,MATCH(P64,Assumptions!$I$13:$I$32,-1)+1)),
INDEX(Assumptions!$I$13:$I$32,MATCH(P64,Assumptions!$I$13:$I$32,-1)),
INDEX(Assumptions!$I$13:$I$32,MATCH(P64,Assumptions!$I$13:$I$32,-1)+1))),
"")</f>
        <v/>
      </c>
      <c r="AL64" s="95" t="str">
        <f>IFERROR(
IF(C64="VTS",
VLOOKUP(AK64,Assumptions!$I$38:$K$57,MATCH(R64,Assumptions!$I$37:$K$37,0),FALSE),
VLOOKUP(AK64,Assumptions!$I$13:$K$32,MATCH(R64,Assumptions!$I$12:$K$12,0),FALSE)),
"")</f>
        <v/>
      </c>
      <c r="AM64" s="95" t="str">
        <f t="shared" si="14"/>
        <v/>
      </c>
      <c r="AN64" s="95" t="str">
        <f>IFERROR(AM64*
(Assumptions!$S$7*(Y64/(AQ64*Assumptions!$AB$9/100)/P64)^3+
Assumptions!$S$8*(Y64/(AQ64*Assumptions!$AB$9/100)/P64)^2+
Assumptions!$S$9*(Y64/(AQ64*Assumptions!$AB$9/100)/P64)+
Assumptions!$S$10),"")</f>
        <v/>
      </c>
      <c r="AO64" s="95" t="str">
        <f>IFERROR(AM64*
(Assumptions!$S$7*(AD64/(AQ64*Assumptions!$AB$8/100)/P64)^3+
Assumptions!$S$8*(AD64/(AQ64*Assumptions!$AB$8/100)/P64)^2+
Assumptions!$S$9*(AD64/(AQ64*Assumptions!$AB$8/100)/P64)+
Assumptions!$S$10),"")</f>
        <v/>
      </c>
      <c r="AP64" s="95" t="str">
        <f>IFERROR(AM64*
(Assumptions!$S$7*(AI64/(AQ64*Assumptions!$AB$10/100)/P64)^3+
Assumptions!$S$8*(AI64/(AQ64*Assumptions!$AB$10/100)/P64)^2+
Assumptions!$S$9*(AI64/(AQ64*Assumptions!$AB$10/100)/P64)+
Assumptions!$S$10),"")</f>
        <v/>
      </c>
      <c r="AQ64" s="95" t="str">
        <f>IFERROR(
Assumptions!$AD$8*LN(U64)^2+
Assumptions!$AE$8*LN(T64)*LN(U64)+
Assumptions!$AF$8*LN(T64)^2+
Assumptions!$AG$8*LN(U64)+
Assumptions!$AH$8*LN(T64)-
(IF(S64=1800,
VLOOKUP(C64,Assumptions!$AA$13:$AC$17,3),
IF(S64=3600,
VLOOKUP(C64,Assumptions!$AA$18:$AC$22,3),
""))+Assumptions!$AI$8),
"")</f>
        <v/>
      </c>
      <c r="AR64" s="96" t="str">
        <f>IFERROR(
Assumptions!$D$11*(Y64/(Assumptions!$AB$9*AQ64/100)+AN64)+
Assumptions!$D$10*(AD64/(Assumptions!$AB$8*AQ64/100)+AO64)+
Assumptions!$D$12*(AI64/(Assumptions!$AB$10*AQ64/100)+AP64),
"")</f>
        <v/>
      </c>
      <c r="AS64" s="76" t="str">
        <f>IFERROR(
(W64+X64)*Assumptions!$D$11+
(AB64+AC64)*Assumptions!$D$10+
(AG64+AH64)*Assumptions!$D$12,
"")</f>
        <v/>
      </c>
      <c r="AT64" s="77" t="str">
        <f t="shared" si="15"/>
        <v/>
      </c>
      <c r="AU64" s="68" t="str">
        <f t="shared" si="1"/>
        <v/>
      </c>
    </row>
    <row r="65" spans="1:47" s="7" customFormat="1" x14ac:dyDescent="0.25">
      <c r="A65" s="264"/>
      <c r="B65" s="265"/>
      <c r="C65" s="265"/>
      <c r="D65" s="265"/>
      <c r="E65" s="266"/>
      <c r="F65" s="270"/>
      <c r="G65" s="271"/>
      <c r="H65" s="271"/>
      <c r="I65" s="272"/>
      <c r="J65" s="270"/>
      <c r="K65" s="271"/>
      <c r="L65" s="272"/>
      <c r="M65" s="270"/>
      <c r="N65" s="271"/>
      <c r="O65" s="272"/>
      <c r="P65" s="290"/>
      <c r="Q65" s="291"/>
      <c r="R65" s="51" t="str">
        <f t="shared" si="16"/>
        <v/>
      </c>
      <c r="S65" s="84" t="str">
        <f t="shared" si="2"/>
        <v/>
      </c>
      <c r="T65" s="93" t="str">
        <f t="shared" si="3"/>
        <v/>
      </c>
      <c r="U65" s="100" t="str">
        <f t="shared" si="4"/>
        <v/>
      </c>
      <c r="V65" s="95" t="str">
        <f t="shared" si="5"/>
        <v/>
      </c>
      <c r="W65" s="95" t="str">
        <f t="shared" si="6"/>
        <v/>
      </c>
      <c r="X65" s="95" t="str">
        <f>IFERROR(AJ65*
(Assumptions!$S$7*(W65/P65)^3+
Assumptions!$S$8*(W65/P65)^2+
Assumptions!$S$9*(W65/P65)+
Assumptions!$S$10),
"")</f>
        <v/>
      </c>
      <c r="Y65" s="96" t="str">
        <f>IFERROR(U65*V65*Assumptions!$B$15/3956,"")</f>
        <v/>
      </c>
      <c r="Z65" s="102" t="str">
        <f t="shared" si="7"/>
        <v/>
      </c>
      <c r="AA65" s="95" t="str">
        <f t="shared" si="8"/>
        <v/>
      </c>
      <c r="AB65" s="95" t="str">
        <f t="shared" si="9"/>
        <v/>
      </c>
      <c r="AC65" s="95" t="str">
        <f>IFERROR(AJ65*
(Assumptions!$S$7*(AB65/P65)^3+
Assumptions!$S$8*(AB65/P65)^2+
Assumptions!$S$9*(AB65/P65)+
Assumptions!$S$10),
"")</f>
        <v/>
      </c>
      <c r="AD65" s="96" t="str">
        <f>IFERROR(Z65*AA65*Assumptions!$B$15/3956,"")</f>
        <v/>
      </c>
      <c r="AE65" s="102" t="str">
        <f t="shared" si="10"/>
        <v/>
      </c>
      <c r="AF65" s="95" t="str">
        <f t="shared" si="11"/>
        <v/>
      </c>
      <c r="AG65" s="95" t="str">
        <f t="shared" si="12"/>
        <v/>
      </c>
      <c r="AH65" s="95" t="str">
        <f>IFERROR(AJ65*
(Assumptions!$S$7*(AG65/P65)^3+
Assumptions!$S$8*(AG65/P65)^2+
Assumptions!$S$9*(AG65/P65)+
Assumptions!$S$10),
"")</f>
        <v/>
      </c>
      <c r="AI65" s="96" t="str">
        <f>IFERROR(AE65*AF65*Assumptions!$B$15/3956,"")</f>
        <v/>
      </c>
      <c r="AJ65" s="247" t="str">
        <f t="shared" si="17"/>
        <v/>
      </c>
      <c r="AK65" s="99" t="str">
        <f>IFERROR(
IF(C65="VTS",
IF(P65&gt;=AVERAGE(
INDEX(Assumptions!$I$38:$I$57,MATCH(P65,Assumptions!$I$38:$I$57,-1)),
INDEX(Assumptions!$I$38:$I$57,MATCH(P65,Assumptions!$I$38:$I$57,-1)+1)),
INDEX(Assumptions!$I$38:$I$57,MATCH(P65,Assumptions!$I$38:$I$57,-1)),
INDEX(Assumptions!$I$38:$I$57,MATCH(P65,Assumptions!$I$38:$I$57,-1)+1)),
IF(P65&gt;=AVERAGE(
INDEX(Assumptions!$I$13:$I$32,MATCH(P65,Assumptions!$I$13:$I$32,-1)),
INDEX(Assumptions!$I$13:$I$32,MATCH(P65,Assumptions!$I$13:$I$32,-1)+1)),
INDEX(Assumptions!$I$13:$I$32,MATCH(P65,Assumptions!$I$13:$I$32,-1)),
INDEX(Assumptions!$I$13:$I$32,MATCH(P65,Assumptions!$I$13:$I$32,-1)+1))),
"")</f>
        <v/>
      </c>
      <c r="AL65" s="95" t="str">
        <f>IFERROR(
IF(C65="VTS",
VLOOKUP(AK65,Assumptions!$I$38:$K$57,MATCH(R65,Assumptions!$I$37:$K$37,0),FALSE),
VLOOKUP(AK65,Assumptions!$I$13:$K$32,MATCH(R65,Assumptions!$I$12:$K$12,0),FALSE)),
"")</f>
        <v/>
      </c>
      <c r="AM65" s="95" t="str">
        <f t="shared" si="14"/>
        <v/>
      </c>
      <c r="AN65" s="95" t="str">
        <f>IFERROR(AM65*
(Assumptions!$S$7*(Y65/(AQ65*Assumptions!$AB$9/100)/P65)^3+
Assumptions!$S$8*(Y65/(AQ65*Assumptions!$AB$9/100)/P65)^2+
Assumptions!$S$9*(Y65/(AQ65*Assumptions!$AB$9/100)/P65)+
Assumptions!$S$10),"")</f>
        <v/>
      </c>
      <c r="AO65" s="95" t="str">
        <f>IFERROR(AM65*
(Assumptions!$S$7*(AD65/(AQ65*Assumptions!$AB$8/100)/P65)^3+
Assumptions!$S$8*(AD65/(AQ65*Assumptions!$AB$8/100)/P65)^2+
Assumptions!$S$9*(AD65/(AQ65*Assumptions!$AB$8/100)/P65)+
Assumptions!$S$10),"")</f>
        <v/>
      </c>
      <c r="AP65" s="95" t="str">
        <f>IFERROR(AM65*
(Assumptions!$S$7*(AI65/(AQ65*Assumptions!$AB$10/100)/P65)^3+
Assumptions!$S$8*(AI65/(AQ65*Assumptions!$AB$10/100)/P65)^2+
Assumptions!$S$9*(AI65/(AQ65*Assumptions!$AB$10/100)/P65)+
Assumptions!$S$10),"")</f>
        <v/>
      </c>
      <c r="AQ65" s="95" t="str">
        <f>IFERROR(
Assumptions!$AD$8*LN(U65)^2+
Assumptions!$AE$8*LN(T65)*LN(U65)+
Assumptions!$AF$8*LN(T65)^2+
Assumptions!$AG$8*LN(U65)+
Assumptions!$AH$8*LN(T65)-
(IF(S65=1800,
VLOOKUP(C65,Assumptions!$AA$13:$AC$17,3),
IF(S65=3600,
VLOOKUP(C65,Assumptions!$AA$18:$AC$22,3),
""))+Assumptions!$AI$8),
"")</f>
        <v/>
      </c>
      <c r="AR65" s="96" t="str">
        <f>IFERROR(
Assumptions!$D$11*(Y65/(Assumptions!$AB$9*AQ65/100)+AN65)+
Assumptions!$D$10*(AD65/(Assumptions!$AB$8*AQ65/100)+AO65)+
Assumptions!$D$12*(AI65/(Assumptions!$AB$10*AQ65/100)+AP65),
"")</f>
        <v/>
      </c>
      <c r="AS65" s="76" t="str">
        <f>IFERROR(
(W65+X65)*Assumptions!$D$11+
(AB65+AC65)*Assumptions!$D$10+
(AG65+AH65)*Assumptions!$D$12,
"")</f>
        <v/>
      </c>
      <c r="AT65" s="77" t="str">
        <f t="shared" si="15"/>
        <v/>
      </c>
      <c r="AU65" s="68" t="str">
        <f t="shared" si="1"/>
        <v/>
      </c>
    </row>
    <row r="66" spans="1:47" s="7" customFormat="1" x14ac:dyDescent="0.25">
      <c r="A66" s="264"/>
      <c r="B66" s="265"/>
      <c r="C66" s="265"/>
      <c r="D66" s="265"/>
      <c r="E66" s="266"/>
      <c r="F66" s="270"/>
      <c r="G66" s="271"/>
      <c r="H66" s="271"/>
      <c r="I66" s="272"/>
      <c r="J66" s="270"/>
      <c r="K66" s="271"/>
      <c r="L66" s="272"/>
      <c r="M66" s="270"/>
      <c r="N66" s="271"/>
      <c r="O66" s="272"/>
      <c r="P66" s="290"/>
      <c r="Q66" s="291"/>
      <c r="R66" s="51" t="str">
        <f t="shared" si="16"/>
        <v/>
      </c>
      <c r="S66" s="84" t="str">
        <f t="shared" si="2"/>
        <v/>
      </c>
      <c r="T66" s="93" t="str">
        <f t="shared" si="3"/>
        <v/>
      </c>
      <c r="U66" s="100" t="str">
        <f t="shared" si="4"/>
        <v/>
      </c>
      <c r="V66" s="95" t="str">
        <f t="shared" si="5"/>
        <v/>
      </c>
      <c r="W66" s="95" t="str">
        <f t="shared" si="6"/>
        <v/>
      </c>
      <c r="X66" s="95" t="str">
        <f>IFERROR(AJ66*
(Assumptions!$S$7*(W66/P66)^3+
Assumptions!$S$8*(W66/P66)^2+
Assumptions!$S$9*(W66/P66)+
Assumptions!$S$10),
"")</f>
        <v/>
      </c>
      <c r="Y66" s="96" t="str">
        <f>IFERROR(U66*V66*Assumptions!$B$15/3956,"")</f>
        <v/>
      </c>
      <c r="Z66" s="102" t="str">
        <f t="shared" si="7"/>
        <v/>
      </c>
      <c r="AA66" s="95" t="str">
        <f t="shared" si="8"/>
        <v/>
      </c>
      <c r="AB66" s="95" t="str">
        <f t="shared" si="9"/>
        <v/>
      </c>
      <c r="AC66" s="95" t="str">
        <f>IFERROR(AJ66*
(Assumptions!$S$7*(AB66/P66)^3+
Assumptions!$S$8*(AB66/P66)^2+
Assumptions!$S$9*(AB66/P66)+
Assumptions!$S$10),
"")</f>
        <v/>
      </c>
      <c r="AD66" s="96" t="str">
        <f>IFERROR(Z66*AA66*Assumptions!$B$15/3956,"")</f>
        <v/>
      </c>
      <c r="AE66" s="102" t="str">
        <f t="shared" si="10"/>
        <v/>
      </c>
      <c r="AF66" s="95" t="str">
        <f t="shared" si="11"/>
        <v/>
      </c>
      <c r="AG66" s="95" t="str">
        <f t="shared" si="12"/>
        <v/>
      </c>
      <c r="AH66" s="95" t="str">
        <f>IFERROR(AJ66*
(Assumptions!$S$7*(AG66/P66)^3+
Assumptions!$S$8*(AG66/P66)^2+
Assumptions!$S$9*(AG66/P66)+
Assumptions!$S$10),
"")</f>
        <v/>
      </c>
      <c r="AI66" s="96" t="str">
        <f>IFERROR(AE66*AF66*Assumptions!$B$15/3956,"")</f>
        <v/>
      </c>
      <c r="AJ66" s="247" t="str">
        <f t="shared" si="17"/>
        <v/>
      </c>
      <c r="AK66" s="99" t="str">
        <f>IFERROR(
IF(C66="VTS",
IF(P66&gt;=AVERAGE(
INDEX(Assumptions!$I$38:$I$57,MATCH(P66,Assumptions!$I$38:$I$57,-1)),
INDEX(Assumptions!$I$38:$I$57,MATCH(P66,Assumptions!$I$38:$I$57,-1)+1)),
INDEX(Assumptions!$I$38:$I$57,MATCH(P66,Assumptions!$I$38:$I$57,-1)),
INDEX(Assumptions!$I$38:$I$57,MATCH(P66,Assumptions!$I$38:$I$57,-1)+1)),
IF(P66&gt;=AVERAGE(
INDEX(Assumptions!$I$13:$I$32,MATCH(P66,Assumptions!$I$13:$I$32,-1)),
INDEX(Assumptions!$I$13:$I$32,MATCH(P66,Assumptions!$I$13:$I$32,-1)+1)),
INDEX(Assumptions!$I$13:$I$32,MATCH(P66,Assumptions!$I$13:$I$32,-1)),
INDEX(Assumptions!$I$13:$I$32,MATCH(P66,Assumptions!$I$13:$I$32,-1)+1))),
"")</f>
        <v/>
      </c>
      <c r="AL66" s="95" t="str">
        <f>IFERROR(
IF(C66="VTS",
VLOOKUP(AK66,Assumptions!$I$38:$K$57,MATCH(R66,Assumptions!$I$37:$K$37,0),FALSE),
VLOOKUP(AK66,Assumptions!$I$13:$K$32,MATCH(R66,Assumptions!$I$12:$K$12,0),FALSE)),
"")</f>
        <v/>
      </c>
      <c r="AM66" s="95" t="str">
        <f t="shared" si="14"/>
        <v/>
      </c>
      <c r="AN66" s="95" t="str">
        <f>IFERROR(AM66*
(Assumptions!$S$7*(Y66/(AQ66*Assumptions!$AB$9/100)/P66)^3+
Assumptions!$S$8*(Y66/(AQ66*Assumptions!$AB$9/100)/P66)^2+
Assumptions!$S$9*(Y66/(AQ66*Assumptions!$AB$9/100)/P66)+
Assumptions!$S$10),"")</f>
        <v/>
      </c>
      <c r="AO66" s="95" t="str">
        <f>IFERROR(AM66*
(Assumptions!$S$7*(AD66/(AQ66*Assumptions!$AB$8/100)/P66)^3+
Assumptions!$S$8*(AD66/(AQ66*Assumptions!$AB$8/100)/P66)^2+
Assumptions!$S$9*(AD66/(AQ66*Assumptions!$AB$8/100)/P66)+
Assumptions!$S$10),"")</f>
        <v/>
      </c>
      <c r="AP66" s="95" t="str">
        <f>IFERROR(AM66*
(Assumptions!$S$7*(AI66/(AQ66*Assumptions!$AB$10/100)/P66)^3+
Assumptions!$S$8*(AI66/(AQ66*Assumptions!$AB$10/100)/P66)^2+
Assumptions!$S$9*(AI66/(AQ66*Assumptions!$AB$10/100)/P66)+
Assumptions!$S$10),"")</f>
        <v/>
      </c>
      <c r="AQ66" s="95" t="str">
        <f>IFERROR(
Assumptions!$AD$8*LN(U66)^2+
Assumptions!$AE$8*LN(T66)*LN(U66)+
Assumptions!$AF$8*LN(T66)^2+
Assumptions!$AG$8*LN(U66)+
Assumptions!$AH$8*LN(T66)-
(IF(S66=1800,
VLOOKUP(C66,Assumptions!$AA$13:$AC$17,3),
IF(S66=3600,
VLOOKUP(C66,Assumptions!$AA$18:$AC$22,3),
""))+Assumptions!$AI$8),
"")</f>
        <v/>
      </c>
      <c r="AR66" s="96" t="str">
        <f>IFERROR(
Assumptions!$D$11*(Y66/(Assumptions!$AB$9*AQ66/100)+AN66)+
Assumptions!$D$10*(AD66/(Assumptions!$AB$8*AQ66/100)+AO66)+
Assumptions!$D$12*(AI66/(Assumptions!$AB$10*AQ66/100)+AP66),
"")</f>
        <v/>
      </c>
      <c r="AS66" s="76" t="str">
        <f>IFERROR(
(W66+X66)*Assumptions!$D$11+
(AB66+AC66)*Assumptions!$D$10+
(AG66+AH66)*Assumptions!$D$12,
"")</f>
        <v/>
      </c>
      <c r="AT66" s="77" t="str">
        <f t="shared" si="15"/>
        <v/>
      </c>
      <c r="AU66" s="68" t="str">
        <f t="shared" si="1"/>
        <v/>
      </c>
    </row>
    <row r="67" spans="1:47" s="7" customFormat="1" x14ac:dyDescent="0.25">
      <c r="A67" s="264"/>
      <c r="B67" s="265"/>
      <c r="C67" s="265"/>
      <c r="D67" s="265"/>
      <c r="E67" s="266"/>
      <c r="F67" s="270"/>
      <c r="G67" s="271"/>
      <c r="H67" s="271"/>
      <c r="I67" s="272"/>
      <c r="J67" s="270"/>
      <c r="K67" s="271"/>
      <c r="L67" s="272"/>
      <c r="M67" s="270"/>
      <c r="N67" s="271"/>
      <c r="O67" s="272"/>
      <c r="P67" s="290"/>
      <c r="Q67" s="291"/>
      <c r="R67" s="51" t="str">
        <f t="shared" si="16"/>
        <v/>
      </c>
      <c r="S67" s="84" t="str">
        <f t="shared" si="2"/>
        <v/>
      </c>
      <c r="T67" s="93" t="str">
        <f t="shared" si="3"/>
        <v/>
      </c>
      <c r="U67" s="100" t="str">
        <f t="shared" si="4"/>
        <v/>
      </c>
      <c r="V67" s="95" t="str">
        <f t="shared" si="5"/>
        <v/>
      </c>
      <c r="W67" s="95" t="str">
        <f t="shared" si="6"/>
        <v/>
      </c>
      <c r="X67" s="95" t="str">
        <f>IFERROR(AJ67*
(Assumptions!$S$7*(W67/P67)^3+
Assumptions!$S$8*(W67/P67)^2+
Assumptions!$S$9*(W67/P67)+
Assumptions!$S$10),
"")</f>
        <v/>
      </c>
      <c r="Y67" s="96" t="str">
        <f>IFERROR(U67*V67*Assumptions!$B$15/3956,"")</f>
        <v/>
      </c>
      <c r="Z67" s="102" t="str">
        <f t="shared" si="7"/>
        <v/>
      </c>
      <c r="AA67" s="95" t="str">
        <f t="shared" si="8"/>
        <v/>
      </c>
      <c r="AB67" s="95" t="str">
        <f t="shared" si="9"/>
        <v/>
      </c>
      <c r="AC67" s="95" t="str">
        <f>IFERROR(AJ67*
(Assumptions!$S$7*(AB67/P67)^3+
Assumptions!$S$8*(AB67/P67)^2+
Assumptions!$S$9*(AB67/P67)+
Assumptions!$S$10),
"")</f>
        <v/>
      </c>
      <c r="AD67" s="96" t="str">
        <f>IFERROR(Z67*AA67*Assumptions!$B$15/3956,"")</f>
        <v/>
      </c>
      <c r="AE67" s="102" t="str">
        <f t="shared" si="10"/>
        <v/>
      </c>
      <c r="AF67" s="95" t="str">
        <f t="shared" si="11"/>
        <v/>
      </c>
      <c r="AG67" s="95" t="str">
        <f t="shared" si="12"/>
        <v/>
      </c>
      <c r="AH67" s="95" t="str">
        <f>IFERROR(AJ67*
(Assumptions!$S$7*(AG67/P67)^3+
Assumptions!$S$8*(AG67/P67)^2+
Assumptions!$S$9*(AG67/P67)+
Assumptions!$S$10),
"")</f>
        <v/>
      </c>
      <c r="AI67" s="96" t="str">
        <f>IFERROR(AE67*AF67*Assumptions!$B$15/3956,"")</f>
        <v/>
      </c>
      <c r="AJ67" s="247" t="str">
        <f t="shared" si="17"/>
        <v/>
      </c>
      <c r="AK67" s="99" t="str">
        <f>IFERROR(
IF(C67="VTS",
IF(P67&gt;=AVERAGE(
INDEX(Assumptions!$I$38:$I$57,MATCH(P67,Assumptions!$I$38:$I$57,-1)),
INDEX(Assumptions!$I$38:$I$57,MATCH(P67,Assumptions!$I$38:$I$57,-1)+1)),
INDEX(Assumptions!$I$38:$I$57,MATCH(P67,Assumptions!$I$38:$I$57,-1)),
INDEX(Assumptions!$I$38:$I$57,MATCH(P67,Assumptions!$I$38:$I$57,-1)+1)),
IF(P67&gt;=AVERAGE(
INDEX(Assumptions!$I$13:$I$32,MATCH(P67,Assumptions!$I$13:$I$32,-1)),
INDEX(Assumptions!$I$13:$I$32,MATCH(P67,Assumptions!$I$13:$I$32,-1)+1)),
INDEX(Assumptions!$I$13:$I$32,MATCH(P67,Assumptions!$I$13:$I$32,-1)),
INDEX(Assumptions!$I$13:$I$32,MATCH(P67,Assumptions!$I$13:$I$32,-1)+1))),
"")</f>
        <v/>
      </c>
      <c r="AL67" s="95" t="str">
        <f>IFERROR(
IF(C67="VTS",
VLOOKUP(AK67,Assumptions!$I$38:$K$57,MATCH(R67,Assumptions!$I$37:$K$37,0),FALSE),
VLOOKUP(AK67,Assumptions!$I$13:$K$32,MATCH(R67,Assumptions!$I$12:$K$12,0),FALSE)),
"")</f>
        <v/>
      </c>
      <c r="AM67" s="95" t="str">
        <f t="shared" si="14"/>
        <v/>
      </c>
      <c r="AN67" s="95" t="str">
        <f>IFERROR(AM67*
(Assumptions!$S$7*(Y67/(AQ67*Assumptions!$AB$9/100)/P67)^3+
Assumptions!$S$8*(Y67/(AQ67*Assumptions!$AB$9/100)/P67)^2+
Assumptions!$S$9*(Y67/(AQ67*Assumptions!$AB$9/100)/P67)+
Assumptions!$S$10),"")</f>
        <v/>
      </c>
      <c r="AO67" s="95" t="str">
        <f>IFERROR(AM67*
(Assumptions!$S$7*(AD67/(AQ67*Assumptions!$AB$8/100)/P67)^3+
Assumptions!$S$8*(AD67/(AQ67*Assumptions!$AB$8/100)/P67)^2+
Assumptions!$S$9*(AD67/(AQ67*Assumptions!$AB$8/100)/P67)+
Assumptions!$S$10),"")</f>
        <v/>
      </c>
      <c r="AP67" s="95" t="str">
        <f>IFERROR(AM67*
(Assumptions!$S$7*(AI67/(AQ67*Assumptions!$AB$10/100)/P67)^3+
Assumptions!$S$8*(AI67/(AQ67*Assumptions!$AB$10/100)/P67)^2+
Assumptions!$S$9*(AI67/(AQ67*Assumptions!$AB$10/100)/P67)+
Assumptions!$S$10),"")</f>
        <v/>
      </c>
      <c r="AQ67" s="95" t="str">
        <f>IFERROR(
Assumptions!$AD$8*LN(U67)^2+
Assumptions!$AE$8*LN(T67)*LN(U67)+
Assumptions!$AF$8*LN(T67)^2+
Assumptions!$AG$8*LN(U67)+
Assumptions!$AH$8*LN(T67)-
(IF(S67=1800,
VLOOKUP(C67,Assumptions!$AA$13:$AC$17,3),
IF(S67=3600,
VLOOKUP(C67,Assumptions!$AA$18:$AC$22,3),
""))+Assumptions!$AI$8),
"")</f>
        <v/>
      </c>
      <c r="AR67" s="96" t="str">
        <f>IFERROR(
Assumptions!$D$11*(Y67/(Assumptions!$AB$9*AQ67/100)+AN67)+
Assumptions!$D$10*(AD67/(Assumptions!$AB$8*AQ67/100)+AO67)+
Assumptions!$D$12*(AI67/(Assumptions!$AB$10*AQ67/100)+AP67),
"")</f>
        <v/>
      </c>
      <c r="AS67" s="76" t="str">
        <f>IFERROR(
(W67+X67)*Assumptions!$D$11+
(AB67+AC67)*Assumptions!$D$10+
(AG67+AH67)*Assumptions!$D$12,
"")</f>
        <v/>
      </c>
      <c r="AT67" s="77" t="str">
        <f t="shared" si="15"/>
        <v/>
      </c>
      <c r="AU67" s="68" t="str">
        <f t="shared" si="1"/>
        <v/>
      </c>
    </row>
    <row r="68" spans="1:47" s="7" customFormat="1" x14ac:dyDescent="0.25">
      <c r="A68" s="264"/>
      <c r="B68" s="265"/>
      <c r="C68" s="265"/>
      <c r="D68" s="265"/>
      <c r="E68" s="266"/>
      <c r="F68" s="270"/>
      <c r="G68" s="271"/>
      <c r="H68" s="271"/>
      <c r="I68" s="272"/>
      <c r="J68" s="270"/>
      <c r="K68" s="271"/>
      <c r="L68" s="272"/>
      <c r="M68" s="270"/>
      <c r="N68" s="271"/>
      <c r="O68" s="272"/>
      <c r="P68" s="290"/>
      <c r="Q68" s="291"/>
      <c r="R68" s="51" t="str">
        <f t="shared" si="16"/>
        <v/>
      </c>
      <c r="S68" s="84" t="str">
        <f t="shared" si="2"/>
        <v/>
      </c>
      <c r="T68" s="93" t="str">
        <f t="shared" si="3"/>
        <v/>
      </c>
      <c r="U68" s="100" t="str">
        <f t="shared" si="4"/>
        <v/>
      </c>
      <c r="V68" s="95" t="str">
        <f t="shared" si="5"/>
        <v/>
      </c>
      <c r="W68" s="95" t="str">
        <f t="shared" si="6"/>
        <v/>
      </c>
      <c r="X68" s="95" t="str">
        <f>IFERROR(AJ68*
(Assumptions!$S$7*(W68/P68)^3+
Assumptions!$S$8*(W68/P68)^2+
Assumptions!$S$9*(W68/P68)+
Assumptions!$S$10),
"")</f>
        <v/>
      </c>
      <c r="Y68" s="96" t="str">
        <f>IFERROR(U68*V68*Assumptions!$B$15/3956,"")</f>
        <v/>
      </c>
      <c r="Z68" s="102" t="str">
        <f t="shared" si="7"/>
        <v/>
      </c>
      <c r="AA68" s="95" t="str">
        <f t="shared" si="8"/>
        <v/>
      </c>
      <c r="AB68" s="95" t="str">
        <f t="shared" si="9"/>
        <v/>
      </c>
      <c r="AC68" s="95" t="str">
        <f>IFERROR(AJ68*
(Assumptions!$S$7*(AB68/P68)^3+
Assumptions!$S$8*(AB68/P68)^2+
Assumptions!$S$9*(AB68/P68)+
Assumptions!$S$10),
"")</f>
        <v/>
      </c>
      <c r="AD68" s="96" t="str">
        <f>IFERROR(Z68*AA68*Assumptions!$B$15/3956,"")</f>
        <v/>
      </c>
      <c r="AE68" s="102" t="str">
        <f t="shared" si="10"/>
        <v/>
      </c>
      <c r="AF68" s="95" t="str">
        <f t="shared" si="11"/>
        <v/>
      </c>
      <c r="AG68" s="95" t="str">
        <f t="shared" si="12"/>
        <v/>
      </c>
      <c r="AH68" s="95" t="str">
        <f>IFERROR(AJ68*
(Assumptions!$S$7*(AG68/P68)^3+
Assumptions!$S$8*(AG68/P68)^2+
Assumptions!$S$9*(AG68/P68)+
Assumptions!$S$10),
"")</f>
        <v/>
      </c>
      <c r="AI68" s="96" t="str">
        <f>IFERROR(AE68*AF68*Assumptions!$B$15/3956,"")</f>
        <v/>
      </c>
      <c r="AJ68" s="247" t="str">
        <f t="shared" si="17"/>
        <v/>
      </c>
      <c r="AK68" s="99" t="str">
        <f>IFERROR(
IF(C68="VTS",
IF(P68&gt;=AVERAGE(
INDEX(Assumptions!$I$38:$I$57,MATCH(P68,Assumptions!$I$38:$I$57,-1)),
INDEX(Assumptions!$I$38:$I$57,MATCH(P68,Assumptions!$I$38:$I$57,-1)+1)),
INDEX(Assumptions!$I$38:$I$57,MATCH(P68,Assumptions!$I$38:$I$57,-1)),
INDEX(Assumptions!$I$38:$I$57,MATCH(P68,Assumptions!$I$38:$I$57,-1)+1)),
IF(P68&gt;=AVERAGE(
INDEX(Assumptions!$I$13:$I$32,MATCH(P68,Assumptions!$I$13:$I$32,-1)),
INDEX(Assumptions!$I$13:$I$32,MATCH(P68,Assumptions!$I$13:$I$32,-1)+1)),
INDEX(Assumptions!$I$13:$I$32,MATCH(P68,Assumptions!$I$13:$I$32,-1)),
INDEX(Assumptions!$I$13:$I$32,MATCH(P68,Assumptions!$I$13:$I$32,-1)+1))),
"")</f>
        <v/>
      </c>
      <c r="AL68" s="95" t="str">
        <f>IFERROR(
IF(C68="VTS",
VLOOKUP(AK68,Assumptions!$I$38:$K$57,MATCH(R68,Assumptions!$I$37:$K$37,0),FALSE),
VLOOKUP(AK68,Assumptions!$I$13:$K$32,MATCH(R68,Assumptions!$I$12:$K$12,0),FALSE)),
"")</f>
        <v/>
      </c>
      <c r="AM68" s="95" t="str">
        <f t="shared" si="14"/>
        <v/>
      </c>
      <c r="AN68" s="95" t="str">
        <f>IFERROR(AM68*
(Assumptions!$S$7*(Y68/(AQ68*Assumptions!$AB$9/100)/P68)^3+
Assumptions!$S$8*(Y68/(AQ68*Assumptions!$AB$9/100)/P68)^2+
Assumptions!$S$9*(Y68/(AQ68*Assumptions!$AB$9/100)/P68)+
Assumptions!$S$10),"")</f>
        <v/>
      </c>
      <c r="AO68" s="95" t="str">
        <f>IFERROR(AM68*
(Assumptions!$S$7*(AD68/(AQ68*Assumptions!$AB$8/100)/P68)^3+
Assumptions!$S$8*(AD68/(AQ68*Assumptions!$AB$8/100)/P68)^2+
Assumptions!$S$9*(AD68/(AQ68*Assumptions!$AB$8/100)/P68)+
Assumptions!$S$10),"")</f>
        <v/>
      </c>
      <c r="AP68" s="95" t="str">
        <f>IFERROR(AM68*
(Assumptions!$S$7*(AI68/(AQ68*Assumptions!$AB$10/100)/P68)^3+
Assumptions!$S$8*(AI68/(AQ68*Assumptions!$AB$10/100)/P68)^2+
Assumptions!$S$9*(AI68/(AQ68*Assumptions!$AB$10/100)/P68)+
Assumptions!$S$10),"")</f>
        <v/>
      </c>
      <c r="AQ68" s="95" t="str">
        <f>IFERROR(
Assumptions!$AD$8*LN(U68)^2+
Assumptions!$AE$8*LN(T68)*LN(U68)+
Assumptions!$AF$8*LN(T68)^2+
Assumptions!$AG$8*LN(U68)+
Assumptions!$AH$8*LN(T68)-
(IF(S68=1800,
VLOOKUP(C68,Assumptions!$AA$13:$AC$17,3),
IF(S68=3600,
VLOOKUP(C68,Assumptions!$AA$18:$AC$22,3),
""))+Assumptions!$AI$8),
"")</f>
        <v/>
      </c>
      <c r="AR68" s="96" t="str">
        <f>IFERROR(
Assumptions!$D$11*(Y68/(Assumptions!$AB$9*AQ68/100)+AN68)+
Assumptions!$D$10*(AD68/(Assumptions!$AB$8*AQ68/100)+AO68)+
Assumptions!$D$12*(AI68/(Assumptions!$AB$10*AQ68/100)+AP68),
"")</f>
        <v/>
      </c>
      <c r="AS68" s="76" t="str">
        <f>IFERROR(
(W68+X68)*Assumptions!$D$11+
(AB68+AC68)*Assumptions!$D$10+
(AG68+AH68)*Assumptions!$D$12,
"")</f>
        <v/>
      </c>
      <c r="AT68" s="77" t="str">
        <f t="shared" si="15"/>
        <v/>
      </c>
      <c r="AU68" s="68" t="str">
        <f t="shared" si="1"/>
        <v/>
      </c>
    </row>
    <row r="69" spans="1:47" s="7" customFormat="1" x14ac:dyDescent="0.25">
      <c r="A69" s="264"/>
      <c r="B69" s="265"/>
      <c r="C69" s="265"/>
      <c r="D69" s="265"/>
      <c r="E69" s="266"/>
      <c r="F69" s="270"/>
      <c r="G69" s="271"/>
      <c r="H69" s="271"/>
      <c r="I69" s="272"/>
      <c r="J69" s="270"/>
      <c r="K69" s="271"/>
      <c r="L69" s="272"/>
      <c r="M69" s="270"/>
      <c r="N69" s="271"/>
      <c r="O69" s="272"/>
      <c r="P69" s="290"/>
      <c r="Q69" s="291"/>
      <c r="R69" s="51" t="str">
        <f t="shared" si="16"/>
        <v/>
      </c>
      <c r="S69" s="84" t="str">
        <f t="shared" si="2"/>
        <v/>
      </c>
      <c r="T69" s="93" t="str">
        <f t="shared" si="3"/>
        <v/>
      </c>
      <c r="U69" s="100" t="str">
        <f t="shared" si="4"/>
        <v/>
      </c>
      <c r="V69" s="95" t="str">
        <f t="shared" si="5"/>
        <v/>
      </c>
      <c r="W69" s="95" t="str">
        <f t="shared" si="6"/>
        <v/>
      </c>
      <c r="X69" s="95" t="str">
        <f>IFERROR(AJ69*
(Assumptions!$S$7*(W69/P69)^3+
Assumptions!$S$8*(W69/P69)^2+
Assumptions!$S$9*(W69/P69)+
Assumptions!$S$10),
"")</f>
        <v/>
      </c>
      <c r="Y69" s="96" t="str">
        <f>IFERROR(U69*V69*Assumptions!$B$15/3956,"")</f>
        <v/>
      </c>
      <c r="Z69" s="102" t="str">
        <f t="shared" si="7"/>
        <v/>
      </c>
      <c r="AA69" s="95" t="str">
        <f t="shared" si="8"/>
        <v/>
      </c>
      <c r="AB69" s="95" t="str">
        <f t="shared" si="9"/>
        <v/>
      </c>
      <c r="AC69" s="95" t="str">
        <f>IFERROR(AJ69*
(Assumptions!$S$7*(AB69/P69)^3+
Assumptions!$S$8*(AB69/P69)^2+
Assumptions!$S$9*(AB69/P69)+
Assumptions!$S$10),
"")</f>
        <v/>
      </c>
      <c r="AD69" s="96" t="str">
        <f>IFERROR(Z69*AA69*Assumptions!$B$15/3956,"")</f>
        <v/>
      </c>
      <c r="AE69" s="102" t="str">
        <f t="shared" si="10"/>
        <v/>
      </c>
      <c r="AF69" s="95" t="str">
        <f t="shared" si="11"/>
        <v/>
      </c>
      <c r="AG69" s="95" t="str">
        <f t="shared" si="12"/>
        <v/>
      </c>
      <c r="AH69" s="95" t="str">
        <f>IFERROR(AJ69*
(Assumptions!$S$7*(AG69/P69)^3+
Assumptions!$S$8*(AG69/P69)^2+
Assumptions!$S$9*(AG69/P69)+
Assumptions!$S$10),
"")</f>
        <v/>
      </c>
      <c r="AI69" s="96" t="str">
        <f>IFERROR(AE69*AF69*Assumptions!$B$15/3956,"")</f>
        <v/>
      </c>
      <c r="AJ69" s="247" t="str">
        <f t="shared" si="17"/>
        <v/>
      </c>
      <c r="AK69" s="99" t="str">
        <f>IFERROR(
IF(C69="VTS",
IF(P69&gt;=AVERAGE(
INDEX(Assumptions!$I$38:$I$57,MATCH(P69,Assumptions!$I$38:$I$57,-1)),
INDEX(Assumptions!$I$38:$I$57,MATCH(P69,Assumptions!$I$38:$I$57,-1)+1)),
INDEX(Assumptions!$I$38:$I$57,MATCH(P69,Assumptions!$I$38:$I$57,-1)),
INDEX(Assumptions!$I$38:$I$57,MATCH(P69,Assumptions!$I$38:$I$57,-1)+1)),
IF(P69&gt;=AVERAGE(
INDEX(Assumptions!$I$13:$I$32,MATCH(P69,Assumptions!$I$13:$I$32,-1)),
INDEX(Assumptions!$I$13:$I$32,MATCH(P69,Assumptions!$I$13:$I$32,-1)+1)),
INDEX(Assumptions!$I$13:$I$32,MATCH(P69,Assumptions!$I$13:$I$32,-1)),
INDEX(Assumptions!$I$13:$I$32,MATCH(P69,Assumptions!$I$13:$I$32,-1)+1))),
"")</f>
        <v/>
      </c>
      <c r="AL69" s="95" t="str">
        <f>IFERROR(
IF(C69="VTS",
VLOOKUP(AK69,Assumptions!$I$38:$K$57,MATCH(R69,Assumptions!$I$37:$K$37,0),FALSE),
VLOOKUP(AK69,Assumptions!$I$13:$K$32,MATCH(R69,Assumptions!$I$12:$K$12,0),FALSE)),
"")</f>
        <v/>
      </c>
      <c r="AM69" s="95" t="str">
        <f t="shared" si="14"/>
        <v/>
      </c>
      <c r="AN69" s="95" t="str">
        <f>IFERROR(AM69*
(Assumptions!$S$7*(Y69/(AQ69*Assumptions!$AB$9/100)/P69)^3+
Assumptions!$S$8*(Y69/(AQ69*Assumptions!$AB$9/100)/P69)^2+
Assumptions!$S$9*(Y69/(AQ69*Assumptions!$AB$9/100)/P69)+
Assumptions!$S$10),"")</f>
        <v/>
      </c>
      <c r="AO69" s="95" t="str">
        <f>IFERROR(AM69*
(Assumptions!$S$7*(AD69/(AQ69*Assumptions!$AB$8/100)/P69)^3+
Assumptions!$S$8*(AD69/(AQ69*Assumptions!$AB$8/100)/P69)^2+
Assumptions!$S$9*(AD69/(AQ69*Assumptions!$AB$8/100)/P69)+
Assumptions!$S$10),"")</f>
        <v/>
      </c>
      <c r="AP69" s="95" t="str">
        <f>IFERROR(AM69*
(Assumptions!$S$7*(AI69/(AQ69*Assumptions!$AB$10/100)/P69)^3+
Assumptions!$S$8*(AI69/(AQ69*Assumptions!$AB$10/100)/P69)^2+
Assumptions!$S$9*(AI69/(AQ69*Assumptions!$AB$10/100)/P69)+
Assumptions!$S$10),"")</f>
        <v/>
      </c>
      <c r="AQ69" s="95" t="str">
        <f>IFERROR(
Assumptions!$AD$8*LN(U69)^2+
Assumptions!$AE$8*LN(T69)*LN(U69)+
Assumptions!$AF$8*LN(T69)^2+
Assumptions!$AG$8*LN(U69)+
Assumptions!$AH$8*LN(T69)-
(IF(S69=1800,
VLOOKUP(C69,Assumptions!$AA$13:$AC$17,3),
IF(S69=3600,
VLOOKUP(C69,Assumptions!$AA$18:$AC$22,3),
""))+Assumptions!$AI$8),
"")</f>
        <v/>
      </c>
      <c r="AR69" s="96" t="str">
        <f>IFERROR(
Assumptions!$D$11*(Y69/(Assumptions!$AB$9*AQ69/100)+AN69)+
Assumptions!$D$10*(AD69/(Assumptions!$AB$8*AQ69/100)+AO69)+
Assumptions!$D$12*(AI69/(Assumptions!$AB$10*AQ69/100)+AP69),
"")</f>
        <v/>
      </c>
      <c r="AS69" s="76" t="str">
        <f>IFERROR(
(W69+X69)*Assumptions!$D$11+
(AB69+AC69)*Assumptions!$D$10+
(AG69+AH69)*Assumptions!$D$12,
"")</f>
        <v/>
      </c>
      <c r="AT69" s="77" t="str">
        <f t="shared" si="15"/>
        <v/>
      </c>
      <c r="AU69" s="68" t="str">
        <f t="shared" si="1"/>
        <v/>
      </c>
    </row>
    <row r="70" spans="1:47" s="7" customFormat="1" x14ac:dyDescent="0.25">
      <c r="A70" s="264"/>
      <c r="B70" s="265"/>
      <c r="C70" s="265"/>
      <c r="D70" s="265"/>
      <c r="E70" s="266"/>
      <c r="F70" s="270"/>
      <c r="G70" s="271"/>
      <c r="H70" s="271"/>
      <c r="I70" s="272"/>
      <c r="J70" s="270"/>
      <c r="K70" s="271"/>
      <c r="L70" s="272"/>
      <c r="M70" s="270"/>
      <c r="N70" s="271"/>
      <c r="O70" s="272"/>
      <c r="P70" s="290"/>
      <c r="Q70" s="291"/>
      <c r="R70" s="51" t="str">
        <f t="shared" si="16"/>
        <v/>
      </c>
      <c r="S70" s="84" t="str">
        <f t="shared" si="2"/>
        <v/>
      </c>
      <c r="T70" s="93" t="str">
        <f t="shared" si="3"/>
        <v/>
      </c>
      <c r="U70" s="100" t="str">
        <f t="shared" si="4"/>
        <v/>
      </c>
      <c r="V70" s="95" t="str">
        <f t="shared" si="5"/>
        <v/>
      </c>
      <c r="W70" s="95" t="str">
        <f t="shared" si="6"/>
        <v/>
      </c>
      <c r="X70" s="95" t="str">
        <f>IFERROR(AJ70*
(Assumptions!$S$7*(W70/P70)^3+
Assumptions!$S$8*(W70/P70)^2+
Assumptions!$S$9*(W70/P70)+
Assumptions!$S$10),
"")</f>
        <v/>
      </c>
      <c r="Y70" s="96" t="str">
        <f>IFERROR(U70*V70*Assumptions!$B$15/3956,"")</f>
        <v/>
      </c>
      <c r="Z70" s="102" t="str">
        <f t="shared" si="7"/>
        <v/>
      </c>
      <c r="AA70" s="95" t="str">
        <f t="shared" si="8"/>
        <v/>
      </c>
      <c r="AB70" s="95" t="str">
        <f t="shared" si="9"/>
        <v/>
      </c>
      <c r="AC70" s="95" t="str">
        <f>IFERROR(AJ70*
(Assumptions!$S$7*(AB70/P70)^3+
Assumptions!$S$8*(AB70/P70)^2+
Assumptions!$S$9*(AB70/P70)+
Assumptions!$S$10),
"")</f>
        <v/>
      </c>
      <c r="AD70" s="96" t="str">
        <f>IFERROR(Z70*AA70*Assumptions!$B$15/3956,"")</f>
        <v/>
      </c>
      <c r="AE70" s="102" t="str">
        <f t="shared" si="10"/>
        <v/>
      </c>
      <c r="AF70" s="95" t="str">
        <f t="shared" si="11"/>
        <v/>
      </c>
      <c r="AG70" s="95" t="str">
        <f t="shared" si="12"/>
        <v/>
      </c>
      <c r="AH70" s="95" t="str">
        <f>IFERROR(AJ70*
(Assumptions!$S$7*(AG70/P70)^3+
Assumptions!$S$8*(AG70/P70)^2+
Assumptions!$S$9*(AG70/P70)+
Assumptions!$S$10),
"")</f>
        <v/>
      </c>
      <c r="AI70" s="96" t="str">
        <f>IFERROR(AE70*AF70*Assumptions!$B$15/3956,"")</f>
        <v/>
      </c>
      <c r="AJ70" s="247" t="str">
        <f t="shared" si="17"/>
        <v/>
      </c>
      <c r="AK70" s="99" t="str">
        <f>IFERROR(
IF(C70="VTS",
IF(P70&gt;=AVERAGE(
INDEX(Assumptions!$I$38:$I$57,MATCH(P70,Assumptions!$I$38:$I$57,-1)),
INDEX(Assumptions!$I$38:$I$57,MATCH(P70,Assumptions!$I$38:$I$57,-1)+1)),
INDEX(Assumptions!$I$38:$I$57,MATCH(P70,Assumptions!$I$38:$I$57,-1)),
INDEX(Assumptions!$I$38:$I$57,MATCH(P70,Assumptions!$I$38:$I$57,-1)+1)),
IF(P70&gt;=AVERAGE(
INDEX(Assumptions!$I$13:$I$32,MATCH(P70,Assumptions!$I$13:$I$32,-1)),
INDEX(Assumptions!$I$13:$I$32,MATCH(P70,Assumptions!$I$13:$I$32,-1)+1)),
INDEX(Assumptions!$I$13:$I$32,MATCH(P70,Assumptions!$I$13:$I$32,-1)),
INDEX(Assumptions!$I$13:$I$32,MATCH(P70,Assumptions!$I$13:$I$32,-1)+1))),
"")</f>
        <v/>
      </c>
      <c r="AL70" s="95" t="str">
        <f>IFERROR(
IF(C70="VTS",
VLOOKUP(AK70,Assumptions!$I$38:$K$57,MATCH(R70,Assumptions!$I$37:$K$37,0),FALSE),
VLOOKUP(AK70,Assumptions!$I$13:$K$32,MATCH(R70,Assumptions!$I$12:$K$12,0),FALSE)),
"")</f>
        <v/>
      </c>
      <c r="AM70" s="95" t="str">
        <f t="shared" si="14"/>
        <v/>
      </c>
      <c r="AN70" s="95" t="str">
        <f>IFERROR(AM70*
(Assumptions!$S$7*(Y70/(AQ70*Assumptions!$AB$9/100)/P70)^3+
Assumptions!$S$8*(Y70/(AQ70*Assumptions!$AB$9/100)/P70)^2+
Assumptions!$S$9*(Y70/(AQ70*Assumptions!$AB$9/100)/P70)+
Assumptions!$S$10),"")</f>
        <v/>
      </c>
      <c r="AO70" s="95" t="str">
        <f>IFERROR(AM70*
(Assumptions!$S$7*(AD70/(AQ70*Assumptions!$AB$8/100)/P70)^3+
Assumptions!$S$8*(AD70/(AQ70*Assumptions!$AB$8/100)/P70)^2+
Assumptions!$S$9*(AD70/(AQ70*Assumptions!$AB$8/100)/P70)+
Assumptions!$S$10),"")</f>
        <v/>
      </c>
      <c r="AP70" s="95" t="str">
        <f>IFERROR(AM70*
(Assumptions!$S$7*(AI70/(AQ70*Assumptions!$AB$10/100)/P70)^3+
Assumptions!$S$8*(AI70/(AQ70*Assumptions!$AB$10/100)/P70)^2+
Assumptions!$S$9*(AI70/(AQ70*Assumptions!$AB$10/100)/P70)+
Assumptions!$S$10),"")</f>
        <v/>
      </c>
      <c r="AQ70" s="95" t="str">
        <f>IFERROR(
Assumptions!$AD$8*LN(U70)^2+
Assumptions!$AE$8*LN(T70)*LN(U70)+
Assumptions!$AF$8*LN(T70)^2+
Assumptions!$AG$8*LN(U70)+
Assumptions!$AH$8*LN(T70)-
(IF(S70=1800,
VLOOKUP(C70,Assumptions!$AA$13:$AC$17,3),
IF(S70=3600,
VLOOKUP(C70,Assumptions!$AA$18:$AC$22,3),
""))+Assumptions!$AI$8),
"")</f>
        <v/>
      </c>
      <c r="AR70" s="96" t="str">
        <f>IFERROR(
Assumptions!$D$11*(Y70/(Assumptions!$AB$9*AQ70/100)+AN70)+
Assumptions!$D$10*(AD70/(Assumptions!$AB$8*AQ70/100)+AO70)+
Assumptions!$D$12*(AI70/(Assumptions!$AB$10*AQ70/100)+AP70),
"")</f>
        <v/>
      </c>
      <c r="AS70" s="76" t="str">
        <f>IFERROR(
(W70+X70)*Assumptions!$D$11+
(AB70+AC70)*Assumptions!$D$10+
(AG70+AH70)*Assumptions!$D$12,
"")</f>
        <v/>
      </c>
      <c r="AT70" s="77" t="str">
        <f t="shared" si="15"/>
        <v/>
      </c>
      <c r="AU70" s="68" t="str">
        <f t="shared" si="1"/>
        <v/>
      </c>
    </row>
    <row r="71" spans="1:47" s="7" customFormat="1" x14ac:dyDescent="0.25">
      <c r="A71" s="264"/>
      <c r="B71" s="265"/>
      <c r="C71" s="265"/>
      <c r="D71" s="265"/>
      <c r="E71" s="266"/>
      <c r="F71" s="270"/>
      <c r="G71" s="271"/>
      <c r="H71" s="271"/>
      <c r="I71" s="272"/>
      <c r="J71" s="270"/>
      <c r="K71" s="271"/>
      <c r="L71" s="272"/>
      <c r="M71" s="270"/>
      <c r="N71" s="271"/>
      <c r="O71" s="272"/>
      <c r="P71" s="290"/>
      <c r="Q71" s="291"/>
      <c r="R71" s="51" t="str">
        <f t="shared" si="16"/>
        <v/>
      </c>
      <c r="S71" s="84" t="str">
        <f t="shared" si="2"/>
        <v/>
      </c>
      <c r="T71" s="93" t="str">
        <f t="shared" si="3"/>
        <v/>
      </c>
      <c r="U71" s="100" t="str">
        <f t="shared" si="4"/>
        <v/>
      </c>
      <c r="V71" s="95" t="str">
        <f t="shared" si="5"/>
        <v/>
      </c>
      <c r="W71" s="95" t="str">
        <f t="shared" si="6"/>
        <v/>
      </c>
      <c r="X71" s="95" t="str">
        <f>IFERROR(AJ71*
(Assumptions!$S$7*(W71/P71)^3+
Assumptions!$S$8*(W71/P71)^2+
Assumptions!$S$9*(W71/P71)+
Assumptions!$S$10),
"")</f>
        <v/>
      </c>
      <c r="Y71" s="96" t="str">
        <f>IFERROR(U71*V71*Assumptions!$B$15/3956,"")</f>
        <v/>
      </c>
      <c r="Z71" s="102" t="str">
        <f t="shared" si="7"/>
        <v/>
      </c>
      <c r="AA71" s="95" t="str">
        <f t="shared" si="8"/>
        <v/>
      </c>
      <c r="AB71" s="95" t="str">
        <f t="shared" si="9"/>
        <v/>
      </c>
      <c r="AC71" s="95" t="str">
        <f>IFERROR(AJ71*
(Assumptions!$S$7*(AB71/P71)^3+
Assumptions!$S$8*(AB71/P71)^2+
Assumptions!$S$9*(AB71/P71)+
Assumptions!$S$10),
"")</f>
        <v/>
      </c>
      <c r="AD71" s="96" t="str">
        <f>IFERROR(Z71*AA71*Assumptions!$B$15/3956,"")</f>
        <v/>
      </c>
      <c r="AE71" s="102" t="str">
        <f t="shared" si="10"/>
        <v/>
      </c>
      <c r="AF71" s="95" t="str">
        <f t="shared" si="11"/>
        <v/>
      </c>
      <c r="AG71" s="95" t="str">
        <f t="shared" si="12"/>
        <v/>
      </c>
      <c r="AH71" s="95" t="str">
        <f>IFERROR(AJ71*
(Assumptions!$S$7*(AG71/P71)^3+
Assumptions!$S$8*(AG71/P71)^2+
Assumptions!$S$9*(AG71/P71)+
Assumptions!$S$10),
"")</f>
        <v/>
      </c>
      <c r="AI71" s="96" t="str">
        <f>IFERROR(AE71*AF71*Assumptions!$B$15/3956,"")</f>
        <v/>
      </c>
      <c r="AJ71" s="247" t="str">
        <f t="shared" si="17"/>
        <v/>
      </c>
      <c r="AK71" s="99" t="str">
        <f>IFERROR(
IF(C71="VTS",
IF(P71&gt;=AVERAGE(
INDEX(Assumptions!$I$38:$I$57,MATCH(P71,Assumptions!$I$38:$I$57,-1)),
INDEX(Assumptions!$I$38:$I$57,MATCH(P71,Assumptions!$I$38:$I$57,-1)+1)),
INDEX(Assumptions!$I$38:$I$57,MATCH(P71,Assumptions!$I$38:$I$57,-1)),
INDEX(Assumptions!$I$38:$I$57,MATCH(P71,Assumptions!$I$38:$I$57,-1)+1)),
IF(P71&gt;=AVERAGE(
INDEX(Assumptions!$I$13:$I$32,MATCH(P71,Assumptions!$I$13:$I$32,-1)),
INDEX(Assumptions!$I$13:$I$32,MATCH(P71,Assumptions!$I$13:$I$32,-1)+1)),
INDEX(Assumptions!$I$13:$I$32,MATCH(P71,Assumptions!$I$13:$I$32,-1)),
INDEX(Assumptions!$I$13:$I$32,MATCH(P71,Assumptions!$I$13:$I$32,-1)+1))),
"")</f>
        <v/>
      </c>
      <c r="AL71" s="95" t="str">
        <f>IFERROR(
IF(C71="VTS",
VLOOKUP(AK71,Assumptions!$I$38:$K$57,MATCH(R71,Assumptions!$I$37:$K$37,0),FALSE),
VLOOKUP(AK71,Assumptions!$I$13:$K$32,MATCH(R71,Assumptions!$I$12:$K$12,0),FALSE)),
"")</f>
        <v/>
      </c>
      <c r="AM71" s="95" t="str">
        <f t="shared" si="14"/>
        <v/>
      </c>
      <c r="AN71" s="95" t="str">
        <f>IFERROR(AM71*
(Assumptions!$S$7*(Y71/(AQ71*Assumptions!$AB$9/100)/P71)^3+
Assumptions!$S$8*(Y71/(AQ71*Assumptions!$AB$9/100)/P71)^2+
Assumptions!$S$9*(Y71/(AQ71*Assumptions!$AB$9/100)/P71)+
Assumptions!$S$10),"")</f>
        <v/>
      </c>
      <c r="AO71" s="95" t="str">
        <f>IFERROR(AM71*
(Assumptions!$S$7*(AD71/(AQ71*Assumptions!$AB$8/100)/P71)^3+
Assumptions!$S$8*(AD71/(AQ71*Assumptions!$AB$8/100)/P71)^2+
Assumptions!$S$9*(AD71/(AQ71*Assumptions!$AB$8/100)/P71)+
Assumptions!$S$10),"")</f>
        <v/>
      </c>
      <c r="AP71" s="95" t="str">
        <f>IFERROR(AM71*
(Assumptions!$S$7*(AI71/(AQ71*Assumptions!$AB$10/100)/P71)^3+
Assumptions!$S$8*(AI71/(AQ71*Assumptions!$AB$10/100)/P71)^2+
Assumptions!$S$9*(AI71/(AQ71*Assumptions!$AB$10/100)/P71)+
Assumptions!$S$10),"")</f>
        <v/>
      </c>
      <c r="AQ71" s="95" t="str">
        <f>IFERROR(
Assumptions!$AD$8*LN(U71)^2+
Assumptions!$AE$8*LN(T71)*LN(U71)+
Assumptions!$AF$8*LN(T71)^2+
Assumptions!$AG$8*LN(U71)+
Assumptions!$AH$8*LN(T71)-
(IF(S71=1800,
VLOOKUP(C71,Assumptions!$AA$13:$AC$17,3),
IF(S71=3600,
VLOOKUP(C71,Assumptions!$AA$18:$AC$22,3),
""))+Assumptions!$AI$8),
"")</f>
        <v/>
      </c>
      <c r="AR71" s="96" t="str">
        <f>IFERROR(
Assumptions!$D$11*(Y71/(Assumptions!$AB$9*AQ71/100)+AN71)+
Assumptions!$D$10*(AD71/(Assumptions!$AB$8*AQ71/100)+AO71)+
Assumptions!$D$12*(AI71/(Assumptions!$AB$10*AQ71/100)+AP71),
"")</f>
        <v/>
      </c>
      <c r="AS71" s="76" t="str">
        <f>IFERROR(
(W71+X71)*Assumptions!$D$11+
(AB71+AC71)*Assumptions!$D$10+
(AG71+AH71)*Assumptions!$D$12,
"")</f>
        <v/>
      </c>
      <c r="AT71" s="77" t="str">
        <f t="shared" si="15"/>
        <v/>
      </c>
      <c r="AU71" s="68" t="str">
        <f t="shared" si="1"/>
        <v/>
      </c>
    </row>
    <row r="72" spans="1:47" s="7" customFormat="1" x14ac:dyDescent="0.25">
      <c r="A72" s="264"/>
      <c r="B72" s="265"/>
      <c r="C72" s="265"/>
      <c r="D72" s="265"/>
      <c r="E72" s="266"/>
      <c r="F72" s="270"/>
      <c r="G72" s="271"/>
      <c r="H72" s="271"/>
      <c r="I72" s="272"/>
      <c r="J72" s="270"/>
      <c r="K72" s="271"/>
      <c r="L72" s="272"/>
      <c r="M72" s="270"/>
      <c r="N72" s="271"/>
      <c r="O72" s="272"/>
      <c r="P72" s="290"/>
      <c r="Q72" s="291"/>
      <c r="R72" s="51" t="str">
        <f t="shared" si="16"/>
        <v/>
      </c>
      <c r="S72" s="84" t="str">
        <f t="shared" si="2"/>
        <v/>
      </c>
      <c r="T72" s="93" t="str">
        <f t="shared" si="3"/>
        <v/>
      </c>
      <c r="U72" s="100" t="str">
        <f t="shared" si="4"/>
        <v/>
      </c>
      <c r="V72" s="95" t="str">
        <f t="shared" si="5"/>
        <v/>
      </c>
      <c r="W72" s="95" t="str">
        <f t="shared" si="6"/>
        <v/>
      </c>
      <c r="X72" s="95" t="str">
        <f>IFERROR(AJ72*
(Assumptions!$S$7*(W72/P72)^3+
Assumptions!$S$8*(W72/P72)^2+
Assumptions!$S$9*(W72/P72)+
Assumptions!$S$10),
"")</f>
        <v/>
      </c>
      <c r="Y72" s="96" t="str">
        <f>IFERROR(U72*V72*Assumptions!$B$15/3956,"")</f>
        <v/>
      </c>
      <c r="Z72" s="102" t="str">
        <f t="shared" si="7"/>
        <v/>
      </c>
      <c r="AA72" s="95" t="str">
        <f t="shared" si="8"/>
        <v/>
      </c>
      <c r="AB72" s="95" t="str">
        <f t="shared" si="9"/>
        <v/>
      </c>
      <c r="AC72" s="95" t="str">
        <f>IFERROR(AJ72*
(Assumptions!$S$7*(AB72/P72)^3+
Assumptions!$S$8*(AB72/P72)^2+
Assumptions!$S$9*(AB72/P72)+
Assumptions!$S$10),
"")</f>
        <v/>
      </c>
      <c r="AD72" s="96" t="str">
        <f>IFERROR(Z72*AA72*Assumptions!$B$15/3956,"")</f>
        <v/>
      </c>
      <c r="AE72" s="102" t="str">
        <f t="shared" si="10"/>
        <v/>
      </c>
      <c r="AF72" s="95" t="str">
        <f t="shared" si="11"/>
        <v/>
      </c>
      <c r="AG72" s="95" t="str">
        <f t="shared" si="12"/>
        <v/>
      </c>
      <c r="AH72" s="95" t="str">
        <f>IFERROR(AJ72*
(Assumptions!$S$7*(AG72/P72)^3+
Assumptions!$S$8*(AG72/P72)^2+
Assumptions!$S$9*(AG72/P72)+
Assumptions!$S$10),
"")</f>
        <v/>
      </c>
      <c r="AI72" s="96" t="str">
        <f>IFERROR(AE72*AF72*Assumptions!$B$15/3956,"")</f>
        <v/>
      </c>
      <c r="AJ72" s="247" t="str">
        <f t="shared" si="17"/>
        <v/>
      </c>
      <c r="AK72" s="99" t="str">
        <f>IFERROR(
IF(C72="VTS",
IF(P72&gt;=AVERAGE(
INDEX(Assumptions!$I$38:$I$57,MATCH(P72,Assumptions!$I$38:$I$57,-1)),
INDEX(Assumptions!$I$38:$I$57,MATCH(P72,Assumptions!$I$38:$I$57,-1)+1)),
INDEX(Assumptions!$I$38:$I$57,MATCH(P72,Assumptions!$I$38:$I$57,-1)),
INDEX(Assumptions!$I$38:$I$57,MATCH(P72,Assumptions!$I$38:$I$57,-1)+1)),
IF(P72&gt;=AVERAGE(
INDEX(Assumptions!$I$13:$I$32,MATCH(P72,Assumptions!$I$13:$I$32,-1)),
INDEX(Assumptions!$I$13:$I$32,MATCH(P72,Assumptions!$I$13:$I$32,-1)+1)),
INDEX(Assumptions!$I$13:$I$32,MATCH(P72,Assumptions!$I$13:$I$32,-1)),
INDEX(Assumptions!$I$13:$I$32,MATCH(P72,Assumptions!$I$13:$I$32,-1)+1))),
"")</f>
        <v/>
      </c>
      <c r="AL72" s="95" t="str">
        <f>IFERROR(
IF(C72="VTS",
VLOOKUP(AK72,Assumptions!$I$38:$K$57,MATCH(R72,Assumptions!$I$37:$K$37,0),FALSE),
VLOOKUP(AK72,Assumptions!$I$13:$K$32,MATCH(R72,Assumptions!$I$12:$K$12,0),FALSE)),
"")</f>
        <v/>
      </c>
      <c r="AM72" s="95" t="str">
        <f t="shared" si="14"/>
        <v/>
      </c>
      <c r="AN72" s="95" t="str">
        <f>IFERROR(AM72*
(Assumptions!$S$7*(Y72/(AQ72*Assumptions!$AB$9/100)/P72)^3+
Assumptions!$S$8*(Y72/(AQ72*Assumptions!$AB$9/100)/P72)^2+
Assumptions!$S$9*(Y72/(AQ72*Assumptions!$AB$9/100)/P72)+
Assumptions!$S$10),"")</f>
        <v/>
      </c>
      <c r="AO72" s="95" t="str">
        <f>IFERROR(AM72*
(Assumptions!$S$7*(AD72/(AQ72*Assumptions!$AB$8/100)/P72)^3+
Assumptions!$S$8*(AD72/(AQ72*Assumptions!$AB$8/100)/P72)^2+
Assumptions!$S$9*(AD72/(AQ72*Assumptions!$AB$8/100)/P72)+
Assumptions!$S$10),"")</f>
        <v/>
      </c>
      <c r="AP72" s="95" t="str">
        <f>IFERROR(AM72*
(Assumptions!$S$7*(AI72/(AQ72*Assumptions!$AB$10/100)/P72)^3+
Assumptions!$S$8*(AI72/(AQ72*Assumptions!$AB$10/100)/P72)^2+
Assumptions!$S$9*(AI72/(AQ72*Assumptions!$AB$10/100)/P72)+
Assumptions!$S$10),"")</f>
        <v/>
      </c>
      <c r="AQ72" s="95" t="str">
        <f>IFERROR(
Assumptions!$AD$8*LN(U72)^2+
Assumptions!$AE$8*LN(T72)*LN(U72)+
Assumptions!$AF$8*LN(T72)^2+
Assumptions!$AG$8*LN(U72)+
Assumptions!$AH$8*LN(T72)-
(IF(S72=1800,
VLOOKUP(C72,Assumptions!$AA$13:$AC$17,3),
IF(S72=3600,
VLOOKUP(C72,Assumptions!$AA$18:$AC$22,3),
""))+Assumptions!$AI$8),
"")</f>
        <v/>
      </c>
      <c r="AR72" s="96" t="str">
        <f>IFERROR(
Assumptions!$D$11*(Y72/(Assumptions!$AB$9*AQ72/100)+AN72)+
Assumptions!$D$10*(AD72/(Assumptions!$AB$8*AQ72/100)+AO72)+
Assumptions!$D$12*(AI72/(Assumptions!$AB$10*AQ72/100)+AP72),
"")</f>
        <v/>
      </c>
      <c r="AS72" s="76" t="str">
        <f>IFERROR(
(W72+X72)*Assumptions!$D$11+
(AB72+AC72)*Assumptions!$D$10+
(AG72+AH72)*Assumptions!$D$12,
"")</f>
        <v/>
      </c>
      <c r="AT72" s="77" t="str">
        <f t="shared" si="15"/>
        <v/>
      </c>
      <c r="AU72" s="68" t="str">
        <f t="shared" si="1"/>
        <v/>
      </c>
    </row>
    <row r="73" spans="1:47" s="7" customFormat="1" x14ac:dyDescent="0.25">
      <c r="A73" s="264"/>
      <c r="B73" s="265"/>
      <c r="C73" s="265"/>
      <c r="D73" s="265"/>
      <c r="E73" s="266"/>
      <c r="F73" s="270"/>
      <c r="G73" s="271"/>
      <c r="H73" s="271"/>
      <c r="I73" s="272"/>
      <c r="J73" s="270"/>
      <c r="K73" s="271"/>
      <c r="L73" s="272"/>
      <c r="M73" s="270"/>
      <c r="N73" s="271"/>
      <c r="O73" s="272"/>
      <c r="P73" s="290"/>
      <c r="Q73" s="291"/>
      <c r="R73" s="51" t="str">
        <f t="shared" si="16"/>
        <v/>
      </c>
      <c r="S73" s="84" t="str">
        <f t="shared" si="2"/>
        <v/>
      </c>
      <c r="T73" s="93" t="str">
        <f t="shared" si="3"/>
        <v/>
      </c>
      <c r="U73" s="100" t="str">
        <f t="shared" si="4"/>
        <v/>
      </c>
      <c r="V73" s="95" t="str">
        <f t="shared" si="5"/>
        <v/>
      </c>
      <c r="W73" s="95" t="str">
        <f t="shared" si="6"/>
        <v/>
      </c>
      <c r="X73" s="95" t="str">
        <f>IFERROR(AJ73*
(Assumptions!$S$7*(W73/P73)^3+
Assumptions!$S$8*(W73/P73)^2+
Assumptions!$S$9*(W73/P73)+
Assumptions!$S$10),
"")</f>
        <v/>
      </c>
      <c r="Y73" s="96" t="str">
        <f>IFERROR(U73*V73*Assumptions!$B$15/3956,"")</f>
        <v/>
      </c>
      <c r="Z73" s="102" t="str">
        <f t="shared" si="7"/>
        <v/>
      </c>
      <c r="AA73" s="95" t="str">
        <f t="shared" si="8"/>
        <v/>
      </c>
      <c r="AB73" s="95" t="str">
        <f t="shared" si="9"/>
        <v/>
      </c>
      <c r="AC73" s="95" t="str">
        <f>IFERROR(AJ73*
(Assumptions!$S$7*(AB73/P73)^3+
Assumptions!$S$8*(AB73/P73)^2+
Assumptions!$S$9*(AB73/P73)+
Assumptions!$S$10),
"")</f>
        <v/>
      </c>
      <c r="AD73" s="96" t="str">
        <f>IFERROR(Z73*AA73*Assumptions!$B$15/3956,"")</f>
        <v/>
      </c>
      <c r="AE73" s="102" t="str">
        <f t="shared" si="10"/>
        <v/>
      </c>
      <c r="AF73" s="95" t="str">
        <f t="shared" si="11"/>
        <v/>
      </c>
      <c r="AG73" s="95" t="str">
        <f t="shared" si="12"/>
        <v/>
      </c>
      <c r="AH73" s="95" t="str">
        <f>IFERROR(AJ73*
(Assumptions!$S$7*(AG73/P73)^3+
Assumptions!$S$8*(AG73/P73)^2+
Assumptions!$S$9*(AG73/P73)+
Assumptions!$S$10),
"")</f>
        <v/>
      </c>
      <c r="AI73" s="96" t="str">
        <f>IFERROR(AE73*AF73*Assumptions!$B$15/3956,"")</f>
        <v/>
      </c>
      <c r="AJ73" s="247" t="str">
        <f t="shared" si="17"/>
        <v/>
      </c>
      <c r="AK73" s="99" t="str">
        <f>IFERROR(
IF(C73="VTS",
IF(P73&gt;=AVERAGE(
INDEX(Assumptions!$I$38:$I$57,MATCH(P73,Assumptions!$I$38:$I$57,-1)),
INDEX(Assumptions!$I$38:$I$57,MATCH(P73,Assumptions!$I$38:$I$57,-1)+1)),
INDEX(Assumptions!$I$38:$I$57,MATCH(P73,Assumptions!$I$38:$I$57,-1)),
INDEX(Assumptions!$I$38:$I$57,MATCH(P73,Assumptions!$I$38:$I$57,-1)+1)),
IF(P73&gt;=AVERAGE(
INDEX(Assumptions!$I$13:$I$32,MATCH(P73,Assumptions!$I$13:$I$32,-1)),
INDEX(Assumptions!$I$13:$I$32,MATCH(P73,Assumptions!$I$13:$I$32,-1)+1)),
INDEX(Assumptions!$I$13:$I$32,MATCH(P73,Assumptions!$I$13:$I$32,-1)),
INDEX(Assumptions!$I$13:$I$32,MATCH(P73,Assumptions!$I$13:$I$32,-1)+1))),
"")</f>
        <v/>
      </c>
      <c r="AL73" s="95" t="str">
        <f>IFERROR(
IF(C73="VTS",
VLOOKUP(AK73,Assumptions!$I$38:$K$57,MATCH(R73,Assumptions!$I$37:$K$37,0),FALSE),
VLOOKUP(AK73,Assumptions!$I$13:$K$32,MATCH(R73,Assumptions!$I$12:$K$12,0),FALSE)),
"")</f>
        <v/>
      </c>
      <c r="AM73" s="95" t="str">
        <f t="shared" si="14"/>
        <v/>
      </c>
      <c r="AN73" s="95" t="str">
        <f>IFERROR(AM73*
(Assumptions!$S$7*(Y73/(AQ73*Assumptions!$AB$9/100)/P73)^3+
Assumptions!$S$8*(Y73/(AQ73*Assumptions!$AB$9/100)/P73)^2+
Assumptions!$S$9*(Y73/(AQ73*Assumptions!$AB$9/100)/P73)+
Assumptions!$S$10),"")</f>
        <v/>
      </c>
      <c r="AO73" s="95" t="str">
        <f>IFERROR(AM73*
(Assumptions!$S$7*(AD73/(AQ73*Assumptions!$AB$8/100)/P73)^3+
Assumptions!$S$8*(AD73/(AQ73*Assumptions!$AB$8/100)/P73)^2+
Assumptions!$S$9*(AD73/(AQ73*Assumptions!$AB$8/100)/P73)+
Assumptions!$S$10),"")</f>
        <v/>
      </c>
      <c r="AP73" s="95" t="str">
        <f>IFERROR(AM73*
(Assumptions!$S$7*(AI73/(AQ73*Assumptions!$AB$10/100)/P73)^3+
Assumptions!$S$8*(AI73/(AQ73*Assumptions!$AB$10/100)/P73)^2+
Assumptions!$S$9*(AI73/(AQ73*Assumptions!$AB$10/100)/P73)+
Assumptions!$S$10),"")</f>
        <v/>
      </c>
      <c r="AQ73" s="95" t="str">
        <f>IFERROR(
Assumptions!$AD$8*LN(U73)^2+
Assumptions!$AE$8*LN(T73)*LN(U73)+
Assumptions!$AF$8*LN(T73)^2+
Assumptions!$AG$8*LN(U73)+
Assumptions!$AH$8*LN(T73)-
(IF(S73=1800,
VLOOKUP(C73,Assumptions!$AA$13:$AC$17,3),
IF(S73=3600,
VLOOKUP(C73,Assumptions!$AA$18:$AC$22,3),
""))+Assumptions!$AI$8),
"")</f>
        <v/>
      </c>
      <c r="AR73" s="96" t="str">
        <f>IFERROR(
Assumptions!$D$11*(Y73/(Assumptions!$AB$9*AQ73/100)+AN73)+
Assumptions!$D$10*(AD73/(Assumptions!$AB$8*AQ73/100)+AO73)+
Assumptions!$D$12*(AI73/(Assumptions!$AB$10*AQ73/100)+AP73),
"")</f>
        <v/>
      </c>
      <c r="AS73" s="76" t="str">
        <f>IFERROR(
(W73+X73)*Assumptions!$D$11+
(AB73+AC73)*Assumptions!$D$10+
(AG73+AH73)*Assumptions!$D$12,
"")</f>
        <v/>
      </c>
      <c r="AT73" s="77" t="str">
        <f t="shared" si="15"/>
        <v/>
      </c>
      <c r="AU73" s="68" t="str">
        <f t="shared" ref="AU73:AU107" si="18">IF(AT73="","",IF(AT73&gt;1,"FAIL","PASS"))</f>
        <v/>
      </c>
    </row>
    <row r="74" spans="1:47" s="7" customFormat="1" x14ac:dyDescent="0.25">
      <c r="A74" s="264"/>
      <c r="B74" s="265"/>
      <c r="C74" s="265"/>
      <c r="D74" s="265"/>
      <c r="E74" s="266"/>
      <c r="F74" s="270"/>
      <c r="G74" s="271"/>
      <c r="H74" s="271"/>
      <c r="I74" s="272"/>
      <c r="J74" s="270"/>
      <c r="K74" s="271"/>
      <c r="L74" s="272"/>
      <c r="M74" s="270"/>
      <c r="N74" s="271"/>
      <c r="O74" s="272"/>
      <c r="P74" s="290"/>
      <c r="Q74" s="291"/>
      <c r="R74" s="51" t="str">
        <f t="shared" ref="R74:R107" si="19">IF(AND(E74&gt;=1440,E74&lt;=2160),4,IF(AND(E74&gt;=2880,E74&lt;=4320),2,""))</f>
        <v/>
      </c>
      <c r="S74" s="84" t="str">
        <f t="shared" si="2"/>
        <v/>
      </c>
      <c r="T74" s="93" t="str">
        <f t="shared" si="3"/>
        <v/>
      </c>
      <c r="U74" s="100" t="str">
        <f t="shared" si="4"/>
        <v/>
      </c>
      <c r="V74" s="95" t="str">
        <f t="shared" si="5"/>
        <v/>
      </c>
      <c r="W74" s="95" t="str">
        <f t="shared" si="6"/>
        <v/>
      </c>
      <c r="X74" s="95" t="str">
        <f>IFERROR(AJ74*
(Assumptions!$S$7*(W74/P74)^3+
Assumptions!$S$8*(W74/P74)^2+
Assumptions!$S$9*(W74/P74)+
Assumptions!$S$10),
"")</f>
        <v/>
      </c>
      <c r="Y74" s="96" t="str">
        <f>IFERROR(U74*V74*Assumptions!$B$15/3956,"")</f>
        <v/>
      </c>
      <c r="Z74" s="102" t="str">
        <f t="shared" si="7"/>
        <v/>
      </c>
      <c r="AA74" s="95" t="str">
        <f t="shared" si="8"/>
        <v/>
      </c>
      <c r="AB74" s="95" t="str">
        <f t="shared" si="9"/>
        <v/>
      </c>
      <c r="AC74" s="95" t="str">
        <f>IFERROR(AJ74*
(Assumptions!$S$7*(AB74/P74)^3+
Assumptions!$S$8*(AB74/P74)^2+
Assumptions!$S$9*(AB74/P74)+
Assumptions!$S$10),
"")</f>
        <v/>
      </c>
      <c r="AD74" s="96" t="str">
        <f>IFERROR(Z74*AA74*Assumptions!$B$15/3956,"")</f>
        <v/>
      </c>
      <c r="AE74" s="102" t="str">
        <f t="shared" si="10"/>
        <v/>
      </c>
      <c r="AF74" s="95" t="str">
        <f t="shared" si="11"/>
        <v/>
      </c>
      <c r="AG74" s="95" t="str">
        <f t="shared" si="12"/>
        <v/>
      </c>
      <c r="AH74" s="95" t="str">
        <f>IFERROR(AJ74*
(Assumptions!$S$7*(AG74/P74)^3+
Assumptions!$S$8*(AG74/P74)^2+
Assumptions!$S$9*(AG74/P74)+
Assumptions!$S$10),
"")</f>
        <v/>
      </c>
      <c r="AI74" s="96" t="str">
        <f>IFERROR(AE74*AF74*Assumptions!$B$15/3956,"")</f>
        <v/>
      </c>
      <c r="AJ74" s="247" t="str">
        <f t="shared" ref="AJ74:AJ107" si="20">IFERROR(P74/Q74*100-P74,"")</f>
        <v/>
      </c>
      <c r="AK74" s="99" t="str">
        <f>IFERROR(
IF(C74="VTS",
IF(P74&gt;=AVERAGE(
INDEX(Assumptions!$I$38:$I$57,MATCH(P74,Assumptions!$I$38:$I$57,-1)),
INDEX(Assumptions!$I$38:$I$57,MATCH(P74,Assumptions!$I$38:$I$57,-1)+1)),
INDEX(Assumptions!$I$38:$I$57,MATCH(P74,Assumptions!$I$38:$I$57,-1)),
INDEX(Assumptions!$I$38:$I$57,MATCH(P74,Assumptions!$I$38:$I$57,-1)+1)),
IF(P74&gt;=AVERAGE(
INDEX(Assumptions!$I$13:$I$32,MATCH(P74,Assumptions!$I$13:$I$32,-1)),
INDEX(Assumptions!$I$13:$I$32,MATCH(P74,Assumptions!$I$13:$I$32,-1)+1)),
INDEX(Assumptions!$I$13:$I$32,MATCH(P74,Assumptions!$I$13:$I$32,-1)),
INDEX(Assumptions!$I$13:$I$32,MATCH(P74,Assumptions!$I$13:$I$32,-1)+1))),
"")</f>
        <v/>
      </c>
      <c r="AL74" s="95" t="str">
        <f>IFERROR(
IF(C74="VTS",
VLOOKUP(AK74,Assumptions!$I$38:$K$57,MATCH(R74,Assumptions!$I$37:$K$37,0),FALSE),
VLOOKUP(AK74,Assumptions!$I$13:$K$32,MATCH(R74,Assumptions!$I$12:$K$12,0),FALSE)),
"")</f>
        <v/>
      </c>
      <c r="AM74" s="95" t="str">
        <f t="shared" si="14"/>
        <v/>
      </c>
      <c r="AN74" s="95" t="str">
        <f>IFERROR(AM74*
(Assumptions!$S$7*(Y74/(AQ74*Assumptions!$AB$9/100)/P74)^3+
Assumptions!$S$8*(Y74/(AQ74*Assumptions!$AB$9/100)/P74)^2+
Assumptions!$S$9*(Y74/(AQ74*Assumptions!$AB$9/100)/P74)+
Assumptions!$S$10),"")</f>
        <v/>
      </c>
      <c r="AO74" s="95" t="str">
        <f>IFERROR(AM74*
(Assumptions!$S$7*(AD74/(AQ74*Assumptions!$AB$8/100)/P74)^3+
Assumptions!$S$8*(AD74/(AQ74*Assumptions!$AB$8/100)/P74)^2+
Assumptions!$S$9*(AD74/(AQ74*Assumptions!$AB$8/100)/P74)+
Assumptions!$S$10),"")</f>
        <v/>
      </c>
      <c r="AP74" s="95" t="str">
        <f>IFERROR(AM74*
(Assumptions!$S$7*(AI74/(AQ74*Assumptions!$AB$10/100)/P74)^3+
Assumptions!$S$8*(AI74/(AQ74*Assumptions!$AB$10/100)/P74)^2+
Assumptions!$S$9*(AI74/(AQ74*Assumptions!$AB$10/100)/P74)+
Assumptions!$S$10),"")</f>
        <v/>
      </c>
      <c r="AQ74" s="95" t="str">
        <f>IFERROR(
Assumptions!$AD$8*LN(U74)^2+
Assumptions!$AE$8*LN(T74)*LN(U74)+
Assumptions!$AF$8*LN(T74)^2+
Assumptions!$AG$8*LN(U74)+
Assumptions!$AH$8*LN(T74)-
(IF(S74=1800,
VLOOKUP(C74,Assumptions!$AA$13:$AC$17,3),
IF(S74=3600,
VLOOKUP(C74,Assumptions!$AA$18:$AC$22,3),
""))+Assumptions!$AI$8),
"")</f>
        <v/>
      </c>
      <c r="AR74" s="96" t="str">
        <f>IFERROR(
Assumptions!$D$11*(Y74/(Assumptions!$AB$9*AQ74/100)+AN74)+
Assumptions!$D$10*(AD74/(Assumptions!$AB$8*AQ74/100)+AO74)+
Assumptions!$D$12*(AI74/(Assumptions!$AB$10*AQ74/100)+AP74),
"")</f>
        <v/>
      </c>
      <c r="AS74" s="76" t="str">
        <f>IFERROR(
(W74+X74)*Assumptions!$D$11+
(AB74+AC74)*Assumptions!$D$10+
(AG74+AH74)*Assumptions!$D$12,
"")</f>
        <v/>
      </c>
      <c r="AT74" s="77" t="str">
        <f t="shared" si="15"/>
        <v/>
      </c>
      <c r="AU74" s="68" t="str">
        <f t="shared" si="18"/>
        <v/>
      </c>
    </row>
    <row r="75" spans="1:47" s="7" customFormat="1" x14ac:dyDescent="0.25">
      <c r="A75" s="264"/>
      <c r="B75" s="265"/>
      <c r="C75" s="265"/>
      <c r="D75" s="265"/>
      <c r="E75" s="266"/>
      <c r="F75" s="270"/>
      <c r="G75" s="271"/>
      <c r="H75" s="271"/>
      <c r="I75" s="272"/>
      <c r="J75" s="270"/>
      <c r="K75" s="271"/>
      <c r="L75" s="272"/>
      <c r="M75" s="270"/>
      <c r="N75" s="271"/>
      <c r="O75" s="272"/>
      <c r="P75" s="290"/>
      <c r="Q75" s="291"/>
      <c r="R75" s="51" t="str">
        <f t="shared" si="19"/>
        <v/>
      </c>
      <c r="S75" s="84" t="str">
        <f t="shared" ref="S75:S107" si="21">IF(R75=4,1800,IF(R75=2,3600,""))</f>
        <v/>
      </c>
      <c r="T75" s="93" t="str">
        <f t="shared" ref="T75:T107" si="22">IFERROR(S75*U75^0.5/(V75/D75)^0.75,"")</f>
        <v/>
      </c>
      <c r="U75" s="100" t="str">
        <f t="shared" ref="U75:U107" si="23">IFERROR(F75*(S75/E75),"")</f>
        <v/>
      </c>
      <c r="V75" s="95" t="str">
        <f t="shared" ref="V75:V107" si="24">IFERROR(G75*(S75/E75)^2,"")</f>
        <v/>
      </c>
      <c r="W75" s="95" t="str">
        <f t="shared" ref="W75:W107" si="25">IFERROR(I75*(S75/E75)^3,"")</f>
        <v/>
      </c>
      <c r="X75" s="95" t="str">
        <f>IFERROR(AJ75*
(Assumptions!$S$7*(W75/P75)^3+
Assumptions!$S$8*(W75/P75)^2+
Assumptions!$S$9*(W75/P75)+
Assumptions!$S$10),
"")</f>
        <v/>
      </c>
      <c r="Y75" s="96" t="str">
        <f>IFERROR(U75*V75*Assumptions!$B$15/3956,"")</f>
        <v/>
      </c>
      <c r="Z75" s="102" t="str">
        <f t="shared" ref="Z75:Z107" si="26">IFERROR(J75*(S75/E75),"")</f>
        <v/>
      </c>
      <c r="AA75" s="95" t="str">
        <f t="shared" ref="AA75:AA107" si="27">IFERROR(K75*(S75/E75)^2,"")</f>
        <v/>
      </c>
      <c r="AB75" s="95" t="str">
        <f t="shared" ref="AB75:AB107" si="28">IFERROR(L75*(S75/E75)^3,"")</f>
        <v/>
      </c>
      <c r="AC75" s="95" t="str">
        <f>IFERROR(AJ75*
(Assumptions!$S$7*(AB75/P75)^3+
Assumptions!$S$8*(AB75/P75)^2+
Assumptions!$S$9*(AB75/P75)+
Assumptions!$S$10),
"")</f>
        <v/>
      </c>
      <c r="AD75" s="96" t="str">
        <f>IFERROR(Z75*AA75*Assumptions!$B$15/3956,"")</f>
        <v/>
      </c>
      <c r="AE75" s="102" t="str">
        <f t="shared" ref="AE75:AE107" si="29">IFERROR(M75*(S75/E75),"")</f>
        <v/>
      </c>
      <c r="AF75" s="95" t="str">
        <f t="shared" ref="AF75:AF107" si="30">IFERROR(N75*(S75/E75)^2,"")</f>
        <v/>
      </c>
      <c r="AG75" s="95" t="str">
        <f t="shared" ref="AG75:AG107" si="31">IFERROR(O75*(S75/E75)^3,"")</f>
        <v/>
      </c>
      <c r="AH75" s="95" t="str">
        <f>IFERROR(AJ75*
(Assumptions!$S$7*(AG75/P75)^3+
Assumptions!$S$8*(AG75/P75)^2+
Assumptions!$S$9*(AG75/P75)+
Assumptions!$S$10),
"")</f>
        <v/>
      </c>
      <c r="AI75" s="96" t="str">
        <f>IFERROR(AE75*AF75*Assumptions!$B$15/3956,"")</f>
        <v/>
      </c>
      <c r="AJ75" s="247" t="str">
        <f t="shared" si="20"/>
        <v/>
      </c>
      <c r="AK75" s="99" t="str">
        <f>IFERROR(
IF(C75="VTS",
IF(P75&gt;=AVERAGE(
INDEX(Assumptions!$I$38:$I$57,MATCH(P75,Assumptions!$I$38:$I$57,-1)),
INDEX(Assumptions!$I$38:$I$57,MATCH(P75,Assumptions!$I$38:$I$57,-1)+1)),
INDEX(Assumptions!$I$38:$I$57,MATCH(P75,Assumptions!$I$38:$I$57,-1)),
INDEX(Assumptions!$I$38:$I$57,MATCH(P75,Assumptions!$I$38:$I$57,-1)+1)),
IF(P75&gt;=AVERAGE(
INDEX(Assumptions!$I$13:$I$32,MATCH(P75,Assumptions!$I$13:$I$32,-1)),
INDEX(Assumptions!$I$13:$I$32,MATCH(P75,Assumptions!$I$13:$I$32,-1)+1)),
INDEX(Assumptions!$I$13:$I$32,MATCH(P75,Assumptions!$I$13:$I$32,-1)),
INDEX(Assumptions!$I$13:$I$32,MATCH(P75,Assumptions!$I$13:$I$32,-1)+1))),
"")</f>
        <v/>
      </c>
      <c r="AL75" s="95" t="str">
        <f>IFERROR(
IF(C75="VTS",
VLOOKUP(AK75,Assumptions!$I$38:$K$57,MATCH(R75,Assumptions!$I$37:$K$37,0),FALSE),
VLOOKUP(AK75,Assumptions!$I$13:$K$32,MATCH(R75,Assumptions!$I$12:$K$12,0),FALSE)),
"")</f>
        <v/>
      </c>
      <c r="AM75" s="95" t="str">
        <f t="shared" ref="AM75:AM107" si="32">IFERROR(P75/(AL75/100)-P75,"")</f>
        <v/>
      </c>
      <c r="AN75" s="95" t="str">
        <f>IFERROR(AM75*
(Assumptions!$S$7*(Y75/(AQ75*Assumptions!$AB$9/100)/P75)^3+
Assumptions!$S$8*(Y75/(AQ75*Assumptions!$AB$9/100)/P75)^2+
Assumptions!$S$9*(Y75/(AQ75*Assumptions!$AB$9/100)/P75)+
Assumptions!$S$10),"")</f>
        <v/>
      </c>
      <c r="AO75" s="95" t="str">
        <f>IFERROR(AM75*
(Assumptions!$S$7*(AD75/(AQ75*Assumptions!$AB$8/100)/P75)^3+
Assumptions!$S$8*(AD75/(AQ75*Assumptions!$AB$8/100)/P75)^2+
Assumptions!$S$9*(AD75/(AQ75*Assumptions!$AB$8/100)/P75)+
Assumptions!$S$10),"")</f>
        <v/>
      </c>
      <c r="AP75" s="95" t="str">
        <f>IFERROR(AM75*
(Assumptions!$S$7*(AI75/(AQ75*Assumptions!$AB$10/100)/P75)^3+
Assumptions!$S$8*(AI75/(AQ75*Assumptions!$AB$10/100)/P75)^2+
Assumptions!$S$9*(AI75/(AQ75*Assumptions!$AB$10/100)/P75)+
Assumptions!$S$10),"")</f>
        <v/>
      </c>
      <c r="AQ75" s="95" t="str">
        <f>IFERROR(
Assumptions!$AD$8*LN(U75)^2+
Assumptions!$AE$8*LN(T75)*LN(U75)+
Assumptions!$AF$8*LN(T75)^2+
Assumptions!$AG$8*LN(U75)+
Assumptions!$AH$8*LN(T75)-
(IF(S75=1800,
VLOOKUP(C75,Assumptions!$AA$13:$AC$17,3),
IF(S75=3600,
VLOOKUP(C75,Assumptions!$AA$18:$AC$22,3),
""))+Assumptions!$AI$8),
"")</f>
        <v/>
      </c>
      <c r="AR75" s="96" t="str">
        <f>IFERROR(
Assumptions!$D$11*(Y75/(Assumptions!$AB$9*AQ75/100)+AN75)+
Assumptions!$D$10*(AD75/(Assumptions!$AB$8*AQ75/100)+AO75)+
Assumptions!$D$12*(AI75/(Assumptions!$AB$10*AQ75/100)+AP75),
"")</f>
        <v/>
      </c>
      <c r="AS75" s="76" t="str">
        <f>IFERROR(
(W75+X75)*Assumptions!$D$11+
(AB75+AC75)*Assumptions!$D$10+
(AG75+AH75)*Assumptions!$D$12,
"")</f>
        <v/>
      </c>
      <c r="AT75" s="77" t="str">
        <f t="shared" ref="AT75:AT107" si="33">IFERROR(AS75/AR75,"")</f>
        <v/>
      </c>
      <c r="AU75" s="68" t="str">
        <f t="shared" si="18"/>
        <v/>
      </c>
    </row>
    <row r="76" spans="1:47" s="7" customFormat="1" x14ac:dyDescent="0.25">
      <c r="A76" s="264"/>
      <c r="B76" s="265"/>
      <c r="C76" s="265"/>
      <c r="D76" s="265"/>
      <c r="E76" s="266"/>
      <c r="F76" s="270"/>
      <c r="G76" s="271"/>
      <c r="H76" s="271"/>
      <c r="I76" s="272"/>
      <c r="J76" s="270"/>
      <c r="K76" s="271"/>
      <c r="L76" s="272"/>
      <c r="M76" s="270"/>
      <c r="N76" s="271"/>
      <c r="O76" s="272"/>
      <c r="P76" s="290"/>
      <c r="Q76" s="291"/>
      <c r="R76" s="51" t="str">
        <f t="shared" si="19"/>
        <v/>
      </c>
      <c r="S76" s="84" t="str">
        <f t="shared" si="21"/>
        <v/>
      </c>
      <c r="T76" s="93" t="str">
        <f t="shared" si="22"/>
        <v/>
      </c>
      <c r="U76" s="100" t="str">
        <f t="shared" si="23"/>
        <v/>
      </c>
      <c r="V76" s="95" t="str">
        <f t="shared" si="24"/>
        <v/>
      </c>
      <c r="W76" s="95" t="str">
        <f t="shared" si="25"/>
        <v/>
      </c>
      <c r="X76" s="95" t="str">
        <f>IFERROR(AJ76*
(Assumptions!$S$7*(W76/P76)^3+
Assumptions!$S$8*(W76/P76)^2+
Assumptions!$S$9*(W76/P76)+
Assumptions!$S$10),
"")</f>
        <v/>
      </c>
      <c r="Y76" s="96" t="str">
        <f>IFERROR(U76*V76*Assumptions!$B$15/3956,"")</f>
        <v/>
      </c>
      <c r="Z76" s="102" t="str">
        <f t="shared" si="26"/>
        <v/>
      </c>
      <c r="AA76" s="95" t="str">
        <f t="shared" si="27"/>
        <v/>
      </c>
      <c r="AB76" s="95" t="str">
        <f t="shared" si="28"/>
        <v/>
      </c>
      <c r="AC76" s="95" t="str">
        <f>IFERROR(AJ76*
(Assumptions!$S$7*(AB76/P76)^3+
Assumptions!$S$8*(AB76/P76)^2+
Assumptions!$S$9*(AB76/P76)+
Assumptions!$S$10),
"")</f>
        <v/>
      </c>
      <c r="AD76" s="96" t="str">
        <f>IFERROR(Z76*AA76*Assumptions!$B$15/3956,"")</f>
        <v/>
      </c>
      <c r="AE76" s="102" t="str">
        <f t="shared" si="29"/>
        <v/>
      </c>
      <c r="AF76" s="95" t="str">
        <f t="shared" si="30"/>
        <v/>
      </c>
      <c r="AG76" s="95" t="str">
        <f t="shared" si="31"/>
        <v/>
      </c>
      <c r="AH76" s="95" t="str">
        <f>IFERROR(AJ76*
(Assumptions!$S$7*(AG76/P76)^3+
Assumptions!$S$8*(AG76/P76)^2+
Assumptions!$S$9*(AG76/P76)+
Assumptions!$S$10),
"")</f>
        <v/>
      </c>
      <c r="AI76" s="96" t="str">
        <f>IFERROR(AE76*AF76*Assumptions!$B$15/3956,"")</f>
        <v/>
      </c>
      <c r="AJ76" s="247" t="str">
        <f t="shared" si="20"/>
        <v/>
      </c>
      <c r="AK76" s="99" t="str">
        <f>IFERROR(
IF(C76="VTS",
IF(P76&gt;=AVERAGE(
INDEX(Assumptions!$I$38:$I$57,MATCH(P76,Assumptions!$I$38:$I$57,-1)),
INDEX(Assumptions!$I$38:$I$57,MATCH(P76,Assumptions!$I$38:$I$57,-1)+1)),
INDEX(Assumptions!$I$38:$I$57,MATCH(P76,Assumptions!$I$38:$I$57,-1)),
INDEX(Assumptions!$I$38:$I$57,MATCH(P76,Assumptions!$I$38:$I$57,-1)+1)),
IF(P76&gt;=AVERAGE(
INDEX(Assumptions!$I$13:$I$32,MATCH(P76,Assumptions!$I$13:$I$32,-1)),
INDEX(Assumptions!$I$13:$I$32,MATCH(P76,Assumptions!$I$13:$I$32,-1)+1)),
INDEX(Assumptions!$I$13:$I$32,MATCH(P76,Assumptions!$I$13:$I$32,-1)),
INDEX(Assumptions!$I$13:$I$32,MATCH(P76,Assumptions!$I$13:$I$32,-1)+1))),
"")</f>
        <v/>
      </c>
      <c r="AL76" s="95" t="str">
        <f>IFERROR(
IF(C76="VTS",
VLOOKUP(AK76,Assumptions!$I$38:$K$57,MATCH(R76,Assumptions!$I$37:$K$37,0),FALSE),
VLOOKUP(AK76,Assumptions!$I$13:$K$32,MATCH(R76,Assumptions!$I$12:$K$12,0),FALSE)),
"")</f>
        <v/>
      </c>
      <c r="AM76" s="95" t="str">
        <f t="shared" si="32"/>
        <v/>
      </c>
      <c r="AN76" s="95" t="str">
        <f>IFERROR(AM76*
(Assumptions!$S$7*(Y76/(AQ76*Assumptions!$AB$9/100)/P76)^3+
Assumptions!$S$8*(Y76/(AQ76*Assumptions!$AB$9/100)/P76)^2+
Assumptions!$S$9*(Y76/(AQ76*Assumptions!$AB$9/100)/P76)+
Assumptions!$S$10),"")</f>
        <v/>
      </c>
      <c r="AO76" s="95" t="str">
        <f>IFERROR(AM76*
(Assumptions!$S$7*(AD76/(AQ76*Assumptions!$AB$8/100)/P76)^3+
Assumptions!$S$8*(AD76/(AQ76*Assumptions!$AB$8/100)/P76)^2+
Assumptions!$S$9*(AD76/(AQ76*Assumptions!$AB$8/100)/P76)+
Assumptions!$S$10),"")</f>
        <v/>
      </c>
      <c r="AP76" s="95" t="str">
        <f>IFERROR(AM76*
(Assumptions!$S$7*(AI76/(AQ76*Assumptions!$AB$10/100)/P76)^3+
Assumptions!$S$8*(AI76/(AQ76*Assumptions!$AB$10/100)/P76)^2+
Assumptions!$S$9*(AI76/(AQ76*Assumptions!$AB$10/100)/P76)+
Assumptions!$S$10),"")</f>
        <v/>
      </c>
      <c r="AQ76" s="95" t="str">
        <f>IFERROR(
Assumptions!$AD$8*LN(U76)^2+
Assumptions!$AE$8*LN(T76)*LN(U76)+
Assumptions!$AF$8*LN(T76)^2+
Assumptions!$AG$8*LN(U76)+
Assumptions!$AH$8*LN(T76)-
(IF(S76=1800,
VLOOKUP(C76,Assumptions!$AA$13:$AC$17,3),
IF(S76=3600,
VLOOKUP(C76,Assumptions!$AA$18:$AC$22,3),
""))+Assumptions!$AI$8),
"")</f>
        <v/>
      </c>
      <c r="AR76" s="96" t="str">
        <f>IFERROR(
Assumptions!$D$11*(Y76/(Assumptions!$AB$9*AQ76/100)+AN76)+
Assumptions!$D$10*(AD76/(Assumptions!$AB$8*AQ76/100)+AO76)+
Assumptions!$D$12*(AI76/(Assumptions!$AB$10*AQ76/100)+AP76),
"")</f>
        <v/>
      </c>
      <c r="AS76" s="76" t="str">
        <f>IFERROR(
(W76+X76)*Assumptions!$D$11+
(AB76+AC76)*Assumptions!$D$10+
(AG76+AH76)*Assumptions!$D$12,
"")</f>
        <v/>
      </c>
      <c r="AT76" s="77" t="str">
        <f t="shared" si="33"/>
        <v/>
      </c>
      <c r="AU76" s="68" t="str">
        <f t="shared" si="18"/>
        <v/>
      </c>
    </row>
    <row r="77" spans="1:47" s="7" customFormat="1" x14ac:dyDescent="0.25">
      <c r="A77" s="264"/>
      <c r="B77" s="265"/>
      <c r="C77" s="265"/>
      <c r="D77" s="265"/>
      <c r="E77" s="266"/>
      <c r="F77" s="270"/>
      <c r="G77" s="271"/>
      <c r="H77" s="271"/>
      <c r="I77" s="272"/>
      <c r="J77" s="270"/>
      <c r="K77" s="271"/>
      <c r="L77" s="272"/>
      <c r="M77" s="270"/>
      <c r="N77" s="271"/>
      <c r="O77" s="272"/>
      <c r="P77" s="290"/>
      <c r="Q77" s="291"/>
      <c r="R77" s="51" t="str">
        <f t="shared" si="19"/>
        <v/>
      </c>
      <c r="S77" s="84" t="str">
        <f t="shared" si="21"/>
        <v/>
      </c>
      <c r="T77" s="93" t="str">
        <f t="shared" si="22"/>
        <v/>
      </c>
      <c r="U77" s="100" t="str">
        <f t="shared" si="23"/>
        <v/>
      </c>
      <c r="V77" s="95" t="str">
        <f t="shared" si="24"/>
        <v/>
      </c>
      <c r="W77" s="95" t="str">
        <f t="shared" si="25"/>
        <v/>
      </c>
      <c r="X77" s="95" t="str">
        <f>IFERROR(AJ77*
(Assumptions!$S$7*(W77/P77)^3+
Assumptions!$S$8*(W77/P77)^2+
Assumptions!$S$9*(W77/P77)+
Assumptions!$S$10),
"")</f>
        <v/>
      </c>
      <c r="Y77" s="96" t="str">
        <f>IFERROR(U77*V77*Assumptions!$B$15/3956,"")</f>
        <v/>
      </c>
      <c r="Z77" s="102" t="str">
        <f t="shared" si="26"/>
        <v/>
      </c>
      <c r="AA77" s="95" t="str">
        <f t="shared" si="27"/>
        <v/>
      </c>
      <c r="AB77" s="95" t="str">
        <f t="shared" si="28"/>
        <v/>
      </c>
      <c r="AC77" s="95" t="str">
        <f>IFERROR(AJ77*
(Assumptions!$S$7*(AB77/P77)^3+
Assumptions!$S$8*(AB77/P77)^2+
Assumptions!$S$9*(AB77/P77)+
Assumptions!$S$10),
"")</f>
        <v/>
      </c>
      <c r="AD77" s="96" t="str">
        <f>IFERROR(Z77*AA77*Assumptions!$B$15/3956,"")</f>
        <v/>
      </c>
      <c r="AE77" s="102" t="str">
        <f t="shared" si="29"/>
        <v/>
      </c>
      <c r="AF77" s="95" t="str">
        <f t="shared" si="30"/>
        <v/>
      </c>
      <c r="AG77" s="95" t="str">
        <f t="shared" si="31"/>
        <v/>
      </c>
      <c r="AH77" s="95" t="str">
        <f>IFERROR(AJ77*
(Assumptions!$S$7*(AG77/P77)^3+
Assumptions!$S$8*(AG77/P77)^2+
Assumptions!$S$9*(AG77/P77)+
Assumptions!$S$10),
"")</f>
        <v/>
      </c>
      <c r="AI77" s="96" t="str">
        <f>IFERROR(AE77*AF77*Assumptions!$B$15/3956,"")</f>
        <v/>
      </c>
      <c r="AJ77" s="247" t="str">
        <f t="shared" si="20"/>
        <v/>
      </c>
      <c r="AK77" s="99" t="str">
        <f>IFERROR(
IF(C77="VTS",
IF(P77&gt;=AVERAGE(
INDEX(Assumptions!$I$38:$I$57,MATCH(P77,Assumptions!$I$38:$I$57,-1)),
INDEX(Assumptions!$I$38:$I$57,MATCH(P77,Assumptions!$I$38:$I$57,-1)+1)),
INDEX(Assumptions!$I$38:$I$57,MATCH(P77,Assumptions!$I$38:$I$57,-1)),
INDEX(Assumptions!$I$38:$I$57,MATCH(P77,Assumptions!$I$38:$I$57,-1)+1)),
IF(P77&gt;=AVERAGE(
INDEX(Assumptions!$I$13:$I$32,MATCH(P77,Assumptions!$I$13:$I$32,-1)),
INDEX(Assumptions!$I$13:$I$32,MATCH(P77,Assumptions!$I$13:$I$32,-1)+1)),
INDEX(Assumptions!$I$13:$I$32,MATCH(P77,Assumptions!$I$13:$I$32,-1)),
INDEX(Assumptions!$I$13:$I$32,MATCH(P77,Assumptions!$I$13:$I$32,-1)+1))),
"")</f>
        <v/>
      </c>
      <c r="AL77" s="95" t="str">
        <f>IFERROR(
IF(C77="VTS",
VLOOKUP(AK77,Assumptions!$I$38:$K$57,MATCH(R77,Assumptions!$I$37:$K$37,0),FALSE),
VLOOKUP(AK77,Assumptions!$I$13:$K$32,MATCH(R77,Assumptions!$I$12:$K$12,0),FALSE)),
"")</f>
        <v/>
      </c>
      <c r="AM77" s="95" t="str">
        <f t="shared" si="32"/>
        <v/>
      </c>
      <c r="AN77" s="95" t="str">
        <f>IFERROR(AM77*
(Assumptions!$S$7*(Y77/(AQ77*Assumptions!$AB$9/100)/P77)^3+
Assumptions!$S$8*(Y77/(AQ77*Assumptions!$AB$9/100)/P77)^2+
Assumptions!$S$9*(Y77/(AQ77*Assumptions!$AB$9/100)/P77)+
Assumptions!$S$10),"")</f>
        <v/>
      </c>
      <c r="AO77" s="95" t="str">
        <f>IFERROR(AM77*
(Assumptions!$S$7*(AD77/(AQ77*Assumptions!$AB$8/100)/P77)^3+
Assumptions!$S$8*(AD77/(AQ77*Assumptions!$AB$8/100)/P77)^2+
Assumptions!$S$9*(AD77/(AQ77*Assumptions!$AB$8/100)/P77)+
Assumptions!$S$10),"")</f>
        <v/>
      </c>
      <c r="AP77" s="95" t="str">
        <f>IFERROR(AM77*
(Assumptions!$S$7*(AI77/(AQ77*Assumptions!$AB$10/100)/P77)^3+
Assumptions!$S$8*(AI77/(AQ77*Assumptions!$AB$10/100)/P77)^2+
Assumptions!$S$9*(AI77/(AQ77*Assumptions!$AB$10/100)/P77)+
Assumptions!$S$10),"")</f>
        <v/>
      </c>
      <c r="AQ77" s="95" t="str">
        <f>IFERROR(
Assumptions!$AD$8*LN(U77)^2+
Assumptions!$AE$8*LN(T77)*LN(U77)+
Assumptions!$AF$8*LN(T77)^2+
Assumptions!$AG$8*LN(U77)+
Assumptions!$AH$8*LN(T77)-
(IF(S77=1800,
VLOOKUP(C77,Assumptions!$AA$13:$AC$17,3),
IF(S77=3600,
VLOOKUP(C77,Assumptions!$AA$18:$AC$22,3),
""))+Assumptions!$AI$8),
"")</f>
        <v/>
      </c>
      <c r="AR77" s="96" t="str">
        <f>IFERROR(
Assumptions!$D$11*(Y77/(Assumptions!$AB$9*AQ77/100)+AN77)+
Assumptions!$D$10*(AD77/(Assumptions!$AB$8*AQ77/100)+AO77)+
Assumptions!$D$12*(AI77/(Assumptions!$AB$10*AQ77/100)+AP77),
"")</f>
        <v/>
      </c>
      <c r="AS77" s="76" t="str">
        <f>IFERROR(
(W77+X77)*Assumptions!$D$11+
(AB77+AC77)*Assumptions!$D$10+
(AG77+AH77)*Assumptions!$D$12,
"")</f>
        <v/>
      </c>
      <c r="AT77" s="77" t="str">
        <f t="shared" si="33"/>
        <v/>
      </c>
      <c r="AU77" s="68" t="str">
        <f t="shared" si="18"/>
        <v/>
      </c>
    </row>
    <row r="78" spans="1:47" s="7" customFormat="1" x14ac:dyDescent="0.25">
      <c r="A78" s="264"/>
      <c r="B78" s="265"/>
      <c r="C78" s="265"/>
      <c r="D78" s="265"/>
      <c r="E78" s="266"/>
      <c r="F78" s="270"/>
      <c r="G78" s="271"/>
      <c r="H78" s="271"/>
      <c r="I78" s="272"/>
      <c r="J78" s="270"/>
      <c r="K78" s="271"/>
      <c r="L78" s="272"/>
      <c r="M78" s="270"/>
      <c r="N78" s="271"/>
      <c r="O78" s="272"/>
      <c r="P78" s="290"/>
      <c r="Q78" s="291"/>
      <c r="R78" s="51" t="str">
        <f t="shared" si="19"/>
        <v/>
      </c>
      <c r="S78" s="84" t="str">
        <f t="shared" si="21"/>
        <v/>
      </c>
      <c r="T78" s="93" t="str">
        <f t="shared" si="22"/>
        <v/>
      </c>
      <c r="U78" s="100" t="str">
        <f t="shared" si="23"/>
        <v/>
      </c>
      <c r="V78" s="95" t="str">
        <f t="shared" si="24"/>
        <v/>
      </c>
      <c r="W78" s="95" t="str">
        <f t="shared" si="25"/>
        <v/>
      </c>
      <c r="X78" s="95" t="str">
        <f>IFERROR(AJ78*
(Assumptions!$S$7*(W78/P78)^3+
Assumptions!$S$8*(W78/P78)^2+
Assumptions!$S$9*(W78/P78)+
Assumptions!$S$10),
"")</f>
        <v/>
      </c>
      <c r="Y78" s="96" t="str">
        <f>IFERROR(U78*V78*Assumptions!$B$15/3956,"")</f>
        <v/>
      </c>
      <c r="Z78" s="102" t="str">
        <f t="shared" si="26"/>
        <v/>
      </c>
      <c r="AA78" s="95" t="str">
        <f t="shared" si="27"/>
        <v/>
      </c>
      <c r="AB78" s="95" t="str">
        <f t="shared" si="28"/>
        <v/>
      </c>
      <c r="AC78" s="95" t="str">
        <f>IFERROR(AJ78*
(Assumptions!$S$7*(AB78/P78)^3+
Assumptions!$S$8*(AB78/P78)^2+
Assumptions!$S$9*(AB78/P78)+
Assumptions!$S$10),
"")</f>
        <v/>
      </c>
      <c r="AD78" s="96" t="str">
        <f>IFERROR(Z78*AA78*Assumptions!$B$15/3956,"")</f>
        <v/>
      </c>
      <c r="AE78" s="102" t="str">
        <f t="shared" si="29"/>
        <v/>
      </c>
      <c r="AF78" s="95" t="str">
        <f t="shared" si="30"/>
        <v/>
      </c>
      <c r="AG78" s="95" t="str">
        <f t="shared" si="31"/>
        <v/>
      </c>
      <c r="AH78" s="95" t="str">
        <f>IFERROR(AJ78*
(Assumptions!$S$7*(AG78/P78)^3+
Assumptions!$S$8*(AG78/P78)^2+
Assumptions!$S$9*(AG78/P78)+
Assumptions!$S$10),
"")</f>
        <v/>
      </c>
      <c r="AI78" s="96" t="str">
        <f>IFERROR(AE78*AF78*Assumptions!$B$15/3956,"")</f>
        <v/>
      </c>
      <c r="AJ78" s="247" t="str">
        <f t="shared" si="20"/>
        <v/>
      </c>
      <c r="AK78" s="99" t="str">
        <f>IFERROR(
IF(C78="VTS",
IF(P78&gt;=AVERAGE(
INDEX(Assumptions!$I$38:$I$57,MATCH(P78,Assumptions!$I$38:$I$57,-1)),
INDEX(Assumptions!$I$38:$I$57,MATCH(P78,Assumptions!$I$38:$I$57,-1)+1)),
INDEX(Assumptions!$I$38:$I$57,MATCH(P78,Assumptions!$I$38:$I$57,-1)),
INDEX(Assumptions!$I$38:$I$57,MATCH(P78,Assumptions!$I$38:$I$57,-1)+1)),
IF(P78&gt;=AVERAGE(
INDEX(Assumptions!$I$13:$I$32,MATCH(P78,Assumptions!$I$13:$I$32,-1)),
INDEX(Assumptions!$I$13:$I$32,MATCH(P78,Assumptions!$I$13:$I$32,-1)+1)),
INDEX(Assumptions!$I$13:$I$32,MATCH(P78,Assumptions!$I$13:$I$32,-1)),
INDEX(Assumptions!$I$13:$I$32,MATCH(P78,Assumptions!$I$13:$I$32,-1)+1))),
"")</f>
        <v/>
      </c>
      <c r="AL78" s="95" t="str">
        <f>IFERROR(
IF(C78="VTS",
VLOOKUP(AK78,Assumptions!$I$38:$K$57,MATCH(R78,Assumptions!$I$37:$K$37,0),FALSE),
VLOOKUP(AK78,Assumptions!$I$13:$K$32,MATCH(R78,Assumptions!$I$12:$K$12,0),FALSE)),
"")</f>
        <v/>
      </c>
      <c r="AM78" s="95" t="str">
        <f t="shared" si="32"/>
        <v/>
      </c>
      <c r="AN78" s="95" t="str">
        <f>IFERROR(AM78*
(Assumptions!$S$7*(Y78/(AQ78*Assumptions!$AB$9/100)/P78)^3+
Assumptions!$S$8*(Y78/(AQ78*Assumptions!$AB$9/100)/P78)^2+
Assumptions!$S$9*(Y78/(AQ78*Assumptions!$AB$9/100)/P78)+
Assumptions!$S$10),"")</f>
        <v/>
      </c>
      <c r="AO78" s="95" t="str">
        <f>IFERROR(AM78*
(Assumptions!$S$7*(AD78/(AQ78*Assumptions!$AB$8/100)/P78)^3+
Assumptions!$S$8*(AD78/(AQ78*Assumptions!$AB$8/100)/P78)^2+
Assumptions!$S$9*(AD78/(AQ78*Assumptions!$AB$8/100)/P78)+
Assumptions!$S$10),"")</f>
        <v/>
      </c>
      <c r="AP78" s="95" t="str">
        <f>IFERROR(AM78*
(Assumptions!$S$7*(AI78/(AQ78*Assumptions!$AB$10/100)/P78)^3+
Assumptions!$S$8*(AI78/(AQ78*Assumptions!$AB$10/100)/P78)^2+
Assumptions!$S$9*(AI78/(AQ78*Assumptions!$AB$10/100)/P78)+
Assumptions!$S$10),"")</f>
        <v/>
      </c>
      <c r="AQ78" s="95" t="str">
        <f>IFERROR(
Assumptions!$AD$8*LN(U78)^2+
Assumptions!$AE$8*LN(T78)*LN(U78)+
Assumptions!$AF$8*LN(T78)^2+
Assumptions!$AG$8*LN(U78)+
Assumptions!$AH$8*LN(T78)-
(IF(S78=1800,
VLOOKUP(C78,Assumptions!$AA$13:$AC$17,3),
IF(S78=3600,
VLOOKUP(C78,Assumptions!$AA$18:$AC$22,3),
""))+Assumptions!$AI$8),
"")</f>
        <v/>
      </c>
      <c r="AR78" s="96" t="str">
        <f>IFERROR(
Assumptions!$D$11*(Y78/(Assumptions!$AB$9*AQ78/100)+AN78)+
Assumptions!$D$10*(AD78/(Assumptions!$AB$8*AQ78/100)+AO78)+
Assumptions!$D$12*(AI78/(Assumptions!$AB$10*AQ78/100)+AP78),
"")</f>
        <v/>
      </c>
      <c r="AS78" s="76" t="str">
        <f>IFERROR(
(W78+X78)*Assumptions!$D$11+
(AB78+AC78)*Assumptions!$D$10+
(AG78+AH78)*Assumptions!$D$12,
"")</f>
        <v/>
      </c>
      <c r="AT78" s="77" t="str">
        <f t="shared" si="33"/>
        <v/>
      </c>
      <c r="AU78" s="68" t="str">
        <f t="shared" si="18"/>
        <v/>
      </c>
    </row>
    <row r="79" spans="1:47" s="7" customFormat="1" x14ac:dyDescent="0.25">
      <c r="A79" s="264"/>
      <c r="B79" s="265"/>
      <c r="C79" s="265"/>
      <c r="D79" s="265"/>
      <c r="E79" s="266"/>
      <c r="F79" s="270"/>
      <c r="G79" s="271"/>
      <c r="H79" s="271"/>
      <c r="I79" s="272"/>
      <c r="J79" s="270"/>
      <c r="K79" s="271"/>
      <c r="L79" s="272"/>
      <c r="M79" s="270"/>
      <c r="N79" s="271"/>
      <c r="O79" s="272"/>
      <c r="P79" s="290"/>
      <c r="Q79" s="291"/>
      <c r="R79" s="51" t="str">
        <f t="shared" si="19"/>
        <v/>
      </c>
      <c r="S79" s="84" t="str">
        <f t="shared" si="21"/>
        <v/>
      </c>
      <c r="T79" s="93" t="str">
        <f t="shared" si="22"/>
        <v/>
      </c>
      <c r="U79" s="100" t="str">
        <f t="shared" si="23"/>
        <v/>
      </c>
      <c r="V79" s="95" t="str">
        <f t="shared" si="24"/>
        <v/>
      </c>
      <c r="W79" s="95" t="str">
        <f t="shared" si="25"/>
        <v/>
      </c>
      <c r="X79" s="95" t="str">
        <f>IFERROR(AJ79*
(Assumptions!$S$7*(W79/P79)^3+
Assumptions!$S$8*(W79/P79)^2+
Assumptions!$S$9*(W79/P79)+
Assumptions!$S$10),
"")</f>
        <v/>
      </c>
      <c r="Y79" s="96" t="str">
        <f>IFERROR(U79*V79*Assumptions!$B$15/3956,"")</f>
        <v/>
      </c>
      <c r="Z79" s="102" t="str">
        <f t="shared" si="26"/>
        <v/>
      </c>
      <c r="AA79" s="95" t="str">
        <f t="shared" si="27"/>
        <v/>
      </c>
      <c r="AB79" s="95" t="str">
        <f t="shared" si="28"/>
        <v/>
      </c>
      <c r="AC79" s="95" t="str">
        <f>IFERROR(AJ79*
(Assumptions!$S$7*(AB79/P79)^3+
Assumptions!$S$8*(AB79/P79)^2+
Assumptions!$S$9*(AB79/P79)+
Assumptions!$S$10),
"")</f>
        <v/>
      </c>
      <c r="AD79" s="96" t="str">
        <f>IFERROR(Z79*AA79*Assumptions!$B$15/3956,"")</f>
        <v/>
      </c>
      <c r="AE79" s="102" t="str">
        <f t="shared" si="29"/>
        <v/>
      </c>
      <c r="AF79" s="95" t="str">
        <f t="shared" si="30"/>
        <v/>
      </c>
      <c r="AG79" s="95" t="str">
        <f t="shared" si="31"/>
        <v/>
      </c>
      <c r="AH79" s="95" t="str">
        <f>IFERROR(AJ79*
(Assumptions!$S$7*(AG79/P79)^3+
Assumptions!$S$8*(AG79/P79)^2+
Assumptions!$S$9*(AG79/P79)+
Assumptions!$S$10),
"")</f>
        <v/>
      </c>
      <c r="AI79" s="96" t="str">
        <f>IFERROR(AE79*AF79*Assumptions!$B$15/3956,"")</f>
        <v/>
      </c>
      <c r="AJ79" s="247" t="str">
        <f t="shared" si="20"/>
        <v/>
      </c>
      <c r="AK79" s="99" t="str">
        <f>IFERROR(
IF(C79="VTS",
IF(P79&gt;=AVERAGE(
INDEX(Assumptions!$I$38:$I$57,MATCH(P79,Assumptions!$I$38:$I$57,-1)),
INDEX(Assumptions!$I$38:$I$57,MATCH(P79,Assumptions!$I$38:$I$57,-1)+1)),
INDEX(Assumptions!$I$38:$I$57,MATCH(P79,Assumptions!$I$38:$I$57,-1)),
INDEX(Assumptions!$I$38:$I$57,MATCH(P79,Assumptions!$I$38:$I$57,-1)+1)),
IF(P79&gt;=AVERAGE(
INDEX(Assumptions!$I$13:$I$32,MATCH(P79,Assumptions!$I$13:$I$32,-1)),
INDEX(Assumptions!$I$13:$I$32,MATCH(P79,Assumptions!$I$13:$I$32,-1)+1)),
INDEX(Assumptions!$I$13:$I$32,MATCH(P79,Assumptions!$I$13:$I$32,-1)),
INDEX(Assumptions!$I$13:$I$32,MATCH(P79,Assumptions!$I$13:$I$32,-1)+1))),
"")</f>
        <v/>
      </c>
      <c r="AL79" s="95" t="str">
        <f>IFERROR(
IF(C79="VTS",
VLOOKUP(AK79,Assumptions!$I$38:$K$57,MATCH(R79,Assumptions!$I$37:$K$37,0),FALSE),
VLOOKUP(AK79,Assumptions!$I$13:$K$32,MATCH(R79,Assumptions!$I$12:$K$12,0),FALSE)),
"")</f>
        <v/>
      </c>
      <c r="AM79" s="95" t="str">
        <f t="shared" si="32"/>
        <v/>
      </c>
      <c r="AN79" s="95" t="str">
        <f>IFERROR(AM79*
(Assumptions!$S$7*(Y79/(AQ79*Assumptions!$AB$9/100)/P79)^3+
Assumptions!$S$8*(Y79/(AQ79*Assumptions!$AB$9/100)/P79)^2+
Assumptions!$S$9*(Y79/(AQ79*Assumptions!$AB$9/100)/P79)+
Assumptions!$S$10),"")</f>
        <v/>
      </c>
      <c r="AO79" s="95" t="str">
        <f>IFERROR(AM79*
(Assumptions!$S$7*(AD79/(AQ79*Assumptions!$AB$8/100)/P79)^3+
Assumptions!$S$8*(AD79/(AQ79*Assumptions!$AB$8/100)/P79)^2+
Assumptions!$S$9*(AD79/(AQ79*Assumptions!$AB$8/100)/P79)+
Assumptions!$S$10),"")</f>
        <v/>
      </c>
      <c r="AP79" s="95" t="str">
        <f>IFERROR(AM79*
(Assumptions!$S$7*(AI79/(AQ79*Assumptions!$AB$10/100)/P79)^3+
Assumptions!$S$8*(AI79/(AQ79*Assumptions!$AB$10/100)/P79)^2+
Assumptions!$S$9*(AI79/(AQ79*Assumptions!$AB$10/100)/P79)+
Assumptions!$S$10),"")</f>
        <v/>
      </c>
      <c r="AQ79" s="95" t="str">
        <f>IFERROR(
Assumptions!$AD$8*LN(U79)^2+
Assumptions!$AE$8*LN(T79)*LN(U79)+
Assumptions!$AF$8*LN(T79)^2+
Assumptions!$AG$8*LN(U79)+
Assumptions!$AH$8*LN(T79)-
(IF(S79=1800,
VLOOKUP(C79,Assumptions!$AA$13:$AC$17,3),
IF(S79=3600,
VLOOKUP(C79,Assumptions!$AA$18:$AC$22,3),
""))+Assumptions!$AI$8),
"")</f>
        <v/>
      </c>
      <c r="AR79" s="96" t="str">
        <f>IFERROR(
Assumptions!$D$11*(Y79/(Assumptions!$AB$9*AQ79/100)+AN79)+
Assumptions!$D$10*(AD79/(Assumptions!$AB$8*AQ79/100)+AO79)+
Assumptions!$D$12*(AI79/(Assumptions!$AB$10*AQ79/100)+AP79),
"")</f>
        <v/>
      </c>
      <c r="AS79" s="76" t="str">
        <f>IFERROR(
(W79+X79)*Assumptions!$D$11+
(AB79+AC79)*Assumptions!$D$10+
(AG79+AH79)*Assumptions!$D$12,
"")</f>
        <v/>
      </c>
      <c r="AT79" s="77" t="str">
        <f t="shared" si="33"/>
        <v/>
      </c>
      <c r="AU79" s="68" t="str">
        <f t="shared" si="18"/>
        <v/>
      </c>
    </row>
    <row r="80" spans="1:47" s="7" customFormat="1" x14ac:dyDescent="0.25">
      <c r="A80" s="264"/>
      <c r="B80" s="265"/>
      <c r="C80" s="265"/>
      <c r="D80" s="265"/>
      <c r="E80" s="266"/>
      <c r="F80" s="270"/>
      <c r="G80" s="271"/>
      <c r="H80" s="271"/>
      <c r="I80" s="272"/>
      <c r="J80" s="270"/>
      <c r="K80" s="271"/>
      <c r="L80" s="272"/>
      <c r="M80" s="270"/>
      <c r="N80" s="271"/>
      <c r="O80" s="272"/>
      <c r="P80" s="290"/>
      <c r="Q80" s="291"/>
      <c r="R80" s="51" t="str">
        <f t="shared" si="19"/>
        <v/>
      </c>
      <c r="S80" s="84" t="str">
        <f t="shared" si="21"/>
        <v/>
      </c>
      <c r="T80" s="93" t="str">
        <f t="shared" si="22"/>
        <v/>
      </c>
      <c r="U80" s="100" t="str">
        <f t="shared" si="23"/>
        <v/>
      </c>
      <c r="V80" s="95" t="str">
        <f t="shared" si="24"/>
        <v/>
      </c>
      <c r="W80" s="95" t="str">
        <f t="shared" si="25"/>
        <v/>
      </c>
      <c r="X80" s="95" t="str">
        <f>IFERROR(AJ80*
(Assumptions!$S$7*(W80/P80)^3+
Assumptions!$S$8*(W80/P80)^2+
Assumptions!$S$9*(W80/P80)+
Assumptions!$S$10),
"")</f>
        <v/>
      </c>
      <c r="Y80" s="96" t="str">
        <f>IFERROR(U80*V80*Assumptions!$B$15/3956,"")</f>
        <v/>
      </c>
      <c r="Z80" s="102" t="str">
        <f t="shared" si="26"/>
        <v/>
      </c>
      <c r="AA80" s="95" t="str">
        <f t="shared" si="27"/>
        <v/>
      </c>
      <c r="AB80" s="95" t="str">
        <f t="shared" si="28"/>
        <v/>
      </c>
      <c r="AC80" s="95" t="str">
        <f>IFERROR(AJ80*
(Assumptions!$S$7*(AB80/P80)^3+
Assumptions!$S$8*(AB80/P80)^2+
Assumptions!$S$9*(AB80/P80)+
Assumptions!$S$10),
"")</f>
        <v/>
      </c>
      <c r="AD80" s="96" t="str">
        <f>IFERROR(Z80*AA80*Assumptions!$B$15/3956,"")</f>
        <v/>
      </c>
      <c r="AE80" s="102" t="str">
        <f t="shared" si="29"/>
        <v/>
      </c>
      <c r="AF80" s="95" t="str">
        <f t="shared" si="30"/>
        <v/>
      </c>
      <c r="AG80" s="95" t="str">
        <f t="shared" si="31"/>
        <v/>
      </c>
      <c r="AH80" s="95" t="str">
        <f>IFERROR(AJ80*
(Assumptions!$S$7*(AG80/P80)^3+
Assumptions!$S$8*(AG80/P80)^2+
Assumptions!$S$9*(AG80/P80)+
Assumptions!$S$10),
"")</f>
        <v/>
      </c>
      <c r="AI80" s="96" t="str">
        <f>IFERROR(AE80*AF80*Assumptions!$B$15/3956,"")</f>
        <v/>
      </c>
      <c r="AJ80" s="247" t="str">
        <f t="shared" si="20"/>
        <v/>
      </c>
      <c r="AK80" s="99" t="str">
        <f>IFERROR(
IF(C80="VTS",
IF(P80&gt;=AVERAGE(
INDEX(Assumptions!$I$38:$I$57,MATCH(P80,Assumptions!$I$38:$I$57,-1)),
INDEX(Assumptions!$I$38:$I$57,MATCH(P80,Assumptions!$I$38:$I$57,-1)+1)),
INDEX(Assumptions!$I$38:$I$57,MATCH(P80,Assumptions!$I$38:$I$57,-1)),
INDEX(Assumptions!$I$38:$I$57,MATCH(P80,Assumptions!$I$38:$I$57,-1)+1)),
IF(P80&gt;=AVERAGE(
INDEX(Assumptions!$I$13:$I$32,MATCH(P80,Assumptions!$I$13:$I$32,-1)),
INDEX(Assumptions!$I$13:$I$32,MATCH(P80,Assumptions!$I$13:$I$32,-1)+1)),
INDEX(Assumptions!$I$13:$I$32,MATCH(P80,Assumptions!$I$13:$I$32,-1)),
INDEX(Assumptions!$I$13:$I$32,MATCH(P80,Assumptions!$I$13:$I$32,-1)+1))),
"")</f>
        <v/>
      </c>
      <c r="AL80" s="95" t="str">
        <f>IFERROR(
IF(C80="VTS",
VLOOKUP(AK80,Assumptions!$I$38:$K$57,MATCH(R80,Assumptions!$I$37:$K$37,0),FALSE),
VLOOKUP(AK80,Assumptions!$I$13:$K$32,MATCH(R80,Assumptions!$I$12:$K$12,0),FALSE)),
"")</f>
        <v/>
      </c>
      <c r="AM80" s="95" t="str">
        <f t="shared" si="32"/>
        <v/>
      </c>
      <c r="AN80" s="95" t="str">
        <f>IFERROR(AM80*
(Assumptions!$S$7*(Y80/(AQ80*Assumptions!$AB$9/100)/P80)^3+
Assumptions!$S$8*(Y80/(AQ80*Assumptions!$AB$9/100)/P80)^2+
Assumptions!$S$9*(Y80/(AQ80*Assumptions!$AB$9/100)/P80)+
Assumptions!$S$10),"")</f>
        <v/>
      </c>
      <c r="AO80" s="95" t="str">
        <f>IFERROR(AM80*
(Assumptions!$S$7*(AD80/(AQ80*Assumptions!$AB$8/100)/P80)^3+
Assumptions!$S$8*(AD80/(AQ80*Assumptions!$AB$8/100)/P80)^2+
Assumptions!$S$9*(AD80/(AQ80*Assumptions!$AB$8/100)/P80)+
Assumptions!$S$10),"")</f>
        <v/>
      </c>
      <c r="AP80" s="95" t="str">
        <f>IFERROR(AM80*
(Assumptions!$S$7*(AI80/(AQ80*Assumptions!$AB$10/100)/P80)^3+
Assumptions!$S$8*(AI80/(AQ80*Assumptions!$AB$10/100)/P80)^2+
Assumptions!$S$9*(AI80/(AQ80*Assumptions!$AB$10/100)/P80)+
Assumptions!$S$10),"")</f>
        <v/>
      </c>
      <c r="AQ80" s="95" t="str">
        <f>IFERROR(
Assumptions!$AD$8*LN(U80)^2+
Assumptions!$AE$8*LN(T80)*LN(U80)+
Assumptions!$AF$8*LN(T80)^2+
Assumptions!$AG$8*LN(U80)+
Assumptions!$AH$8*LN(T80)-
(IF(S80=1800,
VLOOKUP(C80,Assumptions!$AA$13:$AC$17,3),
IF(S80=3600,
VLOOKUP(C80,Assumptions!$AA$18:$AC$22,3),
""))+Assumptions!$AI$8),
"")</f>
        <v/>
      </c>
      <c r="AR80" s="96" t="str">
        <f>IFERROR(
Assumptions!$D$11*(Y80/(Assumptions!$AB$9*AQ80/100)+AN80)+
Assumptions!$D$10*(AD80/(Assumptions!$AB$8*AQ80/100)+AO80)+
Assumptions!$D$12*(AI80/(Assumptions!$AB$10*AQ80/100)+AP80),
"")</f>
        <v/>
      </c>
      <c r="AS80" s="76" t="str">
        <f>IFERROR(
(W80+X80)*Assumptions!$D$11+
(AB80+AC80)*Assumptions!$D$10+
(AG80+AH80)*Assumptions!$D$12,
"")</f>
        <v/>
      </c>
      <c r="AT80" s="77" t="str">
        <f t="shared" si="33"/>
        <v/>
      </c>
      <c r="AU80" s="68" t="str">
        <f t="shared" si="18"/>
        <v/>
      </c>
    </row>
    <row r="81" spans="1:47" s="7" customFormat="1" x14ac:dyDescent="0.25">
      <c r="A81" s="264"/>
      <c r="B81" s="265"/>
      <c r="C81" s="265"/>
      <c r="D81" s="265"/>
      <c r="E81" s="266"/>
      <c r="F81" s="270"/>
      <c r="G81" s="271"/>
      <c r="H81" s="271"/>
      <c r="I81" s="272"/>
      <c r="J81" s="270"/>
      <c r="K81" s="271"/>
      <c r="L81" s="272"/>
      <c r="M81" s="270"/>
      <c r="N81" s="271"/>
      <c r="O81" s="272"/>
      <c r="P81" s="290"/>
      <c r="Q81" s="291"/>
      <c r="R81" s="51" t="str">
        <f t="shared" si="19"/>
        <v/>
      </c>
      <c r="S81" s="84" t="str">
        <f t="shared" si="21"/>
        <v/>
      </c>
      <c r="T81" s="93" t="str">
        <f t="shared" si="22"/>
        <v/>
      </c>
      <c r="U81" s="100" t="str">
        <f t="shared" si="23"/>
        <v/>
      </c>
      <c r="V81" s="95" t="str">
        <f t="shared" si="24"/>
        <v/>
      </c>
      <c r="W81" s="95" t="str">
        <f t="shared" si="25"/>
        <v/>
      </c>
      <c r="X81" s="95" t="str">
        <f>IFERROR(AJ81*
(Assumptions!$S$7*(W81/P81)^3+
Assumptions!$S$8*(W81/P81)^2+
Assumptions!$S$9*(W81/P81)+
Assumptions!$S$10),
"")</f>
        <v/>
      </c>
      <c r="Y81" s="96" t="str">
        <f>IFERROR(U81*V81*Assumptions!$B$15/3956,"")</f>
        <v/>
      </c>
      <c r="Z81" s="102" t="str">
        <f t="shared" si="26"/>
        <v/>
      </c>
      <c r="AA81" s="95" t="str">
        <f t="shared" si="27"/>
        <v/>
      </c>
      <c r="AB81" s="95" t="str">
        <f t="shared" si="28"/>
        <v/>
      </c>
      <c r="AC81" s="95" t="str">
        <f>IFERROR(AJ81*
(Assumptions!$S$7*(AB81/P81)^3+
Assumptions!$S$8*(AB81/P81)^2+
Assumptions!$S$9*(AB81/P81)+
Assumptions!$S$10),
"")</f>
        <v/>
      </c>
      <c r="AD81" s="96" t="str">
        <f>IFERROR(Z81*AA81*Assumptions!$B$15/3956,"")</f>
        <v/>
      </c>
      <c r="AE81" s="102" t="str">
        <f t="shared" si="29"/>
        <v/>
      </c>
      <c r="AF81" s="95" t="str">
        <f t="shared" si="30"/>
        <v/>
      </c>
      <c r="AG81" s="95" t="str">
        <f t="shared" si="31"/>
        <v/>
      </c>
      <c r="AH81" s="95" t="str">
        <f>IFERROR(AJ81*
(Assumptions!$S$7*(AG81/P81)^3+
Assumptions!$S$8*(AG81/P81)^2+
Assumptions!$S$9*(AG81/P81)+
Assumptions!$S$10),
"")</f>
        <v/>
      </c>
      <c r="AI81" s="96" t="str">
        <f>IFERROR(AE81*AF81*Assumptions!$B$15/3956,"")</f>
        <v/>
      </c>
      <c r="AJ81" s="247" t="str">
        <f t="shared" si="20"/>
        <v/>
      </c>
      <c r="AK81" s="99" t="str">
        <f>IFERROR(
IF(C81="VTS",
IF(P81&gt;=AVERAGE(
INDEX(Assumptions!$I$38:$I$57,MATCH(P81,Assumptions!$I$38:$I$57,-1)),
INDEX(Assumptions!$I$38:$I$57,MATCH(P81,Assumptions!$I$38:$I$57,-1)+1)),
INDEX(Assumptions!$I$38:$I$57,MATCH(P81,Assumptions!$I$38:$I$57,-1)),
INDEX(Assumptions!$I$38:$I$57,MATCH(P81,Assumptions!$I$38:$I$57,-1)+1)),
IF(P81&gt;=AVERAGE(
INDEX(Assumptions!$I$13:$I$32,MATCH(P81,Assumptions!$I$13:$I$32,-1)),
INDEX(Assumptions!$I$13:$I$32,MATCH(P81,Assumptions!$I$13:$I$32,-1)+1)),
INDEX(Assumptions!$I$13:$I$32,MATCH(P81,Assumptions!$I$13:$I$32,-1)),
INDEX(Assumptions!$I$13:$I$32,MATCH(P81,Assumptions!$I$13:$I$32,-1)+1))),
"")</f>
        <v/>
      </c>
      <c r="AL81" s="95" t="str">
        <f>IFERROR(
IF(C81="VTS",
VLOOKUP(AK81,Assumptions!$I$38:$K$57,MATCH(R81,Assumptions!$I$37:$K$37,0),FALSE),
VLOOKUP(AK81,Assumptions!$I$13:$K$32,MATCH(R81,Assumptions!$I$12:$K$12,0),FALSE)),
"")</f>
        <v/>
      </c>
      <c r="AM81" s="95" t="str">
        <f t="shared" si="32"/>
        <v/>
      </c>
      <c r="AN81" s="95" t="str">
        <f>IFERROR(AM81*
(Assumptions!$S$7*(Y81/(AQ81*Assumptions!$AB$9/100)/P81)^3+
Assumptions!$S$8*(Y81/(AQ81*Assumptions!$AB$9/100)/P81)^2+
Assumptions!$S$9*(Y81/(AQ81*Assumptions!$AB$9/100)/P81)+
Assumptions!$S$10),"")</f>
        <v/>
      </c>
      <c r="AO81" s="95" t="str">
        <f>IFERROR(AM81*
(Assumptions!$S$7*(AD81/(AQ81*Assumptions!$AB$8/100)/P81)^3+
Assumptions!$S$8*(AD81/(AQ81*Assumptions!$AB$8/100)/P81)^2+
Assumptions!$S$9*(AD81/(AQ81*Assumptions!$AB$8/100)/P81)+
Assumptions!$S$10),"")</f>
        <v/>
      </c>
      <c r="AP81" s="95" t="str">
        <f>IFERROR(AM81*
(Assumptions!$S$7*(AI81/(AQ81*Assumptions!$AB$10/100)/P81)^3+
Assumptions!$S$8*(AI81/(AQ81*Assumptions!$AB$10/100)/P81)^2+
Assumptions!$S$9*(AI81/(AQ81*Assumptions!$AB$10/100)/P81)+
Assumptions!$S$10),"")</f>
        <v/>
      </c>
      <c r="AQ81" s="95" t="str">
        <f>IFERROR(
Assumptions!$AD$8*LN(U81)^2+
Assumptions!$AE$8*LN(T81)*LN(U81)+
Assumptions!$AF$8*LN(T81)^2+
Assumptions!$AG$8*LN(U81)+
Assumptions!$AH$8*LN(T81)-
(IF(S81=1800,
VLOOKUP(C81,Assumptions!$AA$13:$AC$17,3),
IF(S81=3600,
VLOOKUP(C81,Assumptions!$AA$18:$AC$22,3),
""))+Assumptions!$AI$8),
"")</f>
        <v/>
      </c>
      <c r="AR81" s="96" t="str">
        <f>IFERROR(
Assumptions!$D$11*(Y81/(Assumptions!$AB$9*AQ81/100)+AN81)+
Assumptions!$D$10*(AD81/(Assumptions!$AB$8*AQ81/100)+AO81)+
Assumptions!$D$12*(AI81/(Assumptions!$AB$10*AQ81/100)+AP81),
"")</f>
        <v/>
      </c>
      <c r="AS81" s="76" t="str">
        <f>IFERROR(
(W81+X81)*Assumptions!$D$11+
(AB81+AC81)*Assumptions!$D$10+
(AG81+AH81)*Assumptions!$D$12,
"")</f>
        <v/>
      </c>
      <c r="AT81" s="77" t="str">
        <f t="shared" si="33"/>
        <v/>
      </c>
      <c r="AU81" s="68" t="str">
        <f t="shared" si="18"/>
        <v/>
      </c>
    </row>
    <row r="82" spans="1:47" s="7" customFormat="1" x14ac:dyDescent="0.25">
      <c r="A82" s="264"/>
      <c r="B82" s="265"/>
      <c r="C82" s="265"/>
      <c r="D82" s="265"/>
      <c r="E82" s="266"/>
      <c r="F82" s="270"/>
      <c r="G82" s="271"/>
      <c r="H82" s="271"/>
      <c r="I82" s="272"/>
      <c r="J82" s="270"/>
      <c r="K82" s="271"/>
      <c r="L82" s="272"/>
      <c r="M82" s="270"/>
      <c r="N82" s="271"/>
      <c r="O82" s="272"/>
      <c r="P82" s="290"/>
      <c r="Q82" s="291"/>
      <c r="R82" s="51" t="str">
        <f t="shared" si="19"/>
        <v/>
      </c>
      <c r="S82" s="84" t="str">
        <f t="shared" si="21"/>
        <v/>
      </c>
      <c r="T82" s="93" t="str">
        <f t="shared" si="22"/>
        <v/>
      </c>
      <c r="U82" s="100" t="str">
        <f t="shared" si="23"/>
        <v/>
      </c>
      <c r="V82" s="95" t="str">
        <f t="shared" si="24"/>
        <v/>
      </c>
      <c r="W82" s="95" t="str">
        <f t="shared" si="25"/>
        <v/>
      </c>
      <c r="X82" s="95" t="str">
        <f>IFERROR(AJ82*
(Assumptions!$S$7*(W82/P82)^3+
Assumptions!$S$8*(W82/P82)^2+
Assumptions!$S$9*(W82/P82)+
Assumptions!$S$10),
"")</f>
        <v/>
      </c>
      <c r="Y82" s="96" t="str">
        <f>IFERROR(U82*V82*Assumptions!$B$15/3956,"")</f>
        <v/>
      </c>
      <c r="Z82" s="102" t="str">
        <f t="shared" si="26"/>
        <v/>
      </c>
      <c r="AA82" s="95" t="str">
        <f t="shared" si="27"/>
        <v/>
      </c>
      <c r="AB82" s="95" t="str">
        <f t="shared" si="28"/>
        <v/>
      </c>
      <c r="AC82" s="95" t="str">
        <f>IFERROR(AJ82*
(Assumptions!$S$7*(AB82/P82)^3+
Assumptions!$S$8*(AB82/P82)^2+
Assumptions!$S$9*(AB82/P82)+
Assumptions!$S$10),
"")</f>
        <v/>
      </c>
      <c r="AD82" s="96" t="str">
        <f>IFERROR(Z82*AA82*Assumptions!$B$15/3956,"")</f>
        <v/>
      </c>
      <c r="AE82" s="102" t="str">
        <f t="shared" si="29"/>
        <v/>
      </c>
      <c r="AF82" s="95" t="str">
        <f t="shared" si="30"/>
        <v/>
      </c>
      <c r="AG82" s="95" t="str">
        <f t="shared" si="31"/>
        <v/>
      </c>
      <c r="AH82" s="95" t="str">
        <f>IFERROR(AJ82*
(Assumptions!$S$7*(AG82/P82)^3+
Assumptions!$S$8*(AG82/P82)^2+
Assumptions!$S$9*(AG82/P82)+
Assumptions!$S$10),
"")</f>
        <v/>
      </c>
      <c r="AI82" s="96" t="str">
        <f>IFERROR(AE82*AF82*Assumptions!$B$15/3956,"")</f>
        <v/>
      </c>
      <c r="AJ82" s="247" t="str">
        <f t="shared" si="20"/>
        <v/>
      </c>
      <c r="AK82" s="99" t="str">
        <f>IFERROR(
IF(C82="VTS",
IF(P82&gt;=AVERAGE(
INDEX(Assumptions!$I$38:$I$57,MATCH(P82,Assumptions!$I$38:$I$57,-1)),
INDEX(Assumptions!$I$38:$I$57,MATCH(P82,Assumptions!$I$38:$I$57,-1)+1)),
INDEX(Assumptions!$I$38:$I$57,MATCH(P82,Assumptions!$I$38:$I$57,-1)),
INDEX(Assumptions!$I$38:$I$57,MATCH(P82,Assumptions!$I$38:$I$57,-1)+1)),
IF(P82&gt;=AVERAGE(
INDEX(Assumptions!$I$13:$I$32,MATCH(P82,Assumptions!$I$13:$I$32,-1)),
INDEX(Assumptions!$I$13:$I$32,MATCH(P82,Assumptions!$I$13:$I$32,-1)+1)),
INDEX(Assumptions!$I$13:$I$32,MATCH(P82,Assumptions!$I$13:$I$32,-1)),
INDEX(Assumptions!$I$13:$I$32,MATCH(P82,Assumptions!$I$13:$I$32,-1)+1))),
"")</f>
        <v/>
      </c>
      <c r="AL82" s="95" t="str">
        <f>IFERROR(
IF(C82="VTS",
VLOOKUP(AK82,Assumptions!$I$38:$K$57,MATCH(R82,Assumptions!$I$37:$K$37,0),FALSE),
VLOOKUP(AK82,Assumptions!$I$13:$K$32,MATCH(R82,Assumptions!$I$12:$K$12,0),FALSE)),
"")</f>
        <v/>
      </c>
      <c r="AM82" s="95" t="str">
        <f t="shared" si="32"/>
        <v/>
      </c>
      <c r="AN82" s="95" t="str">
        <f>IFERROR(AM82*
(Assumptions!$S$7*(Y82/(AQ82*Assumptions!$AB$9/100)/P82)^3+
Assumptions!$S$8*(Y82/(AQ82*Assumptions!$AB$9/100)/P82)^2+
Assumptions!$S$9*(Y82/(AQ82*Assumptions!$AB$9/100)/P82)+
Assumptions!$S$10),"")</f>
        <v/>
      </c>
      <c r="AO82" s="95" t="str">
        <f>IFERROR(AM82*
(Assumptions!$S$7*(AD82/(AQ82*Assumptions!$AB$8/100)/P82)^3+
Assumptions!$S$8*(AD82/(AQ82*Assumptions!$AB$8/100)/P82)^2+
Assumptions!$S$9*(AD82/(AQ82*Assumptions!$AB$8/100)/P82)+
Assumptions!$S$10),"")</f>
        <v/>
      </c>
      <c r="AP82" s="95" t="str">
        <f>IFERROR(AM82*
(Assumptions!$S$7*(AI82/(AQ82*Assumptions!$AB$10/100)/P82)^3+
Assumptions!$S$8*(AI82/(AQ82*Assumptions!$AB$10/100)/P82)^2+
Assumptions!$S$9*(AI82/(AQ82*Assumptions!$AB$10/100)/P82)+
Assumptions!$S$10),"")</f>
        <v/>
      </c>
      <c r="AQ82" s="95" t="str">
        <f>IFERROR(
Assumptions!$AD$8*LN(U82)^2+
Assumptions!$AE$8*LN(T82)*LN(U82)+
Assumptions!$AF$8*LN(T82)^2+
Assumptions!$AG$8*LN(U82)+
Assumptions!$AH$8*LN(T82)-
(IF(S82=1800,
VLOOKUP(C82,Assumptions!$AA$13:$AC$17,3),
IF(S82=3600,
VLOOKUP(C82,Assumptions!$AA$18:$AC$22,3),
""))+Assumptions!$AI$8),
"")</f>
        <v/>
      </c>
      <c r="AR82" s="96" t="str">
        <f>IFERROR(
Assumptions!$D$11*(Y82/(Assumptions!$AB$9*AQ82/100)+AN82)+
Assumptions!$D$10*(AD82/(Assumptions!$AB$8*AQ82/100)+AO82)+
Assumptions!$D$12*(AI82/(Assumptions!$AB$10*AQ82/100)+AP82),
"")</f>
        <v/>
      </c>
      <c r="AS82" s="76" t="str">
        <f>IFERROR(
(W82+X82)*Assumptions!$D$11+
(AB82+AC82)*Assumptions!$D$10+
(AG82+AH82)*Assumptions!$D$12,
"")</f>
        <v/>
      </c>
      <c r="AT82" s="77" t="str">
        <f t="shared" si="33"/>
        <v/>
      </c>
      <c r="AU82" s="68" t="str">
        <f t="shared" si="18"/>
        <v/>
      </c>
    </row>
    <row r="83" spans="1:47" s="7" customFormat="1" x14ac:dyDescent="0.25">
      <c r="A83" s="264"/>
      <c r="B83" s="265"/>
      <c r="C83" s="265"/>
      <c r="D83" s="265"/>
      <c r="E83" s="266"/>
      <c r="F83" s="270"/>
      <c r="G83" s="271"/>
      <c r="H83" s="271"/>
      <c r="I83" s="272"/>
      <c r="J83" s="270"/>
      <c r="K83" s="271"/>
      <c r="L83" s="272"/>
      <c r="M83" s="270"/>
      <c r="N83" s="271"/>
      <c r="O83" s="272"/>
      <c r="P83" s="290"/>
      <c r="Q83" s="291"/>
      <c r="R83" s="51" t="str">
        <f t="shared" si="19"/>
        <v/>
      </c>
      <c r="S83" s="84" t="str">
        <f t="shared" si="21"/>
        <v/>
      </c>
      <c r="T83" s="93" t="str">
        <f t="shared" si="22"/>
        <v/>
      </c>
      <c r="U83" s="100" t="str">
        <f t="shared" si="23"/>
        <v/>
      </c>
      <c r="V83" s="95" t="str">
        <f t="shared" si="24"/>
        <v/>
      </c>
      <c r="W83" s="95" t="str">
        <f t="shared" si="25"/>
        <v/>
      </c>
      <c r="X83" s="95" t="str">
        <f>IFERROR(AJ83*
(Assumptions!$S$7*(W83/P83)^3+
Assumptions!$S$8*(W83/P83)^2+
Assumptions!$S$9*(W83/P83)+
Assumptions!$S$10),
"")</f>
        <v/>
      </c>
      <c r="Y83" s="96" t="str">
        <f>IFERROR(U83*V83*Assumptions!$B$15/3956,"")</f>
        <v/>
      </c>
      <c r="Z83" s="102" t="str">
        <f t="shared" si="26"/>
        <v/>
      </c>
      <c r="AA83" s="95" t="str">
        <f t="shared" si="27"/>
        <v/>
      </c>
      <c r="AB83" s="95" t="str">
        <f t="shared" si="28"/>
        <v/>
      </c>
      <c r="AC83" s="95" t="str">
        <f>IFERROR(AJ83*
(Assumptions!$S$7*(AB83/P83)^3+
Assumptions!$S$8*(AB83/P83)^2+
Assumptions!$S$9*(AB83/P83)+
Assumptions!$S$10),
"")</f>
        <v/>
      </c>
      <c r="AD83" s="96" t="str">
        <f>IFERROR(Z83*AA83*Assumptions!$B$15/3956,"")</f>
        <v/>
      </c>
      <c r="AE83" s="102" t="str">
        <f t="shared" si="29"/>
        <v/>
      </c>
      <c r="AF83" s="95" t="str">
        <f t="shared" si="30"/>
        <v/>
      </c>
      <c r="AG83" s="95" t="str">
        <f t="shared" si="31"/>
        <v/>
      </c>
      <c r="AH83" s="95" t="str">
        <f>IFERROR(AJ83*
(Assumptions!$S$7*(AG83/P83)^3+
Assumptions!$S$8*(AG83/P83)^2+
Assumptions!$S$9*(AG83/P83)+
Assumptions!$S$10),
"")</f>
        <v/>
      </c>
      <c r="AI83" s="96" t="str">
        <f>IFERROR(AE83*AF83*Assumptions!$B$15/3956,"")</f>
        <v/>
      </c>
      <c r="AJ83" s="247" t="str">
        <f t="shared" si="20"/>
        <v/>
      </c>
      <c r="AK83" s="99" t="str">
        <f>IFERROR(
IF(C83="VTS",
IF(P83&gt;=AVERAGE(
INDEX(Assumptions!$I$38:$I$57,MATCH(P83,Assumptions!$I$38:$I$57,-1)),
INDEX(Assumptions!$I$38:$I$57,MATCH(P83,Assumptions!$I$38:$I$57,-1)+1)),
INDEX(Assumptions!$I$38:$I$57,MATCH(P83,Assumptions!$I$38:$I$57,-1)),
INDEX(Assumptions!$I$38:$I$57,MATCH(P83,Assumptions!$I$38:$I$57,-1)+1)),
IF(P83&gt;=AVERAGE(
INDEX(Assumptions!$I$13:$I$32,MATCH(P83,Assumptions!$I$13:$I$32,-1)),
INDEX(Assumptions!$I$13:$I$32,MATCH(P83,Assumptions!$I$13:$I$32,-1)+1)),
INDEX(Assumptions!$I$13:$I$32,MATCH(P83,Assumptions!$I$13:$I$32,-1)),
INDEX(Assumptions!$I$13:$I$32,MATCH(P83,Assumptions!$I$13:$I$32,-1)+1))),
"")</f>
        <v/>
      </c>
      <c r="AL83" s="95" t="str">
        <f>IFERROR(
IF(C83="VTS",
VLOOKUP(AK83,Assumptions!$I$38:$K$57,MATCH(R83,Assumptions!$I$37:$K$37,0),FALSE),
VLOOKUP(AK83,Assumptions!$I$13:$K$32,MATCH(R83,Assumptions!$I$12:$K$12,0),FALSE)),
"")</f>
        <v/>
      </c>
      <c r="AM83" s="95" t="str">
        <f t="shared" si="32"/>
        <v/>
      </c>
      <c r="AN83" s="95" t="str">
        <f>IFERROR(AM83*
(Assumptions!$S$7*(Y83/(AQ83*Assumptions!$AB$9/100)/P83)^3+
Assumptions!$S$8*(Y83/(AQ83*Assumptions!$AB$9/100)/P83)^2+
Assumptions!$S$9*(Y83/(AQ83*Assumptions!$AB$9/100)/P83)+
Assumptions!$S$10),"")</f>
        <v/>
      </c>
      <c r="AO83" s="95" t="str">
        <f>IFERROR(AM83*
(Assumptions!$S$7*(AD83/(AQ83*Assumptions!$AB$8/100)/P83)^3+
Assumptions!$S$8*(AD83/(AQ83*Assumptions!$AB$8/100)/P83)^2+
Assumptions!$S$9*(AD83/(AQ83*Assumptions!$AB$8/100)/P83)+
Assumptions!$S$10),"")</f>
        <v/>
      </c>
      <c r="AP83" s="95" t="str">
        <f>IFERROR(AM83*
(Assumptions!$S$7*(AI83/(AQ83*Assumptions!$AB$10/100)/P83)^3+
Assumptions!$S$8*(AI83/(AQ83*Assumptions!$AB$10/100)/P83)^2+
Assumptions!$S$9*(AI83/(AQ83*Assumptions!$AB$10/100)/P83)+
Assumptions!$S$10),"")</f>
        <v/>
      </c>
      <c r="AQ83" s="95" t="str">
        <f>IFERROR(
Assumptions!$AD$8*LN(U83)^2+
Assumptions!$AE$8*LN(T83)*LN(U83)+
Assumptions!$AF$8*LN(T83)^2+
Assumptions!$AG$8*LN(U83)+
Assumptions!$AH$8*LN(T83)-
(IF(S83=1800,
VLOOKUP(C83,Assumptions!$AA$13:$AC$17,3),
IF(S83=3600,
VLOOKUP(C83,Assumptions!$AA$18:$AC$22,3),
""))+Assumptions!$AI$8),
"")</f>
        <v/>
      </c>
      <c r="AR83" s="96" t="str">
        <f>IFERROR(
Assumptions!$D$11*(Y83/(Assumptions!$AB$9*AQ83/100)+AN83)+
Assumptions!$D$10*(AD83/(Assumptions!$AB$8*AQ83/100)+AO83)+
Assumptions!$D$12*(AI83/(Assumptions!$AB$10*AQ83/100)+AP83),
"")</f>
        <v/>
      </c>
      <c r="AS83" s="76" t="str">
        <f>IFERROR(
(W83+X83)*Assumptions!$D$11+
(AB83+AC83)*Assumptions!$D$10+
(AG83+AH83)*Assumptions!$D$12,
"")</f>
        <v/>
      </c>
      <c r="AT83" s="77" t="str">
        <f t="shared" si="33"/>
        <v/>
      </c>
      <c r="AU83" s="68" t="str">
        <f t="shared" si="18"/>
        <v/>
      </c>
    </row>
    <row r="84" spans="1:47" s="7" customFormat="1" x14ac:dyDescent="0.25">
      <c r="A84" s="264"/>
      <c r="B84" s="265"/>
      <c r="C84" s="265"/>
      <c r="D84" s="265"/>
      <c r="E84" s="266"/>
      <c r="F84" s="270"/>
      <c r="G84" s="271"/>
      <c r="H84" s="271"/>
      <c r="I84" s="272"/>
      <c r="J84" s="270"/>
      <c r="K84" s="271"/>
      <c r="L84" s="272"/>
      <c r="M84" s="270"/>
      <c r="N84" s="271"/>
      <c r="O84" s="272"/>
      <c r="P84" s="290"/>
      <c r="Q84" s="291"/>
      <c r="R84" s="51" t="str">
        <f t="shared" si="19"/>
        <v/>
      </c>
      <c r="S84" s="84" t="str">
        <f t="shared" si="21"/>
        <v/>
      </c>
      <c r="T84" s="93" t="str">
        <f t="shared" si="22"/>
        <v/>
      </c>
      <c r="U84" s="100" t="str">
        <f t="shared" si="23"/>
        <v/>
      </c>
      <c r="V84" s="95" t="str">
        <f t="shared" si="24"/>
        <v/>
      </c>
      <c r="W84" s="95" t="str">
        <f t="shared" si="25"/>
        <v/>
      </c>
      <c r="X84" s="95" t="str">
        <f>IFERROR(AJ84*
(Assumptions!$S$7*(W84/P84)^3+
Assumptions!$S$8*(W84/P84)^2+
Assumptions!$S$9*(W84/P84)+
Assumptions!$S$10),
"")</f>
        <v/>
      </c>
      <c r="Y84" s="96" t="str">
        <f>IFERROR(U84*V84*Assumptions!$B$15/3956,"")</f>
        <v/>
      </c>
      <c r="Z84" s="102" t="str">
        <f t="shared" si="26"/>
        <v/>
      </c>
      <c r="AA84" s="95" t="str">
        <f t="shared" si="27"/>
        <v/>
      </c>
      <c r="AB84" s="95" t="str">
        <f t="shared" si="28"/>
        <v/>
      </c>
      <c r="AC84" s="95" t="str">
        <f>IFERROR(AJ84*
(Assumptions!$S$7*(AB84/P84)^3+
Assumptions!$S$8*(AB84/P84)^2+
Assumptions!$S$9*(AB84/P84)+
Assumptions!$S$10),
"")</f>
        <v/>
      </c>
      <c r="AD84" s="96" t="str">
        <f>IFERROR(Z84*AA84*Assumptions!$B$15/3956,"")</f>
        <v/>
      </c>
      <c r="AE84" s="102" t="str">
        <f t="shared" si="29"/>
        <v/>
      </c>
      <c r="AF84" s="95" t="str">
        <f t="shared" si="30"/>
        <v/>
      </c>
      <c r="AG84" s="95" t="str">
        <f t="shared" si="31"/>
        <v/>
      </c>
      <c r="AH84" s="95" t="str">
        <f>IFERROR(AJ84*
(Assumptions!$S$7*(AG84/P84)^3+
Assumptions!$S$8*(AG84/P84)^2+
Assumptions!$S$9*(AG84/P84)+
Assumptions!$S$10),
"")</f>
        <v/>
      </c>
      <c r="AI84" s="96" t="str">
        <f>IFERROR(AE84*AF84*Assumptions!$B$15/3956,"")</f>
        <v/>
      </c>
      <c r="AJ84" s="247" t="str">
        <f t="shared" si="20"/>
        <v/>
      </c>
      <c r="AK84" s="99" t="str">
        <f>IFERROR(
IF(C84="VTS",
IF(P84&gt;=AVERAGE(
INDEX(Assumptions!$I$38:$I$57,MATCH(P84,Assumptions!$I$38:$I$57,-1)),
INDEX(Assumptions!$I$38:$I$57,MATCH(P84,Assumptions!$I$38:$I$57,-1)+1)),
INDEX(Assumptions!$I$38:$I$57,MATCH(P84,Assumptions!$I$38:$I$57,-1)),
INDEX(Assumptions!$I$38:$I$57,MATCH(P84,Assumptions!$I$38:$I$57,-1)+1)),
IF(P84&gt;=AVERAGE(
INDEX(Assumptions!$I$13:$I$32,MATCH(P84,Assumptions!$I$13:$I$32,-1)),
INDEX(Assumptions!$I$13:$I$32,MATCH(P84,Assumptions!$I$13:$I$32,-1)+1)),
INDEX(Assumptions!$I$13:$I$32,MATCH(P84,Assumptions!$I$13:$I$32,-1)),
INDEX(Assumptions!$I$13:$I$32,MATCH(P84,Assumptions!$I$13:$I$32,-1)+1))),
"")</f>
        <v/>
      </c>
      <c r="AL84" s="95" t="str">
        <f>IFERROR(
IF(C84="VTS",
VLOOKUP(AK84,Assumptions!$I$38:$K$57,MATCH(R84,Assumptions!$I$37:$K$37,0),FALSE),
VLOOKUP(AK84,Assumptions!$I$13:$K$32,MATCH(R84,Assumptions!$I$12:$K$12,0),FALSE)),
"")</f>
        <v/>
      </c>
      <c r="AM84" s="95" t="str">
        <f t="shared" si="32"/>
        <v/>
      </c>
      <c r="AN84" s="95" t="str">
        <f>IFERROR(AM84*
(Assumptions!$S$7*(Y84/(AQ84*Assumptions!$AB$9/100)/P84)^3+
Assumptions!$S$8*(Y84/(AQ84*Assumptions!$AB$9/100)/P84)^2+
Assumptions!$S$9*(Y84/(AQ84*Assumptions!$AB$9/100)/P84)+
Assumptions!$S$10),"")</f>
        <v/>
      </c>
      <c r="AO84" s="95" t="str">
        <f>IFERROR(AM84*
(Assumptions!$S$7*(AD84/(AQ84*Assumptions!$AB$8/100)/P84)^3+
Assumptions!$S$8*(AD84/(AQ84*Assumptions!$AB$8/100)/P84)^2+
Assumptions!$S$9*(AD84/(AQ84*Assumptions!$AB$8/100)/P84)+
Assumptions!$S$10),"")</f>
        <v/>
      </c>
      <c r="AP84" s="95" t="str">
        <f>IFERROR(AM84*
(Assumptions!$S$7*(AI84/(AQ84*Assumptions!$AB$10/100)/P84)^3+
Assumptions!$S$8*(AI84/(AQ84*Assumptions!$AB$10/100)/P84)^2+
Assumptions!$S$9*(AI84/(AQ84*Assumptions!$AB$10/100)/P84)+
Assumptions!$S$10),"")</f>
        <v/>
      </c>
      <c r="AQ84" s="95" t="str">
        <f>IFERROR(
Assumptions!$AD$8*LN(U84)^2+
Assumptions!$AE$8*LN(T84)*LN(U84)+
Assumptions!$AF$8*LN(T84)^2+
Assumptions!$AG$8*LN(U84)+
Assumptions!$AH$8*LN(T84)-
(IF(S84=1800,
VLOOKUP(C84,Assumptions!$AA$13:$AC$17,3),
IF(S84=3600,
VLOOKUP(C84,Assumptions!$AA$18:$AC$22,3),
""))+Assumptions!$AI$8),
"")</f>
        <v/>
      </c>
      <c r="AR84" s="96" t="str">
        <f>IFERROR(
Assumptions!$D$11*(Y84/(Assumptions!$AB$9*AQ84/100)+AN84)+
Assumptions!$D$10*(AD84/(Assumptions!$AB$8*AQ84/100)+AO84)+
Assumptions!$D$12*(AI84/(Assumptions!$AB$10*AQ84/100)+AP84),
"")</f>
        <v/>
      </c>
      <c r="AS84" s="76" t="str">
        <f>IFERROR(
(W84+X84)*Assumptions!$D$11+
(AB84+AC84)*Assumptions!$D$10+
(AG84+AH84)*Assumptions!$D$12,
"")</f>
        <v/>
      </c>
      <c r="AT84" s="77" t="str">
        <f t="shared" si="33"/>
        <v/>
      </c>
      <c r="AU84" s="68" t="str">
        <f t="shared" si="18"/>
        <v/>
      </c>
    </row>
    <row r="85" spans="1:47" s="7" customFormat="1" x14ac:dyDescent="0.25">
      <c r="A85" s="264"/>
      <c r="B85" s="265"/>
      <c r="C85" s="265"/>
      <c r="D85" s="265"/>
      <c r="E85" s="266"/>
      <c r="F85" s="270"/>
      <c r="G85" s="271"/>
      <c r="H85" s="271"/>
      <c r="I85" s="272"/>
      <c r="J85" s="270"/>
      <c r="K85" s="271"/>
      <c r="L85" s="272"/>
      <c r="M85" s="270"/>
      <c r="N85" s="271"/>
      <c r="O85" s="272"/>
      <c r="P85" s="290"/>
      <c r="Q85" s="291"/>
      <c r="R85" s="51" t="str">
        <f t="shared" si="19"/>
        <v/>
      </c>
      <c r="S85" s="84" t="str">
        <f t="shared" si="21"/>
        <v/>
      </c>
      <c r="T85" s="93" t="str">
        <f t="shared" si="22"/>
        <v/>
      </c>
      <c r="U85" s="100" t="str">
        <f t="shared" si="23"/>
        <v/>
      </c>
      <c r="V85" s="95" t="str">
        <f t="shared" si="24"/>
        <v/>
      </c>
      <c r="W85" s="95" t="str">
        <f t="shared" si="25"/>
        <v/>
      </c>
      <c r="X85" s="95" t="str">
        <f>IFERROR(AJ85*
(Assumptions!$S$7*(W85/P85)^3+
Assumptions!$S$8*(W85/P85)^2+
Assumptions!$S$9*(W85/P85)+
Assumptions!$S$10),
"")</f>
        <v/>
      </c>
      <c r="Y85" s="96" t="str">
        <f>IFERROR(U85*V85*Assumptions!$B$15/3956,"")</f>
        <v/>
      </c>
      <c r="Z85" s="102" t="str">
        <f t="shared" si="26"/>
        <v/>
      </c>
      <c r="AA85" s="95" t="str">
        <f t="shared" si="27"/>
        <v/>
      </c>
      <c r="AB85" s="95" t="str">
        <f t="shared" si="28"/>
        <v/>
      </c>
      <c r="AC85" s="95" t="str">
        <f>IFERROR(AJ85*
(Assumptions!$S$7*(AB85/P85)^3+
Assumptions!$S$8*(AB85/P85)^2+
Assumptions!$S$9*(AB85/P85)+
Assumptions!$S$10),
"")</f>
        <v/>
      </c>
      <c r="AD85" s="96" t="str">
        <f>IFERROR(Z85*AA85*Assumptions!$B$15/3956,"")</f>
        <v/>
      </c>
      <c r="AE85" s="102" t="str">
        <f t="shared" si="29"/>
        <v/>
      </c>
      <c r="AF85" s="95" t="str">
        <f t="shared" si="30"/>
        <v/>
      </c>
      <c r="AG85" s="95" t="str">
        <f t="shared" si="31"/>
        <v/>
      </c>
      <c r="AH85" s="95" t="str">
        <f>IFERROR(AJ85*
(Assumptions!$S$7*(AG85/P85)^3+
Assumptions!$S$8*(AG85/P85)^2+
Assumptions!$S$9*(AG85/P85)+
Assumptions!$S$10),
"")</f>
        <v/>
      </c>
      <c r="AI85" s="96" t="str">
        <f>IFERROR(AE85*AF85*Assumptions!$B$15/3956,"")</f>
        <v/>
      </c>
      <c r="AJ85" s="247" t="str">
        <f t="shared" si="20"/>
        <v/>
      </c>
      <c r="AK85" s="99" t="str">
        <f>IFERROR(
IF(C85="VTS",
IF(P85&gt;=AVERAGE(
INDEX(Assumptions!$I$38:$I$57,MATCH(P85,Assumptions!$I$38:$I$57,-1)),
INDEX(Assumptions!$I$38:$I$57,MATCH(P85,Assumptions!$I$38:$I$57,-1)+1)),
INDEX(Assumptions!$I$38:$I$57,MATCH(P85,Assumptions!$I$38:$I$57,-1)),
INDEX(Assumptions!$I$38:$I$57,MATCH(P85,Assumptions!$I$38:$I$57,-1)+1)),
IF(P85&gt;=AVERAGE(
INDEX(Assumptions!$I$13:$I$32,MATCH(P85,Assumptions!$I$13:$I$32,-1)),
INDEX(Assumptions!$I$13:$I$32,MATCH(P85,Assumptions!$I$13:$I$32,-1)+1)),
INDEX(Assumptions!$I$13:$I$32,MATCH(P85,Assumptions!$I$13:$I$32,-1)),
INDEX(Assumptions!$I$13:$I$32,MATCH(P85,Assumptions!$I$13:$I$32,-1)+1))),
"")</f>
        <v/>
      </c>
      <c r="AL85" s="95" t="str">
        <f>IFERROR(
IF(C85="VTS",
VLOOKUP(AK85,Assumptions!$I$38:$K$57,MATCH(R85,Assumptions!$I$37:$K$37,0),FALSE),
VLOOKUP(AK85,Assumptions!$I$13:$K$32,MATCH(R85,Assumptions!$I$12:$K$12,0),FALSE)),
"")</f>
        <v/>
      </c>
      <c r="AM85" s="95" t="str">
        <f t="shared" si="32"/>
        <v/>
      </c>
      <c r="AN85" s="95" t="str">
        <f>IFERROR(AM85*
(Assumptions!$S$7*(Y85/(AQ85*Assumptions!$AB$9/100)/P85)^3+
Assumptions!$S$8*(Y85/(AQ85*Assumptions!$AB$9/100)/P85)^2+
Assumptions!$S$9*(Y85/(AQ85*Assumptions!$AB$9/100)/P85)+
Assumptions!$S$10),"")</f>
        <v/>
      </c>
      <c r="AO85" s="95" t="str">
        <f>IFERROR(AM85*
(Assumptions!$S$7*(AD85/(AQ85*Assumptions!$AB$8/100)/P85)^3+
Assumptions!$S$8*(AD85/(AQ85*Assumptions!$AB$8/100)/P85)^2+
Assumptions!$S$9*(AD85/(AQ85*Assumptions!$AB$8/100)/P85)+
Assumptions!$S$10),"")</f>
        <v/>
      </c>
      <c r="AP85" s="95" t="str">
        <f>IFERROR(AM85*
(Assumptions!$S$7*(AI85/(AQ85*Assumptions!$AB$10/100)/P85)^3+
Assumptions!$S$8*(AI85/(AQ85*Assumptions!$AB$10/100)/P85)^2+
Assumptions!$S$9*(AI85/(AQ85*Assumptions!$AB$10/100)/P85)+
Assumptions!$S$10),"")</f>
        <v/>
      </c>
      <c r="AQ85" s="95" t="str">
        <f>IFERROR(
Assumptions!$AD$8*LN(U85)^2+
Assumptions!$AE$8*LN(T85)*LN(U85)+
Assumptions!$AF$8*LN(T85)^2+
Assumptions!$AG$8*LN(U85)+
Assumptions!$AH$8*LN(T85)-
(IF(S85=1800,
VLOOKUP(C85,Assumptions!$AA$13:$AC$17,3),
IF(S85=3600,
VLOOKUP(C85,Assumptions!$AA$18:$AC$22,3),
""))+Assumptions!$AI$8),
"")</f>
        <v/>
      </c>
      <c r="AR85" s="96" t="str">
        <f>IFERROR(
Assumptions!$D$11*(Y85/(Assumptions!$AB$9*AQ85/100)+AN85)+
Assumptions!$D$10*(AD85/(Assumptions!$AB$8*AQ85/100)+AO85)+
Assumptions!$D$12*(AI85/(Assumptions!$AB$10*AQ85/100)+AP85),
"")</f>
        <v/>
      </c>
      <c r="AS85" s="76" t="str">
        <f>IFERROR(
(W85+X85)*Assumptions!$D$11+
(AB85+AC85)*Assumptions!$D$10+
(AG85+AH85)*Assumptions!$D$12,
"")</f>
        <v/>
      </c>
      <c r="AT85" s="77" t="str">
        <f t="shared" si="33"/>
        <v/>
      </c>
      <c r="AU85" s="68" t="str">
        <f t="shared" si="18"/>
        <v/>
      </c>
    </row>
    <row r="86" spans="1:47" s="7" customFormat="1" x14ac:dyDescent="0.25">
      <c r="A86" s="264"/>
      <c r="B86" s="265"/>
      <c r="C86" s="265"/>
      <c r="D86" s="265"/>
      <c r="E86" s="266"/>
      <c r="F86" s="270"/>
      <c r="G86" s="271"/>
      <c r="H86" s="271"/>
      <c r="I86" s="272"/>
      <c r="J86" s="270"/>
      <c r="K86" s="271"/>
      <c r="L86" s="272"/>
      <c r="M86" s="270"/>
      <c r="N86" s="271"/>
      <c r="O86" s="272"/>
      <c r="P86" s="290"/>
      <c r="Q86" s="291"/>
      <c r="R86" s="51" t="str">
        <f t="shared" si="19"/>
        <v/>
      </c>
      <c r="S86" s="84" t="str">
        <f t="shared" si="21"/>
        <v/>
      </c>
      <c r="T86" s="93" t="str">
        <f t="shared" si="22"/>
        <v/>
      </c>
      <c r="U86" s="100" t="str">
        <f t="shared" si="23"/>
        <v/>
      </c>
      <c r="V86" s="95" t="str">
        <f t="shared" si="24"/>
        <v/>
      </c>
      <c r="W86" s="95" t="str">
        <f t="shared" si="25"/>
        <v/>
      </c>
      <c r="X86" s="95" t="str">
        <f>IFERROR(AJ86*
(Assumptions!$S$7*(W86/P86)^3+
Assumptions!$S$8*(W86/P86)^2+
Assumptions!$S$9*(W86/P86)+
Assumptions!$S$10),
"")</f>
        <v/>
      </c>
      <c r="Y86" s="96" t="str">
        <f>IFERROR(U86*V86*Assumptions!$B$15/3956,"")</f>
        <v/>
      </c>
      <c r="Z86" s="102" t="str">
        <f t="shared" si="26"/>
        <v/>
      </c>
      <c r="AA86" s="95" t="str">
        <f t="shared" si="27"/>
        <v/>
      </c>
      <c r="AB86" s="95" t="str">
        <f t="shared" si="28"/>
        <v/>
      </c>
      <c r="AC86" s="95" t="str">
        <f>IFERROR(AJ86*
(Assumptions!$S$7*(AB86/P86)^3+
Assumptions!$S$8*(AB86/P86)^2+
Assumptions!$S$9*(AB86/P86)+
Assumptions!$S$10),
"")</f>
        <v/>
      </c>
      <c r="AD86" s="96" t="str">
        <f>IFERROR(Z86*AA86*Assumptions!$B$15/3956,"")</f>
        <v/>
      </c>
      <c r="AE86" s="102" t="str">
        <f t="shared" si="29"/>
        <v/>
      </c>
      <c r="AF86" s="95" t="str">
        <f t="shared" si="30"/>
        <v/>
      </c>
      <c r="AG86" s="95" t="str">
        <f t="shared" si="31"/>
        <v/>
      </c>
      <c r="AH86" s="95" t="str">
        <f>IFERROR(AJ86*
(Assumptions!$S$7*(AG86/P86)^3+
Assumptions!$S$8*(AG86/P86)^2+
Assumptions!$S$9*(AG86/P86)+
Assumptions!$S$10),
"")</f>
        <v/>
      </c>
      <c r="AI86" s="96" t="str">
        <f>IFERROR(AE86*AF86*Assumptions!$B$15/3956,"")</f>
        <v/>
      </c>
      <c r="AJ86" s="247" t="str">
        <f t="shared" si="20"/>
        <v/>
      </c>
      <c r="AK86" s="99" t="str">
        <f>IFERROR(
IF(C86="VTS",
IF(P86&gt;=AVERAGE(
INDEX(Assumptions!$I$38:$I$57,MATCH(P86,Assumptions!$I$38:$I$57,-1)),
INDEX(Assumptions!$I$38:$I$57,MATCH(P86,Assumptions!$I$38:$I$57,-1)+1)),
INDEX(Assumptions!$I$38:$I$57,MATCH(P86,Assumptions!$I$38:$I$57,-1)),
INDEX(Assumptions!$I$38:$I$57,MATCH(P86,Assumptions!$I$38:$I$57,-1)+1)),
IF(P86&gt;=AVERAGE(
INDEX(Assumptions!$I$13:$I$32,MATCH(P86,Assumptions!$I$13:$I$32,-1)),
INDEX(Assumptions!$I$13:$I$32,MATCH(P86,Assumptions!$I$13:$I$32,-1)+1)),
INDEX(Assumptions!$I$13:$I$32,MATCH(P86,Assumptions!$I$13:$I$32,-1)),
INDEX(Assumptions!$I$13:$I$32,MATCH(P86,Assumptions!$I$13:$I$32,-1)+1))),
"")</f>
        <v/>
      </c>
      <c r="AL86" s="95" t="str">
        <f>IFERROR(
IF(C86="VTS",
VLOOKUP(AK86,Assumptions!$I$38:$K$57,MATCH(R86,Assumptions!$I$37:$K$37,0),FALSE),
VLOOKUP(AK86,Assumptions!$I$13:$K$32,MATCH(R86,Assumptions!$I$12:$K$12,0),FALSE)),
"")</f>
        <v/>
      </c>
      <c r="AM86" s="95" t="str">
        <f t="shared" si="32"/>
        <v/>
      </c>
      <c r="AN86" s="95" t="str">
        <f>IFERROR(AM86*
(Assumptions!$S$7*(Y86/(AQ86*Assumptions!$AB$9/100)/P86)^3+
Assumptions!$S$8*(Y86/(AQ86*Assumptions!$AB$9/100)/P86)^2+
Assumptions!$S$9*(Y86/(AQ86*Assumptions!$AB$9/100)/P86)+
Assumptions!$S$10),"")</f>
        <v/>
      </c>
      <c r="AO86" s="95" t="str">
        <f>IFERROR(AM86*
(Assumptions!$S$7*(AD86/(AQ86*Assumptions!$AB$8/100)/P86)^3+
Assumptions!$S$8*(AD86/(AQ86*Assumptions!$AB$8/100)/P86)^2+
Assumptions!$S$9*(AD86/(AQ86*Assumptions!$AB$8/100)/P86)+
Assumptions!$S$10),"")</f>
        <v/>
      </c>
      <c r="AP86" s="95" t="str">
        <f>IFERROR(AM86*
(Assumptions!$S$7*(AI86/(AQ86*Assumptions!$AB$10/100)/P86)^3+
Assumptions!$S$8*(AI86/(AQ86*Assumptions!$AB$10/100)/P86)^2+
Assumptions!$S$9*(AI86/(AQ86*Assumptions!$AB$10/100)/P86)+
Assumptions!$S$10),"")</f>
        <v/>
      </c>
      <c r="AQ86" s="95" t="str">
        <f>IFERROR(
Assumptions!$AD$8*LN(U86)^2+
Assumptions!$AE$8*LN(T86)*LN(U86)+
Assumptions!$AF$8*LN(T86)^2+
Assumptions!$AG$8*LN(U86)+
Assumptions!$AH$8*LN(T86)-
(IF(S86=1800,
VLOOKUP(C86,Assumptions!$AA$13:$AC$17,3),
IF(S86=3600,
VLOOKUP(C86,Assumptions!$AA$18:$AC$22,3),
""))+Assumptions!$AI$8),
"")</f>
        <v/>
      </c>
      <c r="AR86" s="96" t="str">
        <f>IFERROR(
Assumptions!$D$11*(Y86/(Assumptions!$AB$9*AQ86/100)+AN86)+
Assumptions!$D$10*(AD86/(Assumptions!$AB$8*AQ86/100)+AO86)+
Assumptions!$D$12*(AI86/(Assumptions!$AB$10*AQ86/100)+AP86),
"")</f>
        <v/>
      </c>
      <c r="AS86" s="76" t="str">
        <f>IFERROR(
(W86+X86)*Assumptions!$D$11+
(AB86+AC86)*Assumptions!$D$10+
(AG86+AH86)*Assumptions!$D$12,
"")</f>
        <v/>
      </c>
      <c r="AT86" s="77" t="str">
        <f t="shared" si="33"/>
        <v/>
      </c>
      <c r="AU86" s="68" t="str">
        <f t="shared" si="18"/>
        <v/>
      </c>
    </row>
    <row r="87" spans="1:47" s="7" customFormat="1" x14ac:dyDescent="0.25">
      <c r="A87" s="264"/>
      <c r="B87" s="265"/>
      <c r="C87" s="265"/>
      <c r="D87" s="265"/>
      <c r="E87" s="266"/>
      <c r="F87" s="270"/>
      <c r="G87" s="271"/>
      <c r="H87" s="271"/>
      <c r="I87" s="272"/>
      <c r="J87" s="270"/>
      <c r="K87" s="271"/>
      <c r="L87" s="272"/>
      <c r="M87" s="270"/>
      <c r="N87" s="271"/>
      <c r="O87" s="272"/>
      <c r="P87" s="290"/>
      <c r="Q87" s="291"/>
      <c r="R87" s="51" t="str">
        <f t="shared" si="19"/>
        <v/>
      </c>
      <c r="S87" s="84" t="str">
        <f t="shared" si="21"/>
        <v/>
      </c>
      <c r="T87" s="93" t="str">
        <f t="shared" si="22"/>
        <v/>
      </c>
      <c r="U87" s="100" t="str">
        <f t="shared" si="23"/>
        <v/>
      </c>
      <c r="V87" s="95" t="str">
        <f t="shared" si="24"/>
        <v/>
      </c>
      <c r="W87" s="95" t="str">
        <f t="shared" si="25"/>
        <v/>
      </c>
      <c r="X87" s="95" t="str">
        <f>IFERROR(AJ87*
(Assumptions!$S$7*(W87/P87)^3+
Assumptions!$S$8*(W87/P87)^2+
Assumptions!$S$9*(W87/P87)+
Assumptions!$S$10),
"")</f>
        <v/>
      </c>
      <c r="Y87" s="96" t="str">
        <f>IFERROR(U87*V87*Assumptions!$B$15/3956,"")</f>
        <v/>
      </c>
      <c r="Z87" s="102" t="str">
        <f t="shared" si="26"/>
        <v/>
      </c>
      <c r="AA87" s="95" t="str">
        <f t="shared" si="27"/>
        <v/>
      </c>
      <c r="AB87" s="95" t="str">
        <f t="shared" si="28"/>
        <v/>
      </c>
      <c r="AC87" s="95" t="str">
        <f>IFERROR(AJ87*
(Assumptions!$S$7*(AB87/P87)^3+
Assumptions!$S$8*(AB87/P87)^2+
Assumptions!$S$9*(AB87/P87)+
Assumptions!$S$10),
"")</f>
        <v/>
      </c>
      <c r="AD87" s="96" t="str">
        <f>IFERROR(Z87*AA87*Assumptions!$B$15/3956,"")</f>
        <v/>
      </c>
      <c r="AE87" s="102" t="str">
        <f t="shared" si="29"/>
        <v/>
      </c>
      <c r="AF87" s="95" t="str">
        <f t="shared" si="30"/>
        <v/>
      </c>
      <c r="AG87" s="95" t="str">
        <f t="shared" si="31"/>
        <v/>
      </c>
      <c r="AH87" s="95" t="str">
        <f>IFERROR(AJ87*
(Assumptions!$S$7*(AG87/P87)^3+
Assumptions!$S$8*(AG87/P87)^2+
Assumptions!$S$9*(AG87/P87)+
Assumptions!$S$10),
"")</f>
        <v/>
      </c>
      <c r="AI87" s="96" t="str">
        <f>IFERROR(AE87*AF87*Assumptions!$B$15/3956,"")</f>
        <v/>
      </c>
      <c r="AJ87" s="247" t="str">
        <f t="shared" si="20"/>
        <v/>
      </c>
      <c r="AK87" s="99" t="str">
        <f>IFERROR(
IF(C87="VTS",
IF(P87&gt;=AVERAGE(
INDEX(Assumptions!$I$38:$I$57,MATCH(P87,Assumptions!$I$38:$I$57,-1)),
INDEX(Assumptions!$I$38:$I$57,MATCH(P87,Assumptions!$I$38:$I$57,-1)+1)),
INDEX(Assumptions!$I$38:$I$57,MATCH(P87,Assumptions!$I$38:$I$57,-1)),
INDEX(Assumptions!$I$38:$I$57,MATCH(P87,Assumptions!$I$38:$I$57,-1)+1)),
IF(P87&gt;=AVERAGE(
INDEX(Assumptions!$I$13:$I$32,MATCH(P87,Assumptions!$I$13:$I$32,-1)),
INDEX(Assumptions!$I$13:$I$32,MATCH(P87,Assumptions!$I$13:$I$32,-1)+1)),
INDEX(Assumptions!$I$13:$I$32,MATCH(P87,Assumptions!$I$13:$I$32,-1)),
INDEX(Assumptions!$I$13:$I$32,MATCH(P87,Assumptions!$I$13:$I$32,-1)+1))),
"")</f>
        <v/>
      </c>
      <c r="AL87" s="95" t="str">
        <f>IFERROR(
IF(C87="VTS",
VLOOKUP(AK87,Assumptions!$I$38:$K$57,MATCH(R87,Assumptions!$I$37:$K$37,0),FALSE),
VLOOKUP(AK87,Assumptions!$I$13:$K$32,MATCH(R87,Assumptions!$I$12:$K$12,0),FALSE)),
"")</f>
        <v/>
      </c>
      <c r="AM87" s="95" t="str">
        <f t="shared" si="32"/>
        <v/>
      </c>
      <c r="AN87" s="95" t="str">
        <f>IFERROR(AM87*
(Assumptions!$S$7*(Y87/(AQ87*Assumptions!$AB$9/100)/P87)^3+
Assumptions!$S$8*(Y87/(AQ87*Assumptions!$AB$9/100)/P87)^2+
Assumptions!$S$9*(Y87/(AQ87*Assumptions!$AB$9/100)/P87)+
Assumptions!$S$10),"")</f>
        <v/>
      </c>
      <c r="AO87" s="95" t="str">
        <f>IFERROR(AM87*
(Assumptions!$S$7*(AD87/(AQ87*Assumptions!$AB$8/100)/P87)^3+
Assumptions!$S$8*(AD87/(AQ87*Assumptions!$AB$8/100)/P87)^2+
Assumptions!$S$9*(AD87/(AQ87*Assumptions!$AB$8/100)/P87)+
Assumptions!$S$10),"")</f>
        <v/>
      </c>
      <c r="AP87" s="95" t="str">
        <f>IFERROR(AM87*
(Assumptions!$S$7*(AI87/(AQ87*Assumptions!$AB$10/100)/P87)^3+
Assumptions!$S$8*(AI87/(AQ87*Assumptions!$AB$10/100)/P87)^2+
Assumptions!$S$9*(AI87/(AQ87*Assumptions!$AB$10/100)/P87)+
Assumptions!$S$10),"")</f>
        <v/>
      </c>
      <c r="AQ87" s="95" t="str">
        <f>IFERROR(
Assumptions!$AD$8*LN(U87)^2+
Assumptions!$AE$8*LN(T87)*LN(U87)+
Assumptions!$AF$8*LN(T87)^2+
Assumptions!$AG$8*LN(U87)+
Assumptions!$AH$8*LN(T87)-
(IF(S87=1800,
VLOOKUP(C87,Assumptions!$AA$13:$AC$17,3),
IF(S87=3600,
VLOOKUP(C87,Assumptions!$AA$18:$AC$22,3),
""))+Assumptions!$AI$8),
"")</f>
        <v/>
      </c>
      <c r="AR87" s="96" t="str">
        <f>IFERROR(
Assumptions!$D$11*(Y87/(Assumptions!$AB$9*AQ87/100)+AN87)+
Assumptions!$D$10*(AD87/(Assumptions!$AB$8*AQ87/100)+AO87)+
Assumptions!$D$12*(AI87/(Assumptions!$AB$10*AQ87/100)+AP87),
"")</f>
        <v/>
      </c>
      <c r="AS87" s="76" t="str">
        <f>IFERROR(
(W87+X87)*Assumptions!$D$11+
(AB87+AC87)*Assumptions!$D$10+
(AG87+AH87)*Assumptions!$D$12,
"")</f>
        <v/>
      </c>
      <c r="AT87" s="77" t="str">
        <f t="shared" si="33"/>
        <v/>
      </c>
      <c r="AU87" s="68" t="str">
        <f t="shared" si="18"/>
        <v/>
      </c>
    </row>
    <row r="88" spans="1:47" s="7" customFormat="1" x14ac:dyDescent="0.25">
      <c r="A88" s="264"/>
      <c r="B88" s="265"/>
      <c r="C88" s="265"/>
      <c r="D88" s="265"/>
      <c r="E88" s="266"/>
      <c r="F88" s="270"/>
      <c r="G88" s="271"/>
      <c r="H88" s="271"/>
      <c r="I88" s="272"/>
      <c r="J88" s="270"/>
      <c r="K88" s="271"/>
      <c r="L88" s="272"/>
      <c r="M88" s="270"/>
      <c r="N88" s="271"/>
      <c r="O88" s="272"/>
      <c r="P88" s="290"/>
      <c r="Q88" s="291"/>
      <c r="R88" s="51" t="str">
        <f t="shared" si="19"/>
        <v/>
      </c>
      <c r="S88" s="84" t="str">
        <f t="shared" si="21"/>
        <v/>
      </c>
      <c r="T88" s="93" t="str">
        <f t="shared" si="22"/>
        <v/>
      </c>
      <c r="U88" s="100" t="str">
        <f t="shared" si="23"/>
        <v/>
      </c>
      <c r="V88" s="95" t="str">
        <f t="shared" si="24"/>
        <v/>
      </c>
      <c r="W88" s="95" t="str">
        <f t="shared" si="25"/>
        <v/>
      </c>
      <c r="X88" s="95" t="str">
        <f>IFERROR(AJ88*
(Assumptions!$S$7*(W88/P88)^3+
Assumptions!$S$8*(W88/P88)^2+
Assumptions!$S$9*(W88/P88)+
Assumptions!$S$10),
"")</f>
        <v/>
      </c>
      <c r="Y88" s="96" t="str">
        <f>IFERROR(U88*V88*Assumptions!$B$15/3956,"")</f>
        <v/>
      </c>
      <c r="Z88" s="102" t="str">
        <f t="shared" si="26"/>
        <v/>
      </c>
      <c r="AA88" s="95" t="str">
        <f t="shared" si="27"/>
        <v/>
      </c>
      <c r="AB88" s="95" t="str">
        <f t="shared" si="28"/>
        <v/>
      </c>
      <c r="AC88" s="95" t="str">
        <f>IFERROR(AJ88*
(Assumptions!$S$7*(AB88/P88)^3+
Assumptions!$S$8*(AB88/P88)^2+
Assumptions!$S$9*(AB88/P88)+
Assumptions!$S$10),
"")</f>
        <v/>
      </c>
      <c r="AD88" s="96" t="str">
        <f>IFERROR(Z88*AA88*Assumptions!$B$15/3956,"")</f>
        <v/>
      </c>
      <c r="AE88" s="102" t="str">
        <f t="shared" si="29"/>
        <v/>
      </c>
      <c r="AF88" s="95" t="str">
        <f t="shared" si="30"/>
        <v/>
      </c>
      <c r="AG88" s="95" t="str">
        <f t="shared" si="31"/>
        <v/>
      </c>
      <c r="AH88" s="95" t="str">
        <f>IFERROR(AJ88*
(Assumptions!$S$7*(AG88/P88)^3+
Assumptions!$S$8*(AG88/P88)^2+
Assumptions!$S$9*(AG88/P88)+
Assumptions!$S$10),
"")</f>
        <v/>
      </c>
      <c r="AI88" s="96" t="str">
        <f>IFERROR(AE88*AF88*Assumptions!$B$15/3956,"")</f>
        <v/>
      </c>
      <c r="AJ88" s="247" t="str">
        <f t="shared" si="20"/>
        <v/>
      </c>
      <c r="AK88" s="99" t="str">
        <f>IFERROR(
IF(C88="VTS",
IF(P88&gt;=AVERAGE(
INDEX(Assumptions!$I$38:$I$57,MATCH(P88,Assumptions!$I$38:$I$57,-1)),
INDEX(Assumptions!$I$38:$I$57,MATCH(P88,Assumptions!$I$38:$I$57,-1)+1)),
INDEX(Assumptions!$I$38:$I$57,MATCH(P88,Assumptions!$I$38:$I$57,-1)),
INDEX(Assumptions!$I$38:$I$57,MATCH(P88,Assumptions!$I$38:$I$57,-1)+1)),
IF(P88&gt;=AVERAGE(
INDEX(Assumptions!$I$13:$I$32,MATCH(P88,Assumptions!$I$13:$I$32,-1)),
INDEX(Assumptions!$I$13:$I$32,MATCH(P88,Assumptions!$I$13:$I$32,-1)+1)),
INDEX(Assumptions!$I$13:$I$32,MATCH(P88,Assumptions!$I$13:$I$32,-1)),
INDEX(Assumptions!$I$13:$I$32,MATCH(P88,Assumptions!$I$13:$I$32,-1)+1))),
"")</f>
        <v/>
      </c>
      <c r="AL88" s="95" t="str">
        <f>IFERROR(
IF(C88="VTS",
VLOOKUP(AK88,Assumptions!$I$38:$K$57,MATCH(R88,Assumptions!$I$37:$K$37,0),FALSE),
VLOOKUP(AK88,Assumptions!$I$13:$K$32,MATCH(R88,Assumptions!$I$12:$K$12,0),FALSE)),
"")</f>
        <v/>
      </c>
      <c r="AM88" s="95" t="str">
        <f t="shared" si="32"/>
        <v/>
      </c>
      <c r="AN88" s="95" t="str">
        <f>IFERROR(AM88*
(Assumptions!$S$7*(Y88/(AQ88*Assumptions!$AB$9/100)/P88)^3+
Assumptions!$S$8*(Y88/(AQ88*Assumptions!$AB$9/100)/P88)^2+
Assumptions!$S$9*(Y88/(AQ88*Assumptions!$AB$9/100)/P88)+
Assumptions!$S$10),"")</f>
        <v/>
      </c>
      <c r="AO88" s="95" t="str">
        <f>IFERROR(AM88*
(Assumptions!$S$7*(AD88/(AQ88*Assumptions!$AB$8/100)/P88)^3+
Assumptions!$S$8*(AD88/(AQ88*Assumptions!$AB$8/100)/P88)^2+
Assumptions!$S$9*(AD88/(AQ88*Assumptions!$AB$8/100)/P88)+
Assumptions!$S$10),"")</f>
        <v/>
      </c>
      <c r="AP88" s="95" t="str">
        <f>IFERROR(AM88*
(Assumptions!$S$7*(AI88/(AQ88*Assumptions!$AB$10/100)/P88)^3+
Assumptions!$S$8*(AI88/(AQ88*Assumptions!$AB$10/100)/P88)^2+
Assumptions!$S$9*(AI88/(AQ88*Assumptions!$AB$10/100)/P88)+
Assumptions!$S$10),"")</f>
        <v/>
      </c>
      <c r="AQ88" s="95" t="str">
        <f>IFERROR(
Assumptions!$AD$8*LN(U88)^2+
Assumptions!$AE$8*LN(T88)*LN(U88)+
Assumptions!$AF$8*LN(T88)^2+
Assumptions!$AG$8*LN(U88)+
Assumptions!$AH$8*LN(T88)-
(IF(S88=1800,
VLOOKUP(C88,Assumptions!$AA$13:$AC$17,3),
IF(S88=3600,
VLOOKUP(C88,Assumptions!$AA$18:$AC$22,3),
""))+Assumptions!$AI$8),
"")</f>
        <v/>
      </c>
      <c r="AR88" s="96" t="str">
        <f>IFERROR(
Assumptions!$D$11*(Y88/(Assumptions!$AB$9*AQ88/100)+AN88)+
Assumptions!$D$10*(AD88/(Assumptions!$AB$8*AQ88/100)+AO88)+
Assumptions!$D$12*(AI88/(Assumptions!$AB$10*AQ88/100)+AP88),
"")</f>
        <v/>
      </c>
      <c r="AS88" s="76" t="str">
        <f>IFERROR(
(W88+X88)*Assumptions!$D$11+
(AB88+AC88)*Assumptions!$D$10+
(AG88+AH88)*Assumptions!$D$12,
"")</f>
        <v/>
      </c>
      <c r="AT88" s="77" t="str">
        <f t="shared" si="33"/>
        <v/>
      </c>
      <c r="AU88" s="68" t="str">
        <f t="shared" si="18"/>
        <v/>
      </c>
    </row>
    <row r="89" spans="1:47" s="7" customFormat="1" x14ac:dyDescent="0.25">
      <c r="A89" s="264"/>
      <c r="B89" s="265"/>
      <c r="C89" s="265"/>
      <c r="D89" s="265"/>
      <c r="E89" s="266"/>
      <c r="F89" s="270"/>
      <c r="G89" s="271"/>
      <c r="H89" s="271"/>
      <c r="I89" s="272"/>
      <c r="J89" s="270"/>
      <c r="K89" s="271"/>
      <c r="L89" s="272"/>
      <c r="M89" s="270"/>
      <c r="N89" s="271"/>
      <c r="O89" s="272"/>
      <c r="P89" s="290"/>
      <c r="Q89" s="291"/>
      <c r="R89" s="51" t="str">
        <f t="shared" si="19"/>
        <v/>
      </c>
      <c r="S89" s="84" t="str">
        <f t="shared" si="21"/>
        <v/>
      </c>
      <c r="T89" s="93" t="str">
        <f t="shared" si="22"/>
        <v/>
      </c>
      <c r="U89" s="100" t="str">
        <f t="shared" si="23"/>
        <v/>
      </c>
      <c r="V89" s="95" t="str">
        <f t="shared" si="24"/>
        <v/>
      </c>
      <c r="W89" s="95" t="str">
        <f t="shared" si="25"/>
        <v/>
      </c>
      <c r="X89" s="95" t="str">
        <f>IFERROR(AJ89*
(Assumptions!$S$7*(W89/P89)^3+
Assumptions!$S$8*(W89/P89)^2+
Assumptions!$S$9*(W89/P89)+
Assumptions!$S$10),
"")</f>
        <v/>
      </c>
      <c r="Y89" s="96" t="str">
        <f>IFERROR(U89*V89*Assumptions!$B$15/3956,"")</f>
        <v/>
      </c>
      <c r="Z89" s="102" t="str">
        <f t="shared" si="26"/>
        <v/>
      </c>
      <c r="AA89" s="95" t="str">
        <f t="shared" si="27"/>
        <v/>
      </c>
      <c r="AB89" s="95" t="str">
        <f t="shared" si="28"/>
        <v/>
      </c>
      <c r="AC89" s="95" t="str">
        <f>IFERROR(AJ89*
(Assumptions!$S$7*(AB89/P89)^3+
Assumptions!$S$8*(AB89/P89)^2+
Assumptions!$S$9*(AB89/P89)+
Assumptions!$S$10),
"")</f>
        <v/>
      </c>
      <c r="AD89" s="96" t="str">
        <f>IFERROR(Z89*AA89*Assumptions!$B$15/3956,"")</f>
        <v/>
      </c>
      <c r="AE89" s="102" t="str">
        <f t="shared" si="29"/>
        <v/>
      </c>
      <c r="AF89" s="95" t="str">
        <f t="shared" si="30"/>
        <v/>
      </c>
      <c r="AG89" s="95" t="str">
        <f t="shared" si="31"/>
        <v/>
      </c>
      <c r="AH89" s="95" t="str">
        <f>IFERROR(AJ89*
(Assumptions!$S$7*(AG89/P89)^3+
Assumptions!$S$8*(AG89/P89)^2+
Assumptions!$S$9*(AG89/P89)+
Assumptions!$S$10),
"")</f>
        <v/>
      </c>
      <c r="AI89" s="96" t="str">
        <f>IFERROR(AE89*AF89*Assumptions!$B$15/3956,"")</f>
        <v/>
      </c>
      <c r="AJ89" s="247" t="str">
        <f t="shared" si="20"/>
        <v/>
      </c>
      <c r="AK89" s="99" t="str">
        <f>IFERROR(
IF(C89="VTS",
IF(P89&gt;=AVERAGE(
INDEX(Assumptions!$I$38:$I$57,MATCH(P89,Assumptions!$I$38:$I$57,-1)),
INDEX(Assumptions!$I$38:$I$57,MATCH(P89,Assumptions!$I$38:$I$57,-1)+1)),
INDEX(Assumptions!$I$38:$I$57,MATCH(P89,Assumptions!$I$38:$I$57,-1)),
INDEX(Assumptions!$I$38:$I$57,MATCH(P89,Assumptions!$I$38:$I$57,-1)+1)),
IF(P89&gt;=AVERAGE(
INDEX(Assumptions!$I$13:$I$32,MATCH(P89,Assumptions!$I$13:$I$32,-1)),
INDEX(Assumptions!$I$13:$I$32,MATCH(P89,Assumptions!$I$13:$I$32,-1)+1)),
INDEX(Assumptions!$I$13:$I$32,MATCH(P89,Assumptions!$I$13:$I$32,-1)),
INDEX(Assumptions!$I$13:$I$32,MATCH(P89,Assumptions!$I$13:$I$32,-1)+1))),
"")</f>
        <v/>
      </c>
      <c r="AL89" s="95" t="str">
        <f>IFERROR(
IF(C89="VTS",
VLOOKUP(AK89,Assumptions!$I$38:$K$57,MATCH(R89,Assumptions!$I$37:$K$37,0),FALSE),
VLOOKUP(AK89,Assumptions!$I$13:$K$32,MATCH(R89,Assumptions!$I$12:$K$12,0),FALSE)),
"")</f>
        <v/>
      </c>
      <c r="AM89" s="95" t="str">
        <f t="shared" si="32"/>
        <v/>
      </c>
      <c r="AN89" s="95" t="str">
        <f>IFERROR(AM89*
(Assumptions!$S$7*(Y89/(AQ89*Assumptions!$AB$9/100)/P89)^3+
Assumptions!$S$8*(Y89/(AQ89*Assumptions!$AB$9/100)/P89)^2+
Assumptions!$S$9*(Y89/(AQ89*Assumptions!$AB$9/100)/P89)+
Assumptions!$S$10),"")</f>
        <v/>
      </c>
      <c r="AO89" s="95" t="str">
        <f>IFERROR(AM89*
(Assumptions!$S$7*(AD89/(AQ89*Assumptions!$AB$8/100)/P89)^3+
Assumptions!$S$8*(AD89/(AQ89*Assumptions!$AB$8/100)/P89)^2+
Assumptions!$S$9*(AD89/(AQ89*Assumptions!$AB$8/100)/P89)+
Assumptions!$S$10),"")</f>
        <v/>
      </c>
      <c r="AP89" s="95" t="str">
        <f>IFERROR(AM89*
(Assumptions!$S$7*(AI89/(AQ89*Assumptions!$AB$10/100)/P89)^3+
Assumptions!$S$8*(AI89/(AQ89*Assumptions!$AB$10/100)/P89)^2+
Assumptions!$S$9*(AI89/(AQ89*Assumptions!$AB$10/100)/P89)+
Assumptions!$S$10),"")</f>
        <v/>
      </c>
      <c r="AQ89" s="95" t="str">
        <f>IFERROR(
Assumptions!$AD$8*LN(U89)^2+
Assumptions!$AE$8*LN(T89)*LN(U89)+
Assumptions!$AF$8*LN(T89)^2+
Assumptions!$AG$8*LN(U89)+
Assumptions!$AH$8*LN(T89)-
(IF(S89=1800,
VLOOKUP(C89,Assumptions!$AA$13:$AC$17,3),
IF(S89=3600,
VLOOKUP(C89,Assumptions!$AA$18:$AC$22,3),
""))+Assumptions!$AI$8),
"")</f>
        <v/>
      </c>
      <c r="AR89" s="96" t="str">
        <f>IFERROR(
Assumptions!$D$11*(Y89/(Assumptions!$AB$9*AQ89/100)+AN89)+
Assumptions!$D$10*(AD89/(Assumptions!$AB$8*AQ89/100)+AO89)+
Assumptions!$D$12*(AI89/(Assumptions!$AB$10*AQ89/100)+AP89),
"")</f>
        <v/>
      </c>
      <c r="AS89" s="76" t="str">
        <f>IFERROR(
(W89+X89)*Assumptions!$D$11+
(AB89+AC89)*Assumptions!$D$10+
(AG89+AH89)*Assumptions!$D$12,
"")</f>
        <v/>
      </c>
      <c r="AT89" s="77" t="str">
        <f t="shared" si="33"/>
        <v/>
      </c>
      <c r="AU89" s="68" t="str">
        <f t="shared" si="18"/>
        <v/>
      </c>
    </row>
    <row r="90" spans="1:47" s="7" customFormat="1" x14ac:dyDescent="0.25">
      <c r="A90" s="264"/>
      <c r="B90" s="265"/>
      <c r="C90" s="265"/>
      <c r="D90" s="265"/>
      <c r="E90" s="266"/>
      <c r="F90" s="270"/>
      <c r="G90" s="271"/>
      <c r="H90" s="271"/>
      <c r="I90" s="272"/>
      <c r="J90" s="270"/>
      <c r="K90" s="271"/>
      <c r="L90" s="272"/>
      <c r="M90" s="270"/>
      <c r="N90" s="271"/>
      <c r="O90" s="272"/>
      <c r="P90" s="290"/>
      <c r="Q90" s="291"/>
      <c r="R90" s="51" t="str">
        <f t="shared" si="19"/>
        <v/>
      </c>
      <c r="S90" s="84" t="str">
        <f t="shared" si="21"/>
        <v/>
      </c>
      <c r="T90" s="93" t="str">
        <f t="shared" si="22"/>
        <v/>
      </c>
      <c r="U90" s="100" t="str">
        <f t="shared" si="23"/>
        <v/>
      </c>
      <c r="V90" s="95" t="str">
        <f t="shared" si="24"/>
        <v/>
      </c>
      <c r="W90" s="95" t="str">
        <f t="shared" si="25"/>
        <v/>
      </c>
      <c r="X90" s="95" t="str">
        <f>IFERROR(AJ90*
(Assumptions!$S$7*(W90/P90)^3+
Assumptions!$S$8*(W90/P90)^2+
Assumptions!$S$9*(W90/P90)+
Assumptions!$S$10),
"")</f>
        <v/>
      </c>
      <c r="Y90" s="96" t="str">
        <f>IFERROR(U90*V90*Assumptions!$B$15/3956,"")</f>
        <v/>
      </c>
      <c r="Z90" s="102" t="str">
        <f t="shared" si="26"/>
        <v/>
      </c>
      <c r="AA90" s="95" t="str">
        <f t="shared" si="27"/>
        <v/>
      </c>
      <c r="AB90" s="95" t="str">
        <f t="shared" si="28"/>
        <v/>
      </c>
      <c r="AC90" s="95" t="str">
        <f>IFERROR(AJ90*
(Assumptions!$S$7*(AB90/P90)^3+
Assumptions!$S$8*(AB90/P90)^2+
Assumptions!$S$9*(AB90/P90)+
Assumptions!$S$10),
"")</f>
        <v/>
      </c>
      <c r="AD90" s="96" t="str">
        <f>IFERROR(Z90*AA90*Assumptions!$B$15/3956,"")</f>
        <v/>
      </c>
      <c r="AE90" s="102" t="str">
        <f t="shared" si="29"/>
        <v/>
      </c>
      <c r="AF90" s="95" t="str">
        <f t="shared" si="30"/>
        <v/>
      </c>
      <c r="AG90" s="95" t="str">
        <f t="shared" si="31"/>
        <v/>
      </c>
      <c r="AH90" s="95" t="str">
        <f>IFERROR(AJ90*
(Assumptions!$S$7*(AG90/P90)^3+
Assumptions!$S$8*(AG90/P90)^2+
Assumptions!$S$9*(AG90/P90)+
Assumptions!$S$10),
"")</f>
        <v/>
      </c>
      <c r="AI90" s="96" t="str">
        <f>IFERROR(AE90*AF90*Assumptions!$B$15/3956,"")</f>
        <v/>
      </c>
      <c r="AJ90" s="247" t="str">
        <f t="shared" si="20"/>
        <v/>
      </c>
      <c r="AK90" s="99" t="str">
        <f>IFERROR(
IF(C90="VTS",
IF(P90&gt;=AVERAGE(
INDEX(Assumptions!$I$38:$I$57,MATCH(P90,Assumptions!$I$38:$I$57,-1)),
INDEX(Assumptions!$I$38:$I$57,MATCH(P90,Assumptions!$I$38:$I$57,-1)+1)),
INDEX(Assumptions!$I$38:$I$57,MATCH(P90,Assumptions!$I$38:$I$57,-1)),
INDEX(Assumptions!$I$38:$I$57,MATCH(P90,Assumptions!$I$38:$I$57,-1)+1)),
IF(P90&gt;=AVERAGE(
INDEX(Assumptions!$I$13:$I$32,MATCH(P90,Assumptions!$I$13:$I$32,-1)),
INDEX(Assumptions!$I$13:$I$32,MATCH(P90,Assumptions!$I$13:$I$32,-1)+1)),
INDEX(Assumptions!$I$13:$I$32,MATCH(P90,Assumptions!$I$13:$I$32,-1)),
INDEX(Assumptions!$I$13:$I$32,MATCH(P90,Assumptions!$I$13:$I$32,-1)+1))),
"")</f>
        <v/>
      </c>
      <c r="AL90" s="95" t="str">
        <f>IFERROR(
IF(C90="VTS",
VLOOKUP(AK90,Assumptions!$I$38:$K$57,MATCH(R90,Assumptions!$I$37:$K$37,0),FALSE),
VLOOKUP(AK90,Assumptions!$I$13:$K$32,MATCH(R90,Assumptions!$I$12:$K$12,0),FALSE)),
"")</f>
        <v/>
      </c>
      <c r="AM90" s="95" t="str">
        <f t="shared" si="32"/>
        <v/>
      </c>
      <c r="AN90" s="95" t="str">
        <f>IFERROR(AM90*
(Assumptions!$S$7*(Y90/(AQ90*Assumptions!$AB$9/100)/P90)^3+
Assumptions!$S$8*(Y90/(AQ90*Assumptions!$AB$9/100)/P90)^2+
Assumptions!$S$9*(Y90/(AQ90*Assumptions!$AB$9/100)/P90)+
Assumptions!$S$10),"")</f>
        <v/>
      </c>
      <c r="AO90" s="95" t="str">
        <f>IFERROR(AM90*
(Assumptions!$S$7*(AD90/(AQ90*Assumptions!$AB$8/100)/P90)^3+
Assumptions!$S$8*(AD90/(AQ90*Assumptions!$AB$8/100)/P90)^2+
Assumptions!$S$9*(AD90/(AQ90*Assumptions!$AB$8/100)/P90)+
Assumptions!$S$10),"")</f>
        <v/>
      </c>
      <c r="AP90" s="95" t="str">
        <f>IFERROR(AM90*
(Assumptions!$S$7*(AI90/(AQ90*Assumptions!$AB$10/100)/P90)^3+
Assumptions!$S$8*(AI90/(AQ90*Assumptions!$AB$10/100)/P90)^2+
Assumptions!$S$9*(AI90/(AQ90*Assumptions!$AB$10/100)/P90)+
Assumptions!$S$10),"")</f>
        <v/>
      </c>
      <c r="AQ90" s="95" t="str">
        <f>IFERROR(
Assumptions!$AD$8*LN(U90)^2+
Assumptions!$AE$8*LN(T90)*LN(U90)+
Assumptions!$AF$8*LN(T90)^2+
Assumptions!$AG$8*LN(U90)+
Assumptions!$AH$8*LN(T90)-
(IF(S90=1800,
VLOOKUP(C90,Assumptions!$AA$13:$AC$17,3),
IF(S90=3600,
VLOOKUP(C90,Assumptions!$AA$18:$AC$22,3),
""))+Assumptions!$AI$8),
"")</f>
        <v/>
      </c>
      <c r="AR90" s="96" t="str">
        <f>IFERROR(
Assumptions!$D$11*(Y90/(Assumptions!$AB$9*AQ90/100)+AN90)+
Assumptions!$D$10*(AD90/(Assumptions!$AB$8*AQ90/100)+AO90)+
Assumptions!$D$12*(AI90/(Assumptions!$AB$10*AQ90/100)+AP90),
"")</f>
        <v/>
      </c>
      <c r="AS90" s="76" t="str">
        <f>IFERROR(
(W90+X90)*Assumptions!$D$11+
(AB90+AC90)*Assumptions!$D$10+
(AG90+AH90)*Assumptions!$D$12,
"")</f>
        <v/>
      </c>
      <c r="AT90" s="77" t="str">
        <f t="shared" si="33"/>
        <v/>
      </c>
      <c r="AU90" s="68" t="str">
        <f t="shared" si="18"/>
        <v/>
      </c>
    </row>
    <row r="91" spans="1:47" s="7" customFormat="1" x14ac:dyDescent="0.25">
      <c r="A91" s="264"/>
      <c r="B91" s="265"/>
      <c r="C91" s="265"/>
      <c r="D91" s="265"/>
      <c r="E91" s="266"/>
      <c r="F91" s="270"/>
      <c r="G91" s="271"/>
      <c r="H91" s="271"/>
      <c r="I91" s="272"/>
      <c r="J91" s="270"/>
      <c r="K91" s="271"/>
      <c r="L91" s="272"/>
      <c r="M91" s="270"/>
      <c r="N91" s="271"/>
      <c r="O91" s="272"/>
      <c r="P91" s="290"/>
      <c r="Q91" s="291"/>
      <c r="R91" s="51" t="str">
        <f t="shared" si="19"/>
        <v/>
      </c>
      <c r="S91" s="84" t="str">
        <f t="shared" si="21"/>
        <v/>
      </c>
      <c r="T91" s="93" t="str">
        <f t="shared" si="22"/>
        <v/>
      </c>
      <c r="U91" s="100" t="str">
        <f t="shared" si="23"/>
        <v/>
      </c>
      <c r="V91" s="95" t="str">
        <f t="shared" si="24"/>
        <v/>
      </c>
      <c r="W91" s="95" t="str">
        <f t="shared" si="25"/>
        <v/>
      </c>
      <c r="X91" s="95" t="str">
        <f>IFERROR(AJ91*
(Assumptions!$S$7*(W91/P91)^3+
Assumptions!$S$8*(W91/P91)^2+
Assumptions!$S$9*(W91/P91)+
Assumptions!$S$10),
"")</f>
        <v/>
      </c>
      <c r="Y91" s="96" t="str">
        <f>IFERROR(U91*V91*Assumptions!$B$15/3956,"")</f>
        <v/>
      </c>
      <c r="Z91" s="102" t="str">
        <f t="shared" si="26"/>
        <v/>
      </c>
      <c r="AA91" s="95" t="str">
        <f t="shared" si="27"/>
        <v/>
      </c>
      <c r="AB91" s="95" t="str">
        <f t="shared" si="28"/>
        <v/>
      </c>
      <c r="AC91" s="95" t="str">
        <f>IFERROR(AJ91*
(Assumptions!$S$7*(AB91/P91)^3+
Assumptions!$S$8*(AB91/P91)^2+
Assumptions!$S$9*(AB91/P91)+
Assumptions!$S$10),
"")</f>
        <v/>
      </c>
      <c r="AD91" s="96" t="str">
        <f>IFERROR(Z91*AA91*Assumptions!$B$15/3956,"")</f>
        <v/>
      </c>
      <c r="AE91" s="102" t="str">
        <f t="shared" si="29"/>
        <v/>
      </c>
      <c r="AF91" s="95" t="str">
        <f t="shared" si="30"/>
        <v/>
      </c>
      <c r="AG91" s="95" t="str">
        <f t="shared" si="31"/>
        <v/>
      </c>
      <c r="AH91" s="95" t="str">
        <f>IFERROR(AJ91*
(Assumptions!$S$7*(AG91/P91)^3+
Assumptions!$S$8*(AG91/P91)^2+
Assumptions!$S$9*(AG91/P91)+
Assumptions!$S$10),
"")</f>
        <v/>
      </c>
      <c r="AI91" s="96" t="str">
        <f>IFERROR(AE91*AF91*Assumptions!$B$15/3956,"")</f>
        <v/>
      </c>
      <c r="AJ91" s="247" t="str">
        <f t="shared" si="20"/>
        <v/>
      </c>
      <c r="AK91" s="99" t="str">
        <f>IFERROR(
IF(C91="VTS",
IF(P91&gt;=AVERAGE(
INDEX(Assumptions!$I$38:$I$57,MATCH(P91,Assumptions!$I$38:$I$57,-1)),
INDEX(Assumptions!$I$38:$I$57,MATCH(P91,Assumptions!$I$38:$I$57,-1)+1)),
INDEX(Assumptions!$I$38:$I$57,MATCH(P91,Assumptions!$I$38:$I$57,-1)),
INDEX(Assumptions!$I$38:$I$57,MATCH(P91,Assumptions!$I$38:$I$57,-1)+1)),
IF(P91&gt;=AVERAGE(
INDEX(Assumptions!$I$13:$I$32,MATCH(P91,Assumptions!$I$13:$I$32,-1)),
INDEX(Assumptions!$I$13:$I$32,MATCH(P91,Assumptions!$I$13:$I$32,-1)+1)),
INDEX(Assumptions!$I$13:$I$32,MATCH(P91,Assumptions!$I$13:$I$32,-1)),
INDEX(Assumptions!$I$13:$I$32,MATCH(P91,Assumptions!$I$13:$I$32,-1)+1))),
"")</f>
        <v/>
      </c>
      <c r="AL91" s="95" t="str">
        <f>IFERROR(
IF(C91="VTS",
VLOOKUP(AK91,Assumptions!$I$38:$K$57,MATCH(R91,Assumptions!$I$37:$K$37,0),FALSE),
VLOOKUP(AK91,Assumptions!$I$13:$K$32,MATCH(R91,Assumptions!$I$12:$K$12,0),FALSE)),
"")</f>
        <v/>
      </c>
      <c r="AM91" s="95" t="str">
        <f t="shared" si="32"/>
        <v/>
      </c>
      <c r="AN91" s="95" t="str">
        <f>IFERROR(AM91*
(Assumptions!$S$7*(Y91/(AQ91*Assumptions!$AB$9/100)/P91)^3+
Assumptions!$S$8*(Y91/(AQ91*Assumptions!$AB$9/100)/P91)^2+
Assumptions!$S$9*(Y91/(AQ91*Assumptions!$AB$9/100)/P91)+
Assumptions!$S$10),"")</f>
        <v/>
      </c>
      <c r="AO91" s="95" t="str">
        <f>IFERROR(AM91*
(Assumptions!$S$7*(AD91/(AQ91*Assumptions!$AB$8/100)/P91)^3+
Assumptions!$S$8*(AD91/(AQ91*Assumptions!$AB$8/100)/P91)^2+
Assumptions!$S$9*(AD91/(AQ91*Assumptions!$AB$8/100)/P91)+
Assumptions!$S$10),"")</f>
        <v/>
      </c>
      <c r="AP91" s="95" t="str">
        <f>IFERROR(AM91*
(Assumptions!$S$7*(AI91/(AQ91*Assumptions!$AB$10/100)/P91)^3+
Assumptions!$S$8*(AI91/(AQ91*Assumptions!$AB$10/100)/P91)^2+
Assumptions!$S$9*(AI91/(AQ91*Assumptions!$AB$10/100)/P91)+
Assumptions!$S$10),"")</f>
        <v/>
      </c>
      <c r="AQ91" s="95" t="str">
        <f>IFERROR(
Assumptions!$AD$8*LN(U91)^2+
Assumptions!$AE$8*LN(T91)*LN(U91)+
Assumptions!$AF$8*LN(T91)^2+
Assumptions!$AG$8*LN(U91)+
Assumptions!$AH$8*LN(T91)-
(IF(S91=1800,
VLOOKUP(C91,Assumptions!$AA$13:$AC$17,3),
IF(S91=3600,
VLOOKUP(C91,Assumptions!$AA$18:$AC$22,3),
""))+Assumptions!$AI$8),
"")</f>
        <v/>
      </c>
      <c r="AR91" s="96" t="str">
        <f>IFERROR(
Assumptions!$D$11*(Y91/(Assumptions!$AB$9*AQ91/100)+AN91)+
Assumptions!$D$10*(AD91/(Assumptions!$AB$8*AQ91/100)+AO91)+
Assumptions!$D$12*(AI91/(Assumptions!$AB$10*AQ91/100)+AP91),
"")</f>
        <v/>
      </c>
      <c r="AS91" s="76" t="str">
        <f>IFERROR(
(W91+X91)*Assumptions!$D$11+
(AB91+AC91)*Assumptions!$D$10+
(AG91+AH91)*Assumptions!$D$12,
"")</f>
        <v/>
      </c>
      <c r="AT91" s="77" t="str">
        <f t="shared" si="33"/>
        <v/>
      </c>
      <c r="AU91" s="68" t="str">
        <f t="shared" si="18"/>
        <v/>
      </c>
    </row>
    <row r="92" spans="1:47" s="7" customFormat="1" x14ac:dyDescent="0.25">
      <c r="A92" s="264"/>
      <c r="B92" s="265"/>
      <c r="C92" s="265"/>
      <c r="D92" s="265"/>
      <c r="E92" s="266"/>
      <c r="F92" s="270"/>
      <c r="G92" s="271"/>
      <c r="H92" s="271"/>
      <c r="I92" s="272"/>
      <c r="J92" s="270"/>
      <c r="K92" s="271"/>
      <c r="L92" s="272"/>
      <c r="M92" s="270"/>
      <c r="N92" s="271"/>
      <c r="O92" s="272"/>
      <c r="P92" s="290"/>
      <c r="Q92" s="291"/>
      <c r="R92" s="51" t="str">
        <f t="shared" si="19"/>
        <v/>
      </c>
      <c r="S92" s="84" t="str">
        <f t="shared" si="21"/>
        <v/>
      </c>
      <c r="T92" s="93" t="str">
        <f t="shared" si="22"/>
        <v/>
      </c>
      <c r="U92" s="100" t="str">
        <f t="shared" si="23"/>
        <v/>
      </c>
      <c r="V92" s="95" t="str">
        <f t="shared" si="24"/>
        <v/>
      </c>
      <c r="W92" s="95" t="str">
        <f t="shared" si="25"/>
        <v/>
      </c>
      <c r="X92" s="95" t="str">
        <f>IFERROR(AJ92*
(Assumptions!$S$7*(W92/P92)^3+
Assumptions!$S$8*(W92/P92)^2+
Assumptions!$S$9*(W92/P92)+
Assumptions!$S$10),
"")</f>
        <v/>
      </c>
      <c r="Y92" s="96" t="str">
        <f>IFERROR(U92*V92*Assumptions!$B$15/3956,"")</f>
        <v/>
      </c>
      <c r="Z92" s="102" t="str">
        <f t="shared" si="26"/>
        <v/>
      </c>
      <c r="AA92" s="95" t="str">
        <f t="shared" si="27"/>
        <v/>
      </c>
      <c r="AB92" s="95" t="str">
        <f t="shared" si="28"/>
        <v/>
      </c>
      <c r="AC92" s="95" t="str">
        <f>IFERROR(AJ92*
(Assumptions!$S$7*(AB92/P92)^3+
Assumptions!$S$8*(AB92/P92)^2+
Assumptions!$S$9*(AB92/P92)+
Assumptions!$S$10),
"")</f>
        <v/>
      </c>
      <c r="AD92" s="96" t="str">
        <f>IFERROR(Z92*AA92*Assumptions!$B$15/3956,"")</f>
        <v/>
      </c>
      <c r="AE92" s="102" t="str">
        <f t="shared" si="29"/>
        <v/>
      </c>
      <c r="AF92" s="95" t="str">
        <f t="shared" si="30"/>
        <v/>
      </c>
      <c r="AG92" s="95" t="str">
        <f t="shared" si="31"/>
        <v/>
      </c>
      <c r="AH92" s="95" t="str">
        <f>IFERROR(AJ92*
(Assumptions!$S$7*(AG92/P92)^3+
Assumptions!$S$8*(AG92/P92)^2+
Assumptions!$S$9*(AG92/P92)+
Assumptions!$S$10),
"")</f>
        <v/>
      </c>
      <c r="AI92" s="96" t="str">
        <f>IFERROR(AE92*AF92*Assumptions!$B$15/3956,"")</f>
        <v/>
      </c>
      <c r="AJ92" s="247" t="str">
        <f t="shared" si="20"/>
        <v/>
      </c>
      <c r="AK92" s="99" t="str">
        <f>IFERROR(
IF(C92="VTS",
IF(P92&gt;=AVERAGE(
INDEX(Assumptions!$I$38:$I$57,MATCH(P92,Assumptions!$I$38:$I$57,-1)),
INDEX(Assumptions!$I$38:$I$57,MATCH(P92,Assumptions!$I$38:$I$57,-1)+1)),
INDEX(Assumptions!$I$38:$I$57,MATCH(P92,Assumptions!$I$38:$I$57,-1)),
INDEX(Assumptions!$I$38:$I$57,MATCH(P92,Assumptions!$I$38:$I$57,-1)+1)),
IF(P92&gt;=AVERAGE(
INDEX(Assumptions!$I$13:$I$32,MATCH(P92,Assumptions!$I$13:$I$32,-1)),
INDEX(Assumptions!$I$13:$I$32,MATCH(P92,Assumptions!$I$13:$I$32,-1)+1)),
INDEX(Assumptions!$I$13:$I$32,MATCH(P92,Assumptions!$I$13:$I$32,-1)),
INDEX(Assumptions!$I$13:$I$32,MATCH(P92,Assumptions!$I$13:$I$32,-1)+1))),
"")</f>
        <v/>
      </c>
      <c r="AL92" s="95" t="str">
        <f>IFERROR(
IF(C92="VTS",
VLOOKUP(AK92,Assumptions!$I$38:$K$57,MATCH(R92,Assumptions!$I$37:$K$37,0),FALSE),
VLOOKUP(AK92,Assumptions!$I$13:$K$32,MATCH(R92,Assumptions!$I$12:$K$12,0),FALSE)),
"")</f>
        <v/>
      </c>
      <c r="AM92" s="95" t="str">
        <f t="shared" si="32"/>
        <v/>
      </c>
      <c r="AN92" s="95" t="str">
        <f>IFERROR(AM92*
(Assumptions!$S$7*(Y92/(AQ92*Assumptions!$AB$9/100)/P92)^3+
Assumptions!$S$8*(Y92/(AQ92*Assumptions!$AB$9/100)/P92)^2+
Assumptions!$S$9*(Y92/(AQ92*Assumptions!$AB$9/100)/P92)+
Assumptions!$S$10),"")</f>
        <v/>
      </c>
      <c r="AO92" s="95" t="str">
        <f>IFERROR(AM92*
(Assumptions!$S$7*(AD92/(AQ92*Assumptions!$AB$8/100)/P92)^3+
Assumptions!$S$8*(AD92/(AQ92*Assumptions!$AB$8/100)/P92)^2+
Assumptions!$S$9*(AD92/(AQ92*Assumptions!$AB$8/100)/P92)+
Assumptions!$S$10),"")</f>
        <v/>
      </c>
      <c r="AP92" s="95" t="str">
        <f>IFERROR(AM92*
(Assumptions!$S$7*(AI92/(AQ92*Assumptions!$AB$10/100)/P92)^3+
Assumptions!$S$8*(AI92/(AQ92*Assumptions!$AB$10/100)/P92)^2+
Assumptions!$S$9*(AI92/(AQ92*Assumptions!$AB$10/100)/P92)+
Assumptions!$S$10),"")</f>
        <v/>
      </c>
      <c r="AQ92" s="95" t="str">
        <f>IFERROR(
Assumptions!$AD$8*LN(U92)^2+
Assumptions!$AE$8*LN(T92)*LN(U92)+
Assumptions!$AF$8*LN(T92)^2+
Assumptions!$AG$8*LN(U92)+
Assumptions!$AH$8*LN(T92)-
(IF(S92=1800,
VLOOKUP(C92,Assumptions!$AA$13:$AC$17,3),
IF(S92=3600,
VLOOKUP(C92,Assumptions!$AA$18:$AC$22,3),
""))+Assumptions!$AI$8),
"")</f>
        <v/>
      </c>
      <c r="AR92" s="96" t="str">
        <f>IFERROR(
Assumptions!$D$11*(Y92/(Assumptions!$AB$9*AQ92/100)+AN92)+
Assumptions!$D$10*(AD92/(Assumptions!$AB$8*AQ92/100)+AO92)+
Assumptions!$D$12*(AI92/(Assumptions!$AB$10*AQ92/100)+AP92),
"")</f>
        <v/>
      </c>
      <c r="AS92" s="76" t="str">
        <f>IFERROR(
(W92+X92)*Assumptions!$D$11+
(AB92+AC92)*Assumptions!$D$10+
(AG92+AH92)*Assumptions!$D$12,
"")</f>
        <v/>
      </c>
      <c r="AT92" s="77" t="str">
        <f t="shared" si="33"/>
        <v/>
      </c>
      <c r="AU92" s="68" t="str">
        <f t="shared" si="18"/>
        <v/>
      </c>
    </row>
    <row r="93" spans="1:47" s="7" customFormat="1" x14ac:dyDescent="0.25">
      <c r="A93" s="264"/>
      <c r="B93" s="265"/>
      <c r="C93" s="265"/>
      <c r="D93" s="265"/>
      <c r="E93" s="266"/>
      <c r="F93" s="270"/>
      <c r="G93" s="271"/>
      <c r="H93" s="271"/>
      <c r="I93" s="272"/>
      <c r="J93" s="270"/>
      <c r="K93" s="271"/>
      <c r="L93" s="272"/>
      <c r="M93" s="270"/>
      <c r="N93" s="271"/>
      <c r="O93" s="272"/>
      <c r="P93" s="290"/>
      <c r="Q93" s="291"/>
      <c r="R93" s="51" t="str">
        <f t="shared" si="19"/>
        <v/>
      </c>
      <c r="S93" s="84" t="str">
        <f t="shared" si="21"/>
        <v/>
      </c>
      <c r="T93" s="93" t="str">
        <f t="shared" si="22"/>
        <v/>
      </c>
      <c r="U93" s="100" t="str">
        <f t="shared" si="23"/>
        <v/>
      </c>
      <c r="V93" s="95" t="str">
        <f t="shared" si="24"/>
        <v/>
      </c>
      <c r="W93" s="95" t="str">
        <f t="shared" si="25"/>
        <v/>
      </c>
      <c r="X93" s="95" t="str">
        <f>IFERROR(AJ93*
(Assumptions!$S$7*(W93/P93)^3+
Assumptions!$S$8*(W93/P93)^2+
Assumptions!$S$9*(W93/P93)+
Assumptions!$S$10),
"")</f>
        <v/>
      </c>
      <c r="Y93" s="96" t="str">
        <f>IFERROR(U93*V93*Assumptions!$B$15/3956,"")</f>
        <v/>
      </c>
      <c r="Z93" s="102" t="str">
        <f t="shared" si="26"/>
        <v/>
      </c>
      <c r="AA93" s="95" t="str">
        <f t="shared" si="27"/>
        <v/>
      </c>
      <c r="AB93" s="95" t="str">
        <f t="shared" si="28"/>
        <v/>
      </c>
      <c r="AC93" s="95" t="str">
        <f>IFERROR(AJ93*
(Assumptions!$S$7*(AB93/P93)^3+
Assumptions!$S$8*(AB93/P93)^2+
Assumptions!$S$9*(AB93/P93)+
Assumptions!$S$10),
"")</f>
        <v/>
      </c>
      <c r="AD93" s="96" t="str">
        <f>IFERROR(Z93*AA93*Assumptions!$B$15/3956,"")</f>
        <v/>
      </c>
      <c r="AE93" s="102" t="str">
        <f t="shared" si="29"/>
        <v/>
      </c>
      <c r="AF93" s="95" t="str">
        <f t="shared" si="30"/>
        <v/>
      </c>
      <c r="AG93" s="95" t="str">
        <f t="shared" si="31"/>
        <v/>
      </c>
      <c r="AH93" s="95" t="str">
        <f>IFERROR(AJ93*
(Assumptions!$S$7*(AG93/P93)^3+
Assumptions!$S$8*(AG93/P93)^2+
Assumptions!$S$9*(AG93/P93)+
Assumptions!$S$10),
"")</f>
        <v/>
      </c>
      <c r="AI93" s="96" t="str">
        <f>IFERROR(AE93*AF93*Assumptions!$B$15/3956,"")</f>
        <v/>
      </c>
      <c r="AJ93" s="247" t="str">
        <f t="shared" si="20"/>
        <v/>
      </c>
      <c r="AK93" s="99" t="str">
        <f>IFERROR(
IF(C93="VTS",
IF(P93&gt;=AVERAGE(
INDEX(Assumptions!$I$38:$I$57,MATCH(P93,Assumptions!$I$38:$I$57,-1)),
INDEX(Assumptions!$I$38:$I$57,MATCH(P93,Assumptions!$I$38:$I$57,-1)+1)),
INDEX(Assumptions!$I$38:$I$57,MATCH(P93,Assumptions!$I$38:$I$57,-1)),
INDEX(Assumptions!$I$38:$I$57,MATCH(P93,Assumptions!$I$38:$I$57,-1)+1)),
IF(P93&gt;=AVERAGE(
INDEX(Assumptions!$I$13:$I$32,MATCH(P93,Assumptions!$I$13:$I$32,-1)),
INDEX(Assumptions!$I$13:$I$32,MATCH(P93,Assumptions!$I$13:$I$32,-1)+1)),
INDEX(Assumptions!$I$13:$I$32,MATCH(P93,Assumptions!$I$13:$I$32,-1)),
INDEX(Assumptions!$I$13:$I$32,MATCH(P93,Assumptions!$I$13:$I$32,-1)+1))),
"")</f>
        <v/>
      </c>
      <c r="AL93" s="95" t="str">
        <f>IFERROR(
IF(C93="VTS",
VLOOKUP(AK93,Assumptions!$I$38:$K$57,MATCH(R93,Assumptions!$I$37:$K$37,0),FALSE),
VLOOKUP(AK93,Assumptions!$I$13:$K$32,MATCH(R93,Assumptions!$I$12:$K$12,0),FALSE)),
"")</f>
        <v/>
      </c>
      <c r="AM93" s="95" t="str">
        <f t="shared" si="32"/>
        <v/>
      </c>
      <c r="AN93" s="95" t="str">
        <f>IFERROR(AM93*
(Assumptions!$S$7*(Y93/(AQ93*Assumptions!$AB$9/100)/P93)^3+
Assumptions!$S$8*(Y93/(AQ93*Assumptions!$AB$9/100)/P93)^2+
Assumptions!$S$9*(Y93/(AQ93*Assumptions!$AB$9/100)/P93)+
Assumptions!$S$10),"")</f>
        <v/>
      </c>
      <c r="AO93" s="95" t="str">
        <f>IFERROR(AM93*
(Assumptions!$S$7*(AD93/(AQ93*Assumptions!$AB$8/100)/P93)^3+
Assumptions!$S$8*(AD93/(AQ93*Assumptions!$AB$8/100)/P93)^2+
Assumptions!$S$9*(AD93/(AQ93*Assumptions!$AB$8/100)/P93)+
Assumptions!$S$10),"")</f>
        <v/>
      </c>
      <c r="AP93" s="95" t="str">
        <f>IFERROR(AM93*
(Assumptions!$S$7*(AI93/(AQ93*Assumptions!$AB$10/100)/P93)^3+
Assumptions!$S$8*(AI93/(AQ93*Assumptions!$AB$10/100)/P93)^2+
Assumptions!$S$9*(AI93/(AQ93*Assumptions!$AB$10/100)/P93)+
Assumptions!$S$10),"")</f>
        <v/>
      </c>
      <c r="AQ93" s="95" t="str">
        <f>IFERROR(
Assumptions!$AD$8*LN(U93)^2+
Assumptions!$AE$8*LN(T93)*LN(U93)+
Assumptions!$AF$8*LN(T93)^2+
Assumptions!$AG$8*LN(U93)+
Assumptions!$AH$8*LN(T93)-
(IF(S93=1800,
VLOOKUP(C93,Assumptions!$AA$13:$AC$17,3),
IF(S93=3600,
VLOOKUP(C93,Assumptions!$AA$18:$AC$22,3),
""))+Assumptions!$AI$8),
"")</f>
        <v/>
      </c>
      <c r="AR93" s="96" t="str">
        <f>IFERROR(
Assumptions!$D$11*(Y93/(Assumptions!$AB$9*AQ93/100)+AN93)+
Assumptions!$D$10*(AD93/(Assumptions!$AB$8*AQ93/100)+AO93)+
Assumptions!$D$12*(AI93/(Assumptions!$AB$10*AQ93/100)+AP93),
"")</f>
        <v/>
      </c>
      <c r="AS93" s="76" t="str">
        <f>IFERROR(
(W93+X93)*Assumptions!$D$11+
(AB93+AC93)*Assumptions!$D$10+
(AG93+AH93)*Assumptions!$D$12,
"")</f>
        <v/>
      </c>
      <c r="AT93" s="77" t="str">
        <f t="shared" si="33"/>
        <v/>
      </c>
      <c r="AU93" s="68" t="str">
        <f t="shared" si="18"/>
        <v/>
      </c>
    </row>
    <row r="94" spans="1:47" s="7" customFormat="1" x14ac:dyDescent="0.25">
      <c r="A94" s="264"/>
      <c r="B94" s="265"/>
      <c r="C94" s="265"/>
      <c r="D94" s="265"/>
      <c r="E94" s="266"/>
      <c r="F94" s="270"/>
      <c r="G94" s="271"/>
      <c r="H94" s="271"/>
      <c r="I94" s="272"/>
      <c r="J94" s="270"/>
      <c r="K94" s="271"/>
      <c r="L94" s="272"/>
      <c r="M94" s="270"/>
      <c r="N94" s="271"/>
      <c r="O94" s="272"/>
      <c r="P94" s="290"/>
      <c r="Q94" s="291"/>
      <c r="R94" s="51" t="str">
        <f t="shared" si="19"/>
        <v/>
      </c>
      <c r="S94" s="84" t="str">
        <f t="shared" si="21"/>
        <v/>
      </c>
      <c r="T94" s="93" t="str">
        <f t="shared" si="22"/>
        <v/>
      </c>
      <c r="U94" s="100" t="str">
        <f t="shared" si="23"/>
        <v/>
      </c>
      <c r="V94" s="95" t="str">
        <f t="shared" si="24"/>
        <v/>
      </c>
      <c r="W94" s="95" t="str">
        <f t="shared" si="25"/>
        <v/>
      </c>
      <c r="X94" s="95" t="str">
        <f>IFERROR(AJ94*
(Assumptions!$S$7*(W94/P94)^3+
Assumptions!$S$8*(W94/P94)^2+
Assumptions!$S$9*(W94/P94)+
Assumptions!$S$10),
"")</f>
        <v/>
      </c>
      <c r="Y94" s="96" t="str">
        <f>IFERROR(U94*V94*Assumptions!$B$15/3956,"")</f>
        <v/>
      </c>
      <c r="Z94" s="102" t="str">
        <f t="shared" si="26"/>
        <v/>
      </c>
      <c r="AA94" s="95" t="str">
        <f t="shared" si="27"/>
        <v/>
      </c>
      <c r="AB94" s="95" t="str">
        <f t="shared" si="28"/>
        <v/>
      </c>
      <c r="AC94" s="95" t="str">
        <f>IFERROR(AJ94*
(Assumptions!$S$7*(AB94/P94)^3+
Assumptions!$S$8*(AB94/P94)^2+
Assumptions!$S$9*(AB94/P94)+
Assumptions!$S$10),
"")</f>
        <v/>
      </c>
      <c r="AD94" s="96" t="str">
        <f>IFERROR(Z94*AA94*Assumptions!$B$15/3956,"")</f>
        <v/>
      </c>
      <c r="AE94" s="102" t="str">
        <f t="shared" si="29"/>
        <v/>
      </c>
      <c r="AF94" s="95" t="str">
        <f t="shared" si="30"/>
        <v/>
      </c>
      <c r="AG94" s="95" t="str">
        <f t="shared" si="31"/>
        <v/>
      </c>
      <c r="AH94" s="95" t="str">
        <f>IFERROR(AJ94*
(Assumptions!$S$7*(AG94/P94)^3+
Assumptions!$S$8*(AG94/P94)^2+
Assumptions!$S$9*(AG94/P94)+
Assumptions!$S$10),
"")</f>
        <v/>
      </c>
      <c r="AI94" s="96" t="str">
        <f>IFERROR(AE94*AF94*Assumptions!$B$15/3956,"")</f>
        <v/>
      </c>
      <c r="AJ94" s="247" t="str">
        <f t="shared" si="20"/>
        <v/>
      </c>
      <c r="AK94" s="99" t="str">
        <f>IFERROR(
IF(C94="VTS",
IF(P94&gt;=AVERAGE(
INDEX(Assumptions!$I$38:$I$57,MATCH(P94,Assumptions!$I$38:$I$57,-1)),
INDEX(Assumptions!$I$38:$I$57,MATCH(P94,Assumptions!$I$38:$I$57,-1)+1)),
INDEX(Assumptions!$I$38:$I$57,MATCH(P94,Assumptions!$I$38:$I$57,-1)),
INDEX(Assumptions!$I$38:$I$57,MATCH(P94,Assumptions!$I$38:$I$57,-1)+1)),
IF(P94&gt;=AVERAGE(
INDEX(Assumptions!$I$13:$I$32,MATCH(P94,Assumptions!$I$13:$I$32,-1)),
INDEX(Assumptions!$I$13:$I$32,MATCH(P94,Assumptions!$I$13:$I$32,-1)+1)),
INDEX(Assumptions!$I$13:$I$32,MATCH(P94,Assumptions!$I$13:$I$32,-1)),
INDEX(Assumptions!$I$13:$I$32,MATCH(P94,Assumptions!$I$13:$I$32,-1)+1))),
"")</f>
        <v/>
      </c>
      <c r="AL94" s="95" t="str">
        <f>IFERROR(
IF(C94="VTS",
VLOOKUP(AK94,Assumptions!$I$38:$K$57,MATCH(R94,Assumptions!$I$37:$K$37,0),FALSE),
VLOOKUP(AK94,Assumptions!$I$13:$K$32,MATCH(R94,Assumptions!$I$12:$K$12,0),FALSE)),
"")</f>
        <v/>
      </c>
      <c r="AM94" s="95" t="str">
        <f t="shared" si="32"/>
        <v/>
      </c>
      <c r="AN94" s="95" t="str">
        <f>IFERROR(AM94*
(Assumptions!$S$7*(Y94/(AQ94*Assumptions!$AB$9/100)/P94)^3+
Assumptions!$S$8*(Y94/(AQ94*Assumptions!$AB$9/100)/P94)^2+
Assumptions!$S$9*(Y94/(AQ94*Assumptions!$AB$9/100)/P94)+
Assumptions!$S$10),"")</f>
        <v/>
      </c>
      <c r="AO94" s="95" t="str">
        <f>IFERROR(AM94*
(Assumptions!$S$7*(AD94/(AQ94*Assumptions!$AB$8/100)/P94)^3+
Assumptions!$S$8*(AD94/(AQ94*Assumptions!$AB$8/100)/P94)^2+
Assumptions!$S$9*(AD94/(AQ94*Assumptions!$AB$8/100)/P94)+
Assumptions!$S$10),"")</f>
        <v/>
      </c>
      <c r="AP94" s="95" t="str">
        <f>IFERROR(AM94*
(Assumptions!$S$7*(AI94/(AQ94*Assumptions!$AB$10/100)/P94)^3+
Assumptions!$S$8*(AI94/(AQ94*Assumptions!$AB$10/100)/P94)^2+
Assumptions!$S$9*(AI94/(AQ94*Assumptions!$AB$10/100)/P94)+
Assumptions!$S$10),"")</f>
        <v/>
      </c>
      <c r="AQ94" s="95" t="str">
        <f>IFERROR(
Assumptions!$AD$8*LN(U94)^2+
Assumptions!$AE$8*LN(T94)*LN(U94)+
Assumptions!$AF$8*LN(T94)^2+
Assumptions!$AG$8*LN(U94)+
Assumptions!$AH$8*LN(T94)-
(IF(S94=1800,
VLOOKUP(C94,Assumptions!$AA$13:$AC$17,3),
IF(S94=3600,
VLOOKUP(C94,Assumptions!$AA$18:$AC$22,3),
""))+Assumptions!$AI$8),
"")</f>
        <v/>
      </c>
      <c r="AR94" s="96" t="str">
        <f>IFERROR(
Assumptions!$D$11*(Y94/(Assumptions!$AB$9*AQ94/100)+AN94)+
Assumptions!$D$10*(AD94/(Assumptions!$AB$8*AQ94/100)+AO94)+
Assumptions!$D$12*(AI94/(Assumptions!$AB$10*AQ94/100)+AP94),
"")</f>
        <v/>
      </c>
      <c r="AS94" s="76" t="str">
        <f>IFERROR(
(W94+X94)*Assumptions!$D$11+
(AB94+AC94)*Assumptions!$D$10+
(AG94+AH94)*Assumptions!$D$12,
"")</f>
        <v/>
      </c>
      <c r="AT94" s="77" t="str">
        <f t="shared" si="33"/>
        <v/>
      </c>
      <c r="AU94" s="68" t="str">
        <f t="shared" si="18"/>
        <v/>
      </c>
    </row>
    <row r="95" spans="1:47" s="7" customFormat="1" x14ac:dyDescent="0.25">
      <c r="A95" s="264"/>
      <c r="B95" s="265"/>
      <c r="C95" s="265"/>
      <c r="D95" s="265"/>
      <c r="E95" s="266"/>
      <c r="F95" s="270"/>
      <c r="G95" s="271"/>
      <c r="H95" s="271"/>
      <c r="I95" s="272"/>
      <c r="J95" s="270"/>
      <c r="K95" s="271"/>
      <c r="L95" s="272"/>
      <c r="M95" s="270"/>
      <c r="N95" s="271"/>
      <c r="O95" s="272"/>
      <c r="P95" s="290"/>
      <c r="Q95" s="291"/>
      <c r="R95" s="51" t="str">
        <f t="shared" si="19"/>
        <v/>
      </c>
      <c r="S95" s="84" t="str">
        <f t="shared" si="21"/>
        <v/>
      </c>
      <c r="T95" s="93" t="str">
        <f t="shared" si="22"/>
        <v/>
      </c>
      <c r="U95" s="100" t="str">
        <f t="shared" si="23"/>
        <v/>
      </c>
      <c r="V95" s="95" t="str">
        <f t="shared" si="24"/>
        <v/>
      </c>
      <c r="W95" s="95" t="str">
        <f t="shared" si="25"/>
        <v/>
      </c>
      <c r="X95" s="95" t="str">
        <f>IFERROR(AJ95*
(Assumptions!$S$7*(W95/P95)^3+
Assumptions!$S$8*(W95/P95)^2+
Assumptions!$S$9*(W95/P95)+
Assumptions!$S$10),
"")</f>
        <v/>
      </c>
      <c r="Y95" s="96" t="str">
        <f>IFERROR(U95*V95*Assumptions!$B$15/3956,"")</f>
        <v/>
      </c>
      <c r="Z95" s="102" t="str">
        <f t="shared" si="26"/>
        <v/>
      </c>
      <c r="AA95" s="95" t="str">
        <f t="shared" si="27"/>
        <v/>
      </c>
      <c r="AB95" s="95" t="str">
        <f t="shared" si="28"/>
        <v/>
      </c>
      <c r="AC95" s="95" t="str">
        <f>IFERROR(AJ95*
(Assumptions!$S$7*(AB95/P95)^3+
Assumptions!$S$8*(AB95/P95)^2+
Assumptions!$S$9*(AB95/P95)+
Assumptions!$S$10),
"")</f>
        <v/>
      </c>
      <c r="AD95" s="96" t="str">
        <f>IFERROR(Z95*AA95*Assumptions!$B$15/3956,"")</f>
        <v/>
      </c>
      <c r="AE95" s="102" t="str">
        <f t="shared" si="29"/>
        <v/>
      </c>
      <c r="AF95" s="95" t="str">
        <f t="shared" si="30"/>
        <v/>
      </c>
      <c r="AG95" s="95" t="str">
        <f t="shared" si="31"/>
        <v/>
      </c>
      <c r="AH95" s="95" t="str">
        <f>IFERROR(AJ95*
(Assumptions!$S$7*(AG95/P95)^3+
Assumptions!$S$8*(AG95/P95)^2+
Assumptions!$S$9*(AG95/P95)+
Assumptions!$S$10),
"")</f>
        <v/>
      </c>
      <c r="AI95" s="96" t="str">
        <f>IFERROR(AE95*AF95*Assumptions!$B$15/3956,"")</f>
        <v/>
      </c>
      <c r="AJ95" s="247" t="str">
        <f t="shared" si="20"/>
        <v/>
      </c>
      <c r="AK95" s="99" t="str">
        <f>IFERROR(
IF(C95="VTS",
IF(P95&gt;=AVERAGE(
INDEX(Assumptions!$I$38:$I$57,MATCH(P95,Assumptions!$I$38:$I$57,-1)),
INDEX(Assumptions!$I$38:$I$57,MATCH(P95,Assumptions!$I$38:$I$57,-1)+1)),
INDEX(Assumptions!$I$38:$I$57,MATCH(P95,Assumptions!$I$38:$I$57,-1)),
INDEX(Assumptions!$I$38:$I$57,MATCH(P95,Assumptions!$I$38:$I$57,-1)+1)),
IF(P95&gt;=AVERAGE(
INDEX(Assumptions!$I$13:$I$32,MATCH(P95,Assumptions!$I$13:$I$32,-1)),
INDEX(Assumptions!$I$13:$I$32,MATCH(P95,Assumptions!$I$13:$I$32,-1)+1)),
INDEX(Assumptions!$I$13:$I$32,MATCH(P95,Assumptions!$I$13:$I$32,-1)),
INDEX(Assumptions!$I$13:$I$32,MATCH(P95,Assumptions!$I$13:$I$32,-1)+1))),
"")</f>
        <v/>
      </c>
      <c r="AL95" s="95" t="str">
        <f>IFERROR(
IF(C95="VTS",
VLOOKUP(AK95,Assumptions!$I$38:$K$57,MATCH(R95,Assumptions!$I$37:$K$37,0),FALSE),
VLOOKUP(AK95,Assumptions!$I$13:$K$32,MATCH(R95,Assumptions!$I$12:$K$12,0),FALSE)),
"")</f>
        <v/>
      </c>
      <c r="AM95" s="95" t="str">
        <f t="shared" si="32"/>
        <v/>
      </c>
      <c r="AN95" s="95" t="str">
        <f>IFERROR(AM95*
(Assumptions!$S$7*(Y95/(AQ95*Assumptions!$AB$9/100)/P95)^3+
Assumptions!$S$8*(Y95/(AQ95*Assumptions!$AB$9/100)/P95)^2+
Assumptions!$S$9*(Y95/(AQ95*Assumptions!$AB$9/100)/P95)+
Assumptions!$S$10),"")</f>
        <v/>
      </c>
      <c r="AO95" s="95" t="str">
        <f>IFERROR(AM95*
(Assumptions!$S$7*(AD95/(AQ95*Assumptions!$AB$8/100)/P95)^3+
Assumptions!$S$8*(AD95/(AQ95*Assumptions!$AB$8/100)/P95)^2+
Assumptions!$S$9*(AD95/(AQ95*Assumptions!$AB$8/100)/P95)+
Assumptions!$S$10),"")</f>
        <v/>
      </c>
      <c r="AP95" s="95" t="str">
        <f>IFERROR(AM95*
(Assumptions!$S$7*(AI95/(AQ95*Assumptions!$AB$10/100)/P95)^3+
Assumptions!$S$8*(AI95/(AQ95*Assumptions!$AB$10/100)/P95)^2+
Assumptions!$S$9*(AI95/(AQ95*Assumptions!$AB$10/100)/P95)+
Assumptions!$S$10),"")</f>
        <v/>
      </c>
      <c r="AQ95" s="95" t="str">
        <f>IFERROR(
Assumptions!$AD$8*LN(U95)^2+
Assumptions!$AE$8*LN(T95)*LN(U95)+
Assumptions!$AF$8*LN(T95)^2+
Assumptions!$AG$8*LN(U95)+
Assumptions!$AH$8*LN(T95)-
(IF(S95=1800,
VLOOKUP(C95,Assumptions!$AA$13:$AC$17,3),
IF(S95=3600,
VLOOKUP(C95,Assumptions!$AA$18:$AC$22,3),
""))+Assumptions!$AI$8),
"")</f>
        <v/>
      </c>
      <c r="AR95" s="96" t="str">
        <f>IFERROR(
Assumptions!$D$11*(Y95/(Assumptions!$AB$9*AQ95/100)+AN95)+
Assumptions!$D$10*(AD95/(Assumptions!$AB$8*AQ95/100)+AO95)+
Assumptions!$D$12*(AI95/(Assumptions!$AB$10*AQ95/100)+AP95),
"")</f>
        <v/>
      </c>
      <c r="AS95" s="76" t="str">
        <f>IFERROR(
(W95+X95)*Assumptions!$D$11+
(AB95+AC95)*Assumptions!$D$10+
(AG95+AH95)*Assumptions!$D$12,
"")</f>
        <v/>
      </c>
      <c r="AT95" s="77" t="str">
        <f t="shared" si="33"/>
        <v/>
      </c>
      <c r="AU95" s="68" t="str">
        <f t="shared" si="18"/>
        <v/>
      </c>
    </row>
    <row r="96" spans="1:47" s="7" customFormat="1" x14ac:dyDescent="0.25">
      <c r="A96" s="264"/>
      <c r="B96" s="265"/>
      <c r="C96" s="265"/>
      <c r="D96" s="265"/>
      <c r="E96" s="266"/>
      <c r="F96" s="270"/>
      <c r="G96" s="271"/>
      <c r="H96" s="271"/>
      <c r="I96" s="272"/>
      <c r="J96" s="270"/>
      <c r="K96" s="271"/>
      <c r="L96" s="272"/>
      <c r="M96" s="270"/>
      <c r="N96" s="271"/>
      <c r="O96" s="272"/>
      <c r="P96" s="290"/>
      <c r="Q96" s="291"/>
      <c r="R96" s="51" t="str">
        <f t="shared" si="19"/>
        <v/>
      </c>
      <c r="S96" s="84" t="str">
        <f t="shared" si="21"/>
        <v/>
      </c>
      <c r="T96" s="93" t="str">
        <f t="shared" si="22"/>
        <v/>
      </c>
      <c r="U96" s="100" t="str">
        <f t="shared" si="23"/>
        <v/>
      </c>
      <c r="V96" s="95" t="str">
        <f t="shared" si="24"/>
        <v/>
      </c>
      <c r="W96" s="95" t="str">
        <f t="shared" si="25"/>
        <v/>
      </c>
      <c r="X96" s="95" t="str">
        <f>IFERROR(AJ96*
(Assumptions!$S$7*(W96/P96)^3+
Assumptions!$S$8*(W96/P96)^2+
Assumptions!$S$9*(W96/P96)+
Assumptions!$S$10),
"")</f>
        <v/>
      </c>
      <c r="Y96" s="96" t="str">
        <f>IFERROR(U96*V96*Assumptions!$B$15/3956,"")</f>
        <v/>
      </c>
      <c r="Z96" s="102" t="str">
        <f t="shared" si="26"/>
        <v/>
      </c>
      <c r="AA96" s="95" t="str">
        <f t="shared" si="27"/>
        <v/>
      </c>
      <c r="AB96" s="95" t="str">
        <f t="shared" si="28"/>
        <v/>
      </c>
      <c r="AC96" s="95" t="str">
        <f>IFERROR(AJ96*
(Assumptions!$S$7*(AB96/P96)^3+
Assumptions!$S$8*(AB96/P96)^2+
Assumptions!$S$9*(AB96/P96)+
Assumptions!$S$10),
"")</f>
        <v/>
      </c>
      <c r="AD96" s="96" t="str">
        <f>IFERROR(Z96*AA96*Assumptions!$B$15/3956,"")</f>
        <v/>
      </c>
      <c r="AE96" s="102" t="str">
        <f t="shared" si="29"/>
        <v/>
      </c>
      <c r="AF96" s="95" t="str">
        <f t="shared" si="30"/>
        <v/>
      </c>
      <c r="AG96" s="95" t="str">
        <f t="shared" si="31"/>
        <v/>
      </c>
      <c r="AH96" s="95" t="str">
        <f>IFERROR(AJ96*
(Assumptions!$S$7*(AG96/P96)^3+
Assumptions!$S$8*(AG96/P96)^2+
Assumptions!$S$9*(AG96/P96)+
Assumptions!$S$10),
"")</f>
        <v/>
      </c>
      <c r="AI96" s="96" t="str">
        <f>IFERROR(AE96*AF96*Assumptions!$B$15/3956,"")</f>
        <v/>
      </c>
      <c r="AJ96" s="247" t="str">
        <f t="shared" si="20"/>
        <v/>
      </c>
      <c r="AK96" s="99" t="str">
        <f>IFERROR(
IF(C96="VTS",
IF(P96&gt;=AVERAGE(
INDEX(Assumptions!$I$38:$I$57,MATCH(P96,Assumptions!$I$38:$I$57,-1)),
INDEX(Assumptions!$I$38:$I$57,MATCH(P96,Assumptions!$I$38:$I$57,-1)+1)),
INDEX(Assumptions!$I$38:$I$57,MATCH(P96,Assumptions!$I$38:$I$57,-1)),
INDEX(Assumptions!$I$38:$I$57,MATCH(P96,Assumptions!$I$38:$I$57,-1)+1)),
IF(P96&gt;=AVERAGE(
INDEX(Assumptions!$I$13:$I$32,MATCH(P96,Assumptions!$I$13:$I$32,-1)),
INDEX(Assumptions!$I$13:$I$32,MATCH(P96,Assumptions!$I$13:$I$32,-1)+1)),
INDEX(Assumptions!$I$13:$I$32,MATCH(P96,Assumptions!$I$13:$I$32,-1)),
INDEX(Assumptions!$I$13:$I$32,MATCH(P96,Assumptions!$I$13:$I$32,-1)+1))),
"")</f>
        <v/>
      </c>
      <c r="AL96" s="95" t="str">
        <f>IFERROR(
IF(C96="VTS",
VLOOKUP(AK96,Assumptions!$I$38:$K$57,MATCH(R96,Assumptions!$I$37:$K$37,0),FALSE),
VLOOKUP(AK96,Assumptions!$I$13:$K$32,MATCH(R96,Assumptions!$I$12:$K$12,0),FALSE)),
"")</f>
        <v/>
      </c>
      <c r="AM96" s="95" t="str">
        <f t="shared" si="32"/>
        <v/>
      </c>
      <c r="AN96" s="95" t="str">
        <f>IFERROR(AM96*
(Assumptions!$S$7*(Y96/(AQ96*Assumptions!$AB$9/100)/P96)^3+
Assumptions!$S$8*(Y96/(AQ96*Assumptions!$AB$9/100)/P96)^2+
Assumptions!$S$9*(Y96/(AQ96*Assumptions!$AB$9/100)/P96)+
Assumptions!$S$10),"")</f>
        <v/>
      </c>
      <c r="AO96" s="95" t="str">
        <f>IFERROR(AM96*
(Assumptions!$S$7*(AD96/(AQ96*Assumptions!$AB$8/100)/P96)^3+
Assumptions!$S$8*(AD96/(AQ96*Assumptions!$AB$8/100)/P96)^2+
Assumptions!$S$9*(AD96/(AQ96*Assumptions!$AB$8/100)/P96)+
Assumptions!$S$10),"")</f>
        <v/>
      </c>
      <c r="AP96" s="95" t="str">
        <f>IFERROR(AM96*
(Assumptions!$S$7*(AI96/(AQ96*Assumptions!$AB$10/100)/P96)^3+
Assumptions!$S$8*(AI96/(AQ96*Assumptions!$AB$10/100)/P96)^2+
Assumptions!$S$9*(AI96/(AQ96*Assumptions!$AB$10/100)/P96)+
Assumptions!$S$10),"")</f>
        <v/>
      </c>
      <c r="AQ96" s="95" t="str">
        <f>IFERROR(
Assumptions!$AD$8*LN(U96)^2+
Assumptions!$AE$8*LN(T96)*LN(U96)+
Assumptions!$AF$8*LN(T96)^2+
Assumptions!$AG$8*LN(U96)+
Assumptions!$AH$8*LN(T96)-
(IF(S96=1800,
VLOOKUP(C96,Assumptions!$AA$13:$AC$17,3),
IF(S96=3600,
VLOOKUP(C96,Assumptions!$AA$18:$AC$22,3),
""))+Assumptions!$AI$8),
"")</f>
        <v/>
      </c>
      <c r="AR96" s="96" t="str">
        <f>IFERROR(
Assumptions!$D$11*(Y96/(Assumptions!$AB$9*AQ96/100)+AN96)+
Assumptions!$D$10*(AD96/(Assumptions!$AB$8*AQ96/100)+AO96)+
Assumptions!$D$12*(AI96/(Assumptions!$AB$10*AQ96/100)+AP96),
"")</f>
        <v/>
      </c>
      <c r="AS96" s="76" t="str">
        <f>IFERROR(
(W96+X96)*Assumptions!$D$11+
(AB96+AC96)*Assumptions!$D$10+
(AG96+AH96)*Assumptions!$D$12,
"")</f>
        <v/>
      </c>
      <c r="AT96" s="77" t="str">
        <f t="shared" si="33"/>
        <v/>
      </c>
      <c r="AU96" s="68" t="str">
        <f t="shared" si="18"/>
        <v/>
      </c>
    </row>
    <row r="97" spans="1:47" s="7" customFormat="1" x14ac:dyDescent="0.25">
      <c r="A97" s="264"/>
      <c r="B97" s="265"/>
      <c r="C97" s="265"/>
      <c r="D97" s="265"/>
      <c r="E97" s="266"/>
      <c r="F97" s="270"/>
      <c r="G97" s="271"/>
      <c r="H97" s="271"/>
      <c r="I97" s="272"/>
      <c r="J97" s="270"/>
      <c r="K97" s="271"/>
      <c r="L97" s="272"/>
      <c r="M97" s="270"/>
      <c r="N97" s="271"/>
      <c r="O97" s="272"/>
      <c r="P97" s="290"/>
      <c r="Q97" s="291"/>
      <c r="R97" s="51" t="str">
        <f t="shared" si="19"/>
        <v/>
      </c>
      <c r="S97" s="84" t="str">
        <f t="shared" si="21"/>
        <v/>
      </c>
      <c r="T97" s="93" t="str">
        <f t="shared" si="22"/>
        <v/>
      </c>
      <c r="U97" s="100" t="str">
        <f t="shared" si="23"/>
        <v/>
      </c>
      <c r="V97" s="95" t="str">
        <f t="shared" si="24"/>
        <v/>
      </c>
      <c r="W97" s="95" t="str">
        <f t="shared" si="25"/>
        <v/>
      </c>
      <c r="X97" s="95" t="str">
        <f>IFERROR(AJ97*
(Assumptions!$S$7*(W97/P97)^3+
Assumptions!$S$8*(W97/P97)^2+
Assumptions!$S$9*(W97/P97)+
Assumptions!$S$10),
"")</f>
        <v/>
      </c>
      <c r="Y97" s="96" t="str">
        <f>IFERROR(U97*V97*Assumptions!$B$15/3956,"")</f>
        <v/>
      </c>
      <c r="Z97" s="102" t="str">
        <f t="shared" si="26"/>
        <v/>
      </c>
      <c r="AA97" s="95" t="str">
        <f t="shared" si="27"/>
        <v/>
      </c>
      <c r="AB97" s="95" t="str">
        <f t="shared" si="28"/>
        <v/>
      </c>
      <c r="AC97" s="95" t="str">
        <f>IFERROR(AJ97*
(Assumptions!$S$7*(AB97/P97)^3+
Assumptions!$S$8*(AB97/P97)^2+
Assumptions!$S$9*(AB97/P97)+
Assumptions!$S$10),
"")</f>
        <v/>
      </c>
      <c r="AD97" s="96" t="str">
        <f>IFERROR(Z97*AA97*Assumptions!$B$15/3956,"")</f>
        <v/>
      </c>
      <c r="AE97" s="102" t="str">
        <f t="shared" si="29"/>
        <v/>
      </c>
      <c r="AF97" s="95" t="str">
        <f t="shared" si="30"/>
        <v/>
      </c>
      <c r="AG97" s="95" t="str">
        <f t="shared" si="31"/>
        <v/>
      </c>
      <c r="AH97" s="95" t="str">
        <f>IFERROR(AJ97*
(Assumptions!$S$7*(AG97/P97)^3+
Assumptions!$S$8*(AG97/P97)^2+
Assumptions!$S$9*(AG97/P97)+
Assumptions!$S$10),
"")</f>
        <v/>
      </c>
      <c r="AI97" s="96" t="str">
        <f>IFERROR(AE97*AF97*Assumptions!$B$15/3956,"")</f>
        <v/>
      </c>
      <c r="AJ97" s="247" t="str">
        <f t="shared" si="20"/>
        <v/>
      </c>
      <c r="AK97" s="99" t="str">
        <f>IFERROR(
IF(C97="VTS",
IF(P97&gt;=AVERAGE(
INDEX(Assumptions!$I$38:$I$57,MATCH(P97,Assumptions!$I$38:$I$57,-1)),
INDEX(Assumptions!$I$38:$I$57,MATCH(P97,Assumptions!$I$38:$I$57,-1)+1)),
INDEX(Assumptions!$I$38:$I$57,MATCH(P97,Assumptions!$I$38:$I$57,-1)),
INDEX(Assumptions!$I$38:$I$57,MATCH(P97,Assumptions!$I$38:$I$57,-1)+1)),
IF(P97&gt;=AVERAGE(
INDEX(Assumptions!$I$13:$I$32,MATCH(P97,Assumptions!$I$13:$I$32,-1)),
INDEX(Assumptions!$I$13:$I$32,MATCH(P97,Assumptions!$I$13:$I$32,-1)+1)),
INDEX(Assumptions!$I$13:$I$32,MATCH(P97,Assumptions!$I$13:$I$32,-1)),
INDEX(Assumptions!$I$13:$I$32,MATCH(P97,Assumptions!$I$13:$I$32,-1)+1))),
"")</f>
        <v/>
      </c>
      <c r="AL97" s="95" t="str">
        <f>IFERROR(
IF(C97="VTS",
VLOOKUP(AK97,Assumptions!$I$38:$K$57,MATCH(R97,Assumptions!$I$37:$K$37,0),FALSE),
VLOOKUP(AK97,Assumptions!$I$13:$K$32,MATCH(R97,Assumptions!$I$12:$K$12,0),FALSE)),
"")</f>
        <v/>
      </c>
      <c r="AM97" s="95" t="str">
        <f t="shared" si="32"/>
        <v/>
      </c>
      <c r="AN97" s="95" t="str">
        <f>IFERROR(AM97*
(Assumptions!$S$7*(Y97/(AQ97*Assumptions!$AB$9/100)/P97)^3+
Assumptions!$S$8*(Y97/(AQ97*Assumptions!$AB$9/100)/P97)^2+
Assumptions!$S$9*(Y97/(AQ97*Assumptions!$AB$9/100)/P97)+
Assumptions!$S$10),"")</f>
        <v/>
      </c>
      <c r="AO97" s="95" t="str">
        <f>IFERROR(AM97*
(Assumptions!$S$7*(AD97/(AQ97*Assumptions!$AB$8/100)/P97)^3+
Assumptions!$S$8*(AD97/(AQ97*Assumptions!$AB$8/100)/P97)^2+
Assumptions!$S$9*(AD97/(AQ97*Assumptions!$AB$8/100)/P97)+
Assumptions!$S$10),"")</f>
        <v/>
      </c>
      <c r="AP97" s="95" t="str">
        <f>IFERROR(AM97*
(Assumptions!$S$7*(AI97/(AQ97*Assumptions!$AB$10/100)/P97)^3+
Assumptions!$S$8*(AI97/(AQ97*Assumptions!$AB$10/100)/P97)^2+
Assumptions!$S$9*(AI97/(AQ97*Assumptions!$AB$10/100)/P97)+
Assumptions!$S$10),"")</f>
        <v/>
      </c>
      <c r="AQ97" s="95" t="str">
        <f>IFERROR(
Assumptions!$AD$8*LN(U97)^2+
Assumptions!$AE$8*LN(T97)*LN(U97)+
Assumptions!$AF$8*LN(T97)^2+
Assumptions!$AG$8*LN(U97)+
Assumptions!$AH$8*LN(T97)-
(IF(S97=1800,
VLOOKUP(C97,Assumptions!$AA$13:$AC$17,3),
IF(S97=3600,
VLOOKUP(C97,Assumptions!$AA$18:$AC$22,3),
""))+Assumptions!$AI$8),
"")</f>
        <v/>
      </c>
      <c r="AR97" s="96" t="str">
        <f>IFERROR(
Assumptions!$D$11*(Y97/(Assumptions!$AB$9*AQ97/100)+AN97)+
Assumptions!$D$10*(AD97/(Assumptions!$AB$8*AQ97/100)+AO97)+
Assumptions!$D$12*(AI97/(Assumptions!$AB$10*AQ97/100)+AP97),
"")</f>
        <v/>
      </c>
      <c r="AS97" s="76" t="str">
        <f>IFERROR(
(W97+X97)*Assumptions!$D$11+
(AB97+AC97)*Assumptions!$D$10+
(AG97+AH97)*Assumptions!$D$12,
"")</f>
        <v/>
      </c>
      <c r="AT97" s="77" t="str">
        <f t="shared" si="33"/>
        <v/>
      </c>
      <c r="AU97" s="68" t="str">
        <f t="shared" si="18"/>
        <v/>
      </c>
    </row>
    <row r="98" spans="1:47" s="7" customFormat="1" x14ac:dyDescent="0.25">
      <c r="A98" s="264"/>
      <c r="B98" s="265"/>
      <c r="C98" s="265"/>
      <c r="D98" s="265"/>
      <c r="E98" s="266"/>
      <c r="F98" s="270"/>
      <c r="G98" s="271"/>
      <c r="H98" s="271"/>
      <c r="I98" s="272"/>
      <c r="J98" s="270"/>
      <c r="K98" s="271"/>
      <c r="L98" s="272"/>
      <c r="M98" s="270"/>
      <c r="N98" s="271"/>
      <c r="O98" s="272"/>
      <c r="P98" s="290"/>
      <c r="Q98" s="291"/>
      <c r="R98" s="51" t="str">
        <f t="shared" si="19"/>
        <v/>
      </c>
      <c r="S98" s="84" t="str">
        <f t="shared" si="21"/>
        <v/>
      </c>
      <c r="T98" s="93" t="str">
        <f t="shared" si="22"/>
        <v/>
      </c>
      <c r="U98" s="100" t="str">
        <f t="shared" si="23"/>
        <v/>
      </c>
      <c r="V98" s="95" t="str">
        <f t="shared" si="24"/>
        <v/>
      </c>
      <c r="W98" s="95" t="str">
        <f t="shared" si="25"/>
        <v/>
      </c>
      <c r="X98" s="95" t="str">
        <f>IFERROR(AJ98*
(Assumptions!$S$7*(W98/P98)^3+
Assumptions!$S$8*(W98/P98)^2+
Assumptions!$S$9*(W98/P98)+
Assumptions!$S$10),
"")</f>
        <v/>
      </c>
      <c r="Y98" s="96" t="str">
        <f>IFERROR(U98*V98*Assumptions!$B$15/3956,"")</f>
        <v/>
      </c>
      <c r="Z98" s="102" t="str">
        <f t="shared" si="26"/>
        <v/>
      </c>
      <c r="AA98" s="95" t="str">
        <f t="shared" si="27"/>
        <v/>
      </c>
      <c r="AB98" s="95" t="str">
        <f t="shared" si="28"/>
        <v/>
      </c>
      <c r="AC98" s="95" t="str">
        <f>IFERROR(AJ98*
(Assumptions!$S$7*(AB98/P98)^3+
Assumptions!$S$8*(AB98/P98)^2+
Assumptions!$S$9*(AB98/P98)+
Assumptions!$S$10),
"")</f>
        <v/>
      </c>
      <c r="AD98" s="96" t="str">
        <f>IFERROR(Z98*AA98*Assumptions!$B$15/3956,"")</f>
        <v/>
      </c>
      <c r="AE98" s="102" t="str">
        <f t="shared" si="29"/>
        <v/>
      </c>
      <c r="AF98" s="95" t="str">
        <f t="shared" si="30"/>
        <v/>
      </c>
      <c r="AG98" s="95" t="str">
        <f t="shared" si="31"/>
        <v/>
      </c>
      <c r="AH98" s="95" t="str">
        <f>IFERROR(AJ98*
(Assumptions!$S$7*(AG98/P98)^3+
Assumptions!$S$8*(AG98/P98)^2+
Assumptions!$S$9*(AG98/P98)+
Assumptions!$S$10),
"")</f>
        <v/>
      </c>
      <c r="AI98" s="96" t="str">
        <f>IFERROR(AE98*AF98*Assumptions!$B$15/3956,"")</f>
        <v/>
      </c>
      <c r="AJ98" s="247" t="str">
        <f t="shared" si="20"/>
        <v/>
      </c>
      <c r="AK98" s="99" t="str">
        <f>IFERROR(
IF(C98="VTS",
IF(P98&gt;=AVERAGE(
INDEX(Assumptions!$I$38:$I$57,MATCH(P98,Assumptions!$I$38:$I$57,-1)),
INDEX(Assumptions!$I$38:$I$57,MATCH(P98,Assumptions!$I$38:$I$57,-1)+1)),
INDEX(Assumptions!$I$38:$I$57,MATCH(P98,Assumptions!$I$38:$I$57,-1)),
INDEX(Assumptions!$I$38:$I$57,MATCH(P98,Assumptions!$I$38:$I$57,-1)+1)),
IF(P98&gt;=AVERAGE(
INDEX(Assumptions!$I$13:$I$32,MATCH(P98,Assumptions!$I$13:$I$32,-1)),
INDEX(Assumptions!$I$13:$I$32,MATCH(P98,Assumptions!$I$13:$I$32,-1)+1)),
INDEX(Assumptions!$I$13:$I$32,MATCH(P98,Assumptions!$I$13:$I$32,-1)),
INDEX(Assumptions!$I$13:$I$32,MATCH(P98,Assumptions!$I$13:$I$32,-1)+1))),
"")</f>
        <v/>
      </c>
      <c r="AL98" s="95" t="str">
        <f>IFERROR(
IF(C98="VTS",
VLOOKUP(AK98,Assumptions!$I$38:$K$57,MATCH(R98,Assumptions!$I$37:$K$37,0),FALSE),
VLOOKUP(AK98,Assumptions!$I$13:$K$32,MATCH(R98,Assumptions!$I$12:$K$12,0),FALSE)),
"")</f>
        <v/>
      </c>
      <c r="AM98" s="95" t="str">
        <f t="shared" si="32"/>
        <v/>
      </c>
      <c r="AN98" s="95" t="str">
        <f>IFERROR(AM98*
(Assumptions!$S$7*(Y98/(AQ98*Assumptions!$AB$9/100)/P98)^3+
Assumptions!$S$8*(Y98/(AQ98*Assumptions!$AB$9/100)/P98)^2+
Assumptions!$S$9*(Y98/(AQ98*Assumptions!$AB$9/100)/P98)+
Assumptions!$S$10),"")</f>
        <v/>
      </c>
      <c r="AO98" s="95" t="str">
        <f>IFERROR(AM98*
(Assumptions!$S$7*(AD98/(AQ98*Assumptions!$AB$8/100)/P98)^3+
Assumptions!$S$8*(AD98/(AQ98*Assumptions!$AB$8/100)/P98)^2+
Assumptions!$S$9*(AD98/(AQ98*Assumptions!$AB$8/100)/P98)+
Assumptions!$S$10),"")</f>
        <v/>
      </c>
      <c r="AP98" s="95" t="str">
        <f>IFERROR(AM98*
(Assumptions!$S$7*(AI98/(AQ98*Assumptions!$AB$10/100)/P98)^3+
Assumptions!$S$8*(AI98/(AQ98*Assumptions!$AB$10/100)/P98)^2+
Assumptions!$S$9*(AI98/(AQ98*Assumptions!$AB$10/100)/P98)+
Assumptions!$S$10),"")</f>
        <v/>
      </c>
      <c r="AQ98" s="95" t="str">
        <f>IFERROR(
Assumptions!$AD$8*LN(U98)^2+
Assumptions!$AE$8*LN(T98)*LN(U98)+
Assumptions!$AF$8*LN(T98)^2+
Assumptions!$AG$8*LN(U98)+
Assumptions!$AH$8*LN(T98)-
(IF(S98=1800,
VLOOKUP(C98,Assumptions!$AA$13:$AC$17,3),
IF(S98=3600,
VLOOKUP(C98,Assumptions!$AA$18:$AC$22,3),
""))+Assumptions!$AI$8),
"")</f>
        <v/>
      </c>
      <c r="AR98" s="96" t="str">
        <f>IFERROR(
Assumptions!$D$11*(Y98/(Assumptions!$AB$9*AQ98/100)+AN98)+
Assumptions!$D$10*(AD98/(Assumptions!$AB$8*AQ98/100)+AO98)+
Assumptions!$D$12*(AI98/(Assumptions!$AB$10*AQ98/100)+AP98),
"")</f>
        <v/>
      </c>
      <c r="AS98" s="76" t="str">
        <f>IFERROR(
(W98+X98)*Assumptions!$D$11+
(AB98+AC98)*Assumptions!$D$10+
(AG98+AH98)*Assumptions!$D$12,
"")</f>
        <v/>
      </c>
      <c r="AT98" s="77" t="str">
        <f t="shared" si="33"/>
        <v/>
      </c>
      <c r="AU98" s="68" t="str">
        <f t="shared" si="18"/>
        <v/>
      </c>
    </row>
    <row r="99" spans="1:47" s="7" customFormat="1" x14ac:dyDescent="0.25">
      <c r="A99" s="264"/>
      <c r="B99" s="265"/>
      <c r="C99" s="265"/>
      <c r="D99" s="265"/>
      <c r="E99" s="266"/>
      <c r="F99" s="270"/>
      <c r="G99" s="271"/>
      <c r="H99" s="271"/>
      <c r="I99" s="272"/>
      <c r="J99" s="270"/>
      <c r="K99" s="271"/>
      <c r="L99" s="272"/>
      <c r="M99" s="270"/>
      <c r="N99" s="271"/>
      <c r="O99" s="272"/>
      <c r="P99" s="290"/>
      <c r="Q99" s="291"/>
      <c r="R99" s="51" t="str">
        <f t="shared" si="19"/>
        <v/>
      </c>
      <c r="S99" s="84" t="str">
        <f t="shared" si="21"/>
        <v/>
      </c>
      <c r="T99" s="93" t="str">
        <f t="shared" si="22"/>
        <v/>
      </c>
      <c r="U99" s="100" t="str">
        <f t="shared" si="23"/>
        <v/>
      </c>
      <c r="V99" s="95" t="str">
        <f t="shared" si="24"/>
        <v/>
      </c>
      <c r="W99" s="95" t="str">
        <f t="shared" si="25"/>
        <v/>
      </c>
      <c r="X99" s="95" t="str">
        <f>IFERROR(AJ99*
(Assumptions!$S$7*(W99/P99)^3+
Assumptions!$S$8*(W99/P99)^2+
Assumptions!$S$9*(W99/P99)+
Assumptions!$S$10),
"")</f>
        <v/>
      </c>
      <c r="Y99" s="96" t="str">
        <f>IFERROR(U99*V99*Assumptions!$B$15/3956,"")</f>
        <v/>
      </c>
      <c r="Z99" s="102" t="str">
        <f t="shared" si="26"/>
        <v/>
      </c>
      <c r="AA99" s="95" t="str">
        <f t="shared" si="27"/>
        <v/>
      </c>
      <c r="AB99" s="95" t="str">
        <f t="shared" si="28"/>
        <v/>
      </c>
      <c r="AC99" s="95" t="str">
        <f>IFERROR(AJ99*
(Assumptions!$S$7*(AB99/P99)^3+
Assumptions!$S$8*(AB99/P99)^2+
Assumptions!$S$9*(AB99/P99)+
Assumptions!$S$10),
"")</f>
        <v/>
      </c>
      <c r="AD99" s="96" t="str">
        <f>IFERROR(Z99*AA99*Assumptions!$B$15/3956,"")</f>
        <v/>
      </c>
      <c r="AE99" s="102" t="str">
        <f t="shared" si="29"/>
        <v/>
      </c>
      <c r="AF99" s="95" t="str">
        <f t="shared" si="30"/>
        <v/>
      </c>
      <c r="AG99" s="95" t="str">
        <f t="shared" si="31"/>
        <v/>
      </c>
      <c r="AH99" s="95" t="str">
        <f>IFERROR(AJ99*
(Assumptions!$S$7*(AG99/P99)^3+
Assumptions!$S$8*(AG99/P99)^2+
Assumptions!$S$9*(AG99/P99)+
Assumptions!$S$10),
"")</f>
        <v/>
      </c>
      <c r="AI99" s="96" t="str">
        <f>IFERROR(AE99*AF99*Assumptions!$B$15/3956,"")</f>
        <v/>
      </c>
      <c r="AJ99" s="247" t="str">
        <f t="shared" si="20"/>
        <v/>
      </c>
      <c r="AK99" s="99" t="str">
        <f>IFERROR(
IF(C99="VTS",
IF(P99&gt;=AVERAGE(
INDEX(Assumptions!$I$38:$I$57,MATCH(P99,Assumptions!$I$38:$I$57,-1)),
INDEX(Assumptions!$I$38:$I$57,MATCH(P99,Assumptions!$I$38:$I$57,-1)+1)),
INDEX(Assumptions!$I$38:$I$57,MATCH(P99,Assumptions!$I$38:$I$57,-1)),
INDEX(Assumptions!$I$38:$I$57,MATCH(P99,Assumptions!$I$38:$I$57,-1)+1)),
IF(P99&gt;=AVERAGE(
INDEX(Assumptions!$I$13:$I$32,MATCH(P99,Assumptions!$I$13:$I$32,-1)),
INDEX(Assumptions!$I$13:$I$32,MATCH(P99,Assumptions!$I$13:$I$32,-1)+1)),
INDEX(Assumptions!$I$13:$I$32,MATCH(P99,Assumptions!$I$13:$I$32,-1)),
INDEX(Assumptions!$I$13:$I$32,MATCH(P99,Assumptions!$I$13:$I$32,-1)+1))),
"")</f>
        <v/>
      </c>
      <c r="AL99" s="95" t="str">
        <f>IFERROR(
IF(C99="VTS",
VLOOKUP(AK99,Assumptions!$I$38:$K$57,MATCH(R99,Assumptions!$I$37:$K$37,0),FALSE),
VLOOKUP(AK99,Assumptions!$I$13:$K$32,MATCH(R99,Assumptions!$I$12:$K$12,0),FALSE)),
"")</f>
        <v/>
      </c>
      <c r="AM99" s="95" t="str">
        <f t="shared" si="32"/>
        <v/>
      </c>
      <c r="AN99" s="95" t="str">
        <f>IFERROR(AM99*
(Assumptions!$S$7*(Y99/(AQ99*Assumptions!$AB$9/100)/P99)^3+
Assumptions!$S$8*(Y99/(AQ99*Assumptions!$AB$9/100)/P99)^2+
Assumptions!$S$9*(Y99/(AQ99*Assumptions!$AB$9/100)/P99)+
Assumptions!$S$10),"")</f>
        <v/>
      </c>
      <c r="AO99" s="95" t="str">
        <f>IFERROR(AM99*
(Assumptions!$S$7*(AD99/(AQ99*Assumptions!$AB$8/100)/P99)^3+
Assumptions!$S$8*(AD99/(AQ99*Assumptions!$AB$8/100)/P99)^2+
Assumptions!$S$9*(AD99/(AQ99*Assumptions!$AB$8/100)/P99)+
Assumptions!$S$10),"")</f>
        <v/>
      </c>
      <c r="AP99" s="95" t="str">
        <f>IFERROR(AM99*
(Assumptions!$S$7*(AI99/(AQ99*Assumptions!$AB$10/100)/P99)^3+
Assumptions!$S$8*(AI99/(AQ99*Assumptions!$AB$10/100)/P99)^2+
Assumptions!$S$9*(AI99/(AQ99*Assumptions!$AB$10/100)/P99)+
Assumptions!$S$10),"")</f>
        <v/>
      </c>
      <c r="AQ99" s="95" t="str">
        <f>IFERROR(
Assumptions!$AD$8*LN(U99)^2+
Assumptions!$AE$8*LN(T99)*LN(U99)+
Assumptions!$AF$8*LN(T99)^2+
Assumptions!$AG$8*LN(U99)+
Assumptions!$AH$8*LN(T99)-
(IF(S99=1800,
VLOOKUP(C99,Assumptions!$AA$13:$AC$17,3),
IF(S99=3600,
VLOOKUP(C99,Assumptions!$AA$18:$AC$22,3),
""))+Assumptions!$AI$8),
"")</f>
        <v/>
      </c>
      <c r="AR99" s="96" t="str">
        <f>IFERROR(
Assumptions!$D$11*(Y99/(Assumptions!$AB$9*AQ99/100)+AN99)+
Assumptions!$D$10*(AD99/(Assumptions!$AB$8*AQ99/100)+AO99)+
Assumptions!$D$12*(AI99/(Assumptions!$AB$10*AQ99/100)+AP99),
"")</f>
        <v/>
      </c>
      <c r="AS99" s="76" t="str">
        <f>IFERROR(
(W99+X99)*Assumptions!$D$11+
(AB99+AC99)*Assumptions!$D$10+
(AG99+AH99)*Assumptions!$D$12,
"")</f>
        <v/>
      </c>
      <c r="AT99" s="77" t="str">
        <f t="shared" si="33"/>
        <v/>
      </c>
      <c r="AU99" s="68" t="str">
        <f t="shared" si="18"/>
        <v/>
      </c>
    </row>
    <row r="100" spans="1:47" s="7" customFormat="1" x14ac:dyDescent="0.25">
      <c r="A100" s="264"/>
      <c r="B100" s="265"/>
      <c r="C100" s="265"/>
      <c r="D100" s="265"/>
      <c r="E100" s="266"/>
      <c r="F100" s="270"/>
      <c r="G100" s="271"/>
      <c r="H100" s="271"/>
      <c r="I100" s="272"/>
      <c r="J100" s="270"/>
      <c r="K100" s="271"/>
      <c r="L100" s="272"/>
      <c r="M100" s="270"/>
      <c r="N100" s="271"/>
      <c r="O100" s="272"/>
      <c r="P100" s="290"/>
      <c r="Q100" s="291"/>
      <c r="R100" s="51" t="str">
        <f t="shared" si="19"/>
        <v/>
      </c>
      <c r="S100" s="84" t="str">
        <f t="shared" si="21"/>
        <v/>
      </c>
      <c r="T100" s="93" t="str">
        <f t="shared" si="22"/>
        <v/>
      </c>
      <c r="U100" s="100" t="str">
        <f t="shared" si="23"/>
        <v/>
      </c>
      <c r="V100" s="95" t="str">
        <f t="shared" si="24"/>
        <v/>
      </c>
      <c r="W100" s="95" t="str">
        <f t="shared" si="25"/>
        <v/>
      </c>
      <c r="X100" s="95" t="str">
        <f>IFERROR(AJ100*
(Assumptions!$S$7*(W100/P100)^3+
Assumptions!$S$8*(W100/P100)^2+
Assumptions!$S$9*(W100/P100)+
Assumptions!$S$10),
"")</f>
        <v/>
      </c>
      <c r="Y100" s="96" t="str">
        <f>IFERROR(U100*V100*Assumptions!$B$15/3956,"")</f>
        <v/>
      </c>
      <c r="Z100" s="102" t="str">
        <f t="shared" si="26"/>
        <v/>
      </c>
      <c r="AA100" s="95" t="str">
        <f t="shared" si="27"/>
        <v/>
      </c>
      <c r="AB100" s="95" t="str">
        <f t="shared" si="28"/>
        <v/>
      </c>
      <c r="AC100" s="95" t="str">
        <f>IFERROR(AJ100*
(Assumptions!$S$7*(AB100/P100)^3+
Assumptions!$S$8*(AB100/P100)^2+
Assumptions!$S$9*(AB100/P100)+
Assumptions!$S$10),
"")</f>
        <v/>
      </c>
      <c r="AD100" s="96" t="str">
        <f>IFERROR(Z100*AA100*Assumptions!$B$15/3956,"")</f>
        <v/>
      </c>
      <c r="AE100" s="102" t="str">
        <f t="shared" si="29"/>
        <v/>
      </c>
      <c r="AF100" s="95" t="str">
        <f t="shared" si="30"/>
        <v/>
      </c>
      <c r="AG100" s="95" t="str">
        <f t="shared" si="31"/>
        <v/>
      </c>
      <c r="AH100" s="95" t="str">
        <f>IFERROR(AJ100*
(Assumptions!$S$7*(AG100/P100)^3+
Assumptions!$S$8*(AG100/P100)^2+
Assumptions!$S$9*(AG100/P100)+
Assumptions!$S$10),
"")</f>
        <v/>
      </c>
      <c r="AI100" s="96" t="str">
        <f>IFERROR(AE100*AF100*Assumptions!$B$15/3956,"")</f>
        <v/>
      </c>
      <c r="AJ100" s="247" t="str">
        <f t="shared" si="20"/>
        <v/>
      </c>
      <c r="AK100" s="99" t="str">
        <f>IFERROR(
IF(C100="VTS",
IF(P100&gt;=AVERAGE(
INDEX(Assumptions!$I$38:$I$57,MATCH(P100,Assumptions!$I$38:$I$57,-1)),
INDEX(Assumptions!$I$38:$I$57,MATCH(P100,Assumptions!$I$38:$I$57,-1)+1)),
INDEX(Assumptions!$I$38:$I$57,MATCH(P100,Assumptions!$I$38:$I$57,-1)),
INDEX(Assumptions!$I$38:$I$57,MATCH(P100,Assumptions!$I$38:$I$57,-1)+1)),
IF(P100&gt;=AVERAGE(
INDEX(Assumptions!$I$13:$I$32,MATCH(P100,Assumptions!$I$13:$I$32,-1)),
INDEX(Assumptions!$I$13:$I$32,MATCH(P100,Assumptions!$I$13:$I$32,-1)+1)),
INDEX(Assumptions!$I$13:$I$32,MATCH(P100,Assumptions!$I$13:$I$32,-1)),
INDEX(Assumptions!$I$13:$I$32,MATCH(P100,Assumptions!$I$13:$I$32,-1)+1))),
"")</f>
        <v/>
      </c>
      <c r="AL100" s="95" t="str">
        <f>IFERROR(
IF(C100="VTS",
VLOOKUP(AK100,Assumptions!$I$38:$K$57,MATCH(R100,Assumptions!$I$37:$K$37,0),FALSE),
VLOOKUP(AK100,Assumptions!$I$13:$K$32,MATCH(R100,Assumptions!$I$12:$K$12,0),FALSE)),
"")</f>
        <v/>
      </c>
      <c r="AM100" s="95" t="str">
        <f t="shared" si="32"/>
        <v/>
      </c>
      <c r="AN100" s="95" t="str">
        <f>IFERROR(AM100*
(Assumptions!$S$7*(Y100/(AQ100*Assumptions!$AB$9/100)/P100)^3+
Assumptions!$S$8*(Y100/(AQ100*Assumptions!$AB$9/100)/P100)^2+
Assumptions!$S$9*(Y100/(AQ100*Assumptions!$AB$9/100)/P100)+
Assumptions!$S$10),"")</f>
        <v/>
      </c>
      <c r="AO100" s="95" t="str">
        <f>IFERROR(AM100*
(Assumptions!$S$7*(AD100/(AQ100*Assumptions!$AB$8/100)/P100)^3+
Assumptions!$S$8*(AD100/(AQ100*Assumptions!$AB$8/100)/P100)^2+
Assumptions!$S$9*(AD100/(AQ100*Assumptions!$AB$8/100)/P100)+
Assumptions!$S$10),"")</f>
        <v/>
      </c>
      <c r="AP100" s="95" t="str">
        <f>IFERROR(AM100*
(Assumptions!$S$7*(AI100/(AQ100*Assumptions!$AB$10/100)/P100)^3+
Assumptions!$S$8*(AI100/(AQ100*Assumptions!$AB$10/100)/P100)^2+
Assumptions!$S$9*(AI100/(AQ100*Assumptions!$AB$10/100)/P100)+
Assumptions!$S$10),"")</f>
        <v/>
      </c>
      <c r="AQ100" s="95" t="str">
        <f>IFERROR(
Assumptions!$AD$8*LN(U100)^2+
Assumptions!$AE$8*LN(T100)*LN(U100)+
Assumptions!$AF$8*LN(T100)^2+
Assumptions!$AG$8*LN(U100)+
Assumptions!$AH$8*LN(T100)-
(IF(S100=1800,
VLOOKUP(C100,Assumptions!$AA$13:$AC$17,3),
IF(S100=3600,
VLOOKUP(C100,Assumptions!$AA$18:$AC$22,3),
""))+Assumptions!$AI$8),
"")</f>
        <v/>
      </c>
      <c r="AR100" s="96" t="str">
        <f>IFERROR(
Assumptions!$D$11*(Y100/(Assumptions!$AB$9*AQ100/100)+AN100)+
Assumptions!$D$10*(AD100/(Assumptions!$AB$8*AQ100/100)+AO100)+
Assumptions!$D$12*(AI100/(Assumptions!$AB$10*AQ100/100)+AP100),
"")</f>
        <v/>
      </c>
      <c r="AS100" s="76" t="str">
        <f>IFERROR(
(W100+X100)*Assumptions!$D$11+
(AB100+AC100)*Assumptions!$D$10+
(AG100+AH100)*Assumptions!$D$12,
"")</f>
        <v/>
      </c>
      <c r="AT100" s="77" t="str">
        <f t="shared" si="33"/>
        <v/>
      </c>
      <c r="AU100" s="68" t="str">
        <f t="shared" si="18"/>
        <v/>
      </c>
    </row>
    <row r="101" spans="1:47" s="7" customFormat="1" x14ac:dyDescent="0.25">
      <c r="A101" s="264"/>
      <c r="B101" s="265"/>
      <c r="C101" s="265"/>
      <c r="D101" s="265"/>
      <c r="E101" s="266"/>
      <c r="F101" s="270"/>
      <c r="G101" s="271"/>
      <c r="H101" s="271"/>
      <c r="I101" s="272"/>
      <c r="J101" s="270"/>
      <c r="K101" s="271"/>
      <c r="L101" s="272"/>
      <c r="M101" s="270"/>
      <c r="N101" s="271"/>
      <c r="O101" s="272"/>
      <c r="P101" s="290"/>
      <c r="Q101" s="291"/>
      <c r="R101" s="51" t="str">
        <f t="shared" si="19"/>
        <v/>
      </c>
      <c r="S101" s="84" t="str">
        <f t="shared" si="21"/>
        <v/>
      </c>
      <c r="T101" s="93" t="str">
        <f t="shared" si="22"/>
        <v/>
      </c>
      <c r="U101" s="100" t="str">
        <f t="shared" si="23"/>
        <v/>
      </c>
      <c r="V101" s="95" t="str">
        <f t="shared" si="24"/>
        <v/>
      </c>
      <c r="W101" s="95" t="str">
        <f t="shared" si="25"/>
        <v/>
      </c>
      <c r="X101" s="95" t="str">
        <f>IFERROR(AJ101*
(Assumptions!$S$7*(W101/P101)^3+
Assumptions!$S$8*(W101/P101)^2+
Assumptions!$S$9*(W101/P101)+
Assumptions!$S$10),
"")</f>
        <v/>
      </c>
      <c r="Y101" s="96" t="str">
        <f>IFERROR(U101*V101*Assumptions!$B$15/3956,"")</f>
        <v/>
      </c>
      <c r="Z101" s="102" t="str">
        <f t="shared" si="26"/>
        <v/>
      </c>
      <c r="AA101" s="95" t="str">
        <f t="shared" si="27"/>
        <v/>
      </c>
      <c r="AB101" s="95" t="str">
        <f t="shared" si="28"/>
        <v/>
      </c>
      <c r="AC101" s="95" t="str">
        <f>IFERROR(AJ101*
(Assumptions!$S$7*(AB101/P101)^3+
Assumptions!$S$8*(AB101/P101)^2+
Assumptions!$S$9*(AB101/P101)+
Assumptions!$S$10),
"")</f>
        <v/>
      </c>
      <c r="AD101" s="96" t="str">
        <f>IFERROR(Z101*AA101*Assumptions!$B$15/3956,"")</f>
        <v/>
      </c>
      <c r="AE101" s="102" t="str">
        <f t="shared" si="29"/>
        <v/>
      </c>
      <c r="AF101" s="95" t="str">
        <f t="shared" si="30"/>
        <v/>
      </c>
      <c r="AG101" s="95" t="str">
        <f t="shared" si="31"/>
        <v/>
      </c>
      <c r="AH101" s="95" t="str">
        <f>IFERROR(AJ101*
(Assumptions!$S$7*(AG101/P101)^3+
Assumptions!$S$8*(AG101/P101)^2+
Assumptions!$S$9*(AG101/P101)+
Assumptions!$S$10),
"")</f>
        <v/>
      </c>
      <c r="AI101" s="96" t="str">
        <f>IFERROR(AE101*AF101*Assumptions!$B$15/3956,"")</f>
        <v/>
      </c>
      <c r="AJ101" s="247" t="str">
        <f t="shared" si="20"/>
        <v/>
      </c>
      <c r="AK101" s="99" t="str">
        <f>IFERROR(
IF(C101="VTS",
IF(P101&gt;=AVERAGE(
INDEX(Assumptions!$I$38:$I$57,MATCH(P101,Assumptions!$I$38:$I$57,-1)),
INDEX(Assumptions!$I$38:$I$57,MATCH(P101,Assumptions!$I$38:$I$57,-1)+1)),
INDEX(Assumptions!$I$38:$I$57,MATCH(P101,Assumptions!$I$38:$I$57,-1)),
INDEX(Assumptions!$I$38:$I$57,MATCH(P101,Assumptions!$I$38:$I$57,-1)+1)),
IF(P101&gt;=AVERAGE(
INDEX(Assumptions!$I$13:$I$32,MATCH(P101,Assumptions!$I$13:$I$32,-1)),
INDEX(Assumptions!$I$13:$I$32,MATCH(P101,Assumptions!$I$13:$I$32,-1)+1)),
INDEX(Assumptions!$I$13:$I$32,MATCH(P101,Assumptions!$I$13:$I$32,-1)),
INDEX(Assumptions!$I$13:$I$32,MATCH(P101,Assumptions!$I$13:$I$32,-1)+1))),
"")</f>
        <v/>
      </c>
      <c r="AL101" s="95" t="str">
        <f>IFERROR(
IF(C101="VTS",
VLOOKUP(AK101,Assumptions!$I$38:$K$57,MATCH(R101,Assumptions!$I$37:$K$37,0),FALSE),
VLOOKUP(AK101,Assumptions!$I$13:$K$32,MATCH(R101,Assumptions!$I$12:$K$12,0),FALSE)),
"")</f>
        <v/>
      </c>
      <c r="AM101" s="95" t="str">
        <f t="shared" si="32"/>
        <v/>
      </c>
      <c r="AN101" s="95" t="str">
        <f>IFERROR(AM101*
(Assumptions!$S$7*(Y101/(AQ101*Assumptions!$AB$9/100)/P101)^3+
Assumptions!$S$8*(Y101/(AQ101*Assumptions!$AB$9/100)/P101)^2+
Assumptions!$S$9*(Y101/(AQ101*Assumptions!$AB$9/100)/P101)+
Assumptions!$S$10),"")</f>
        <v/>
      </c>
      <c r="AO101" s="95" t="str">
        <f>IFERROR(AM101*
(Assumptions!$S$7*(AD101/(AQ101*Assumptions!$AB$8/100)/P101)^3+
Assumptions!$S$8*(AD101/(AQ101*Assumptions!$AB$8/100)/P101)^2+
Assumptions!$S$9*(AD101/(AQ101*Assumptions!$AB$8/100)/P101)+
Assumptions!$S$10),"")</f>
        <v/>
      </c>
      <c r="AP101" s="95" t="str">
        <f>IFERROR(AM101*
(Assumptions!$S$7*(AI101/(AQ101*Assumptions!$AB$10/100)/P101)^3+
Assumptions!$S$8*(AI101/(AQ101*Assumptions!$AB$10/100)/P101)^2+
Assumptions!$S$9*(AI101/(AQ101*Assumptions!$AB$10/100)/P101)+
Assumptions!$S$10),"")</f>
        <v/>
      </c>
      <c r="AQ101" s="95" t="str">
        <f>IFERROR(
Assumptions!$AD$8*LN(U101)^2+
Assumptions!$AE$8*LN(T101)*LN(U101)+
Assumptions!$AF$8*LN(T101)^2+
Assumptions!$AG$8*LN(U101)+
Assumptions!$AH$8*LN(T101)-
(IF(S101=1800,
VLOOKUP(C101,Assumptions!$AA$13:$AC$17,3),
IF(S101=3600,
VLOOKUP(C101,Assumptions!$AA$18:$AC$22,3),
""))+Assumptions!$AI$8),
"")</f>
        <v/>
      </c>
      <c r="AR101" s="96" t="str">
        <f>IFERROR(
Assumptions!$D$11*(Y101/(Assumptions!$AB$9*AQ101/100)+AN101)+
Assumptions!$D$10*(AD101/(Assumptions!$AB$8*AQ101/100)+AO101)+
Assumptions!$D$12*(AI101/(Assumptions!$AB$10*AQ101/100)+AP101),
"")</f>
        <v/>
      </c>
      <c r="AS101" s="76" t="str">
        <f>IFERROR(
(W101+X101)*Assumptions!$D$11+
(AB101+AC101)*Assumptions!$D$10+
(AG101+AH101)*Assumptions!$D$12,
"")</f>
        <v/>
      </c>
      <c r="AT101" s="77" t="str">
        <f t="shared" si="33"/>
        <v/>
      </c>
      <c r="AU101" s="68" t="str">
        <f t="shared" si="18"/>
        <v/>
      </c>
    </row>
    <row r="102" spans="1:47" s="7" customFormat="1" x14ac:dyDescent="0.25">
      <c r="A102" s="264"/>
      <c r="B102" s="265"/>
      <c r="C102" s="265"/>
      <c r="D102" s="265"/>
      <c r="E102" s="266"/>
      <c r="F102" s="270"/>
      <c r="G102" s="271"/>
      <c r="H102" s="271"/>
      <c r="I102" s="272"/>
      <c r="J102" s="270"/>
      <c r="K102" s="271"/>
      <c r="L102" s="272"/>
      <c r="M102" s="270"/>
      <c r="N102" s="271"/>
      <c r="O102" s="272"/>
      <c r="P102" s="290"/>
      <c r="Q102" s="291"/>
      <c r="R102" s="51" t="str">
        <f t="shared" si="19"/>
        <v/>
      </c>
      <c r="S102" s="84" t="str">
        <f t="shared" si="21"/>
        <v/>
      </c>
      <c r="T102" s="93" t="str">
        <f t="shared" si="22"/>
        <v/>
      </c>
      <c r="U102" s="100" t="str">
        <f t="shared" si="23"/>
        <v/>
      </c>
      <c r="V102" s="95" t="str">
        <f t="shared" si="24"/>
        <v/>
      </c>
      <c r="W102" s="95" t="str">
        <f t="shared" si="25"/>
        <v/>
      </c>
      <c r="X102" s="95" t="str">
        <f>IFERROR(AJ102*
(Assumptions!$S$7*(W102/P102)^3+
Assumptions!$S$8*(W102/P102)^2+
Assumptions!$S$9*(W102/P102)+
Assumptions!$S$10),
"")</f>
        <v/>
      </c>
      <c r="Y102" s="96" t="str">
        <f>IFERROR(U102*V102*Assumptions!$B$15/3956,"")</f>
        <v/>
      </c>
      <c r="Z102" s="102" t="str">
        <f t="shared" si="26"/>
        <v/>
      </c>
      <c r="AA102" s="95" t="str">
        <f t="shared" si="27"/>
        <v/>
      </c>
      <c r="AB102" s="95" t="str">
        <f t="shared" si="28"/>
        <v/>
      </c>
      <c r="AC102" s="95" t="str">
        <f>IFERROR(AJ102*
(Assumptions!$S$7*(AB102/P102)^3+
Assumptions!$S$8*(AB102/P102)^2+
Assumptions!$S$9*(AB102/P102)+
Assumptions!$S$10),
"")</f>
        <v/>
      </c>
      <c r="AD102" s="96" t="str">
        <f>IFERROR(Z102*AA102*Assumptions!$B$15/3956,"")</f>
        <v/>
      </c>
      <c r="AE102" s="102" t="str">
        <f t="shared" si="29"/>
        <v/>
      </c>
      <c r="AF102" s="95" t="str">
        <f t="shared" si="30"/>
        <v/>
      </c>
      <c r="AG102" s="95" t="str">
        <f t="shared" si="31"/>
        <v/>
      </c>
      <c r="AH102" s="95" t="str">
        <f>IFERROR(AJ102*
(Assumptions!$S$7*(AG102/P102)^3+
Assumptions!$S$8*(AG102/P102)^2+
Assumptions!$S$9*(AG102/P102)+
Assumptions!$S$10),
"")</f>
        <v/>
      </c>
      <c r="AI102" s="96" t="str">
        <f>IFERROR(AE102*AF102*Assumptions!$B$15/3956,"")</f>
        <v/>
      </c>
      <c r="AJ102" s="247" t="str">
        <f t="shared" si="20"/>
        <v/>
      </c>
      <c r="AK102" s="99" t="str">
        <f>IFERROR(
IF(C102="VTS",
IF(P102&gt;=AVERAGE(
INDEX(Assumptions!$I$38:$I$57,MATCH(P102,Assumptions!$I$38:$I$57,-1)),
INDEX(Assumptions!$I$38:$I$57,MATCH(P102,Assumptions!$I$38:$I$57,-1)+1)),
INDEX(Assumptions!$I$38:$I$57,MATCH(P102,Assumptions!$I$38:$I$57,-1)),
INDEX(Assumptions!$I$38:$I$57,MATCH(P102,Assumptions!$I$38:$I$57,-1)+1)),
IF(P102&gt;=AVERAGE(
INDEX(Assumptions!$I$13:$I$32,MATCH(P102,Assumptions!$I$13:$I$32,-1)),
INDEX(Assumptions!$I$13:$I$32,MATCH(P102,Assumptions!$I$13:$I$32,-1)+1)),
INDEX(Assumptions!$I$13:$I$32,MATCH(P102,Assumptions!$I$13:$I$32,-1)),
INDEX(Assumptions!$I$13:$I$32,MATCH(P102,Assumptions!$I$13:$I$32,-1)+1))),
"")</f>
        <v/>
      </c>
      <c r="AL102" s="95" t="str">
        <f>IFERROR(
IF(C102="VTS",
VLOOKUP(AK102,Assumptions!$I$38:$K$57,MATCH(R102,Assumptions!$I$37:$K$37,0),FALSE),
VLOOKUP(AK102,Assumptions!$I$13:$K$32,MATCH(R102,Assumptions!$I$12:$K$12,0),FALSE)),
"")</f>
        <v/>
      </c>
      <c r="AM102" s="95" t="str">
        <f t="shared" si="32"/>
        <v/>
      </c>
      <c r="AN102" s="95" t="str">
        <f>IFERROR(AM102*
(Assumptions!$S$7*(Y102/(AQ102*Assumptions!$AB$9/100)/P102)^3+
Assumptions!$S$8*(Y102/(AQ102*Assumptions!$AB$9/100)/P102)^2+
Assumptions!$S$9*(Y102/(AQ102*Assumptions!$AB$9/100)/P102)+
Assumptions!$S$10),"")</f>
        <v/>
      </c>
      <c r="AO102" s="95" t="str">
        <f>IFERROR(AM102*
(Assumptions!$S$7*(AD102/(AQ102*Assumptions!$AB$8/100)/P102)^3+
Assumptions!$S$8*(AD102/(AQ102*Assumptions!$AB$8/100)/P102)^2+
Assumptions!$S$9*(AD102/(AQ102*Assumptions!$AB$8/100)/P102)+
Assumptions!$S$10),"")</f>
        <v/>
      </c>
      <c r="AP102" s="95" t="str">
        <f>IFERROR(AM102*
(Assumptions!$S$7*(AI102/(AQ102*Assumptions!$AB$10/100)/P102)^3+
Assumptions!$S$8*(AI102/(AQ102*Assumptions!$AB$10/100)/P102)^2+
Assumptions!$S$9*(AI102/(AQ102*Assumptions!$AB$10/100)/P102)+
Assumptions!$S$10),"")</f>
        <v/>
      </c>
      <c r="AQ102" s="95" t="str">
        <f>IFERROR(
Assumptions!$AD$8*LN(U102)^2+
Assumptions!$AE$8*LN(T102)*LN(U102)+
Assumptions!$AF$8*LN(T102)^2+
Assumptions!$AG$8*LN(U102)+
Assumptions!$AH$8*LN(T102)-
(IF(S102=1800,
VLOOKUP(C102,Assumptions!$AA$13:$AC$17,3),
IF(S102=3600,
VLOOKUP(C102,Assumptions!$AA$18:$AC$22,3),
""))+Assumptions!$AI$8),
"")</f>
        <v/>
      </c>
      <c r="AR102" s="96" t="str">
        <f>IFERROR(
Assumptions!$D$11*(Y102/(Assumptions!$AB$9*AQ102/100)+AN102)+
Assumptions!$D$10*(AD102/(Assumptions!$AB$8*AQ102/100)+AO102)+
Assumptions!$D$12*(AI102/(Assumptions!$AB$10*AQ102/100)+AP102),
"")</f>
        <v/>
      </c>
      <c r="AS102" s="76" t="str">
        <f>IFERROR(
(W102+X102)*Assumptions!$D$11+
(AB102+AC102)*Assumptions!$D$10+
(AG102+AH102)*Assumptions!$D$12,
"")</f>
        <v/>
      </c>
      <c r="AT102" s="77" t="str">
        <f t="shared" si="33"/>
        <v/>
      </c>
      <c r="AU102" s="68" t="str">
        <f t="shared" si="18"/>
        <v/>
      </c>
    </row>
    <row r="103" spans="1:47" s="7" customFormat="1" x14ac:dyDescent="0.25">
      <c r="A103" s="264"/>
      <c r="B103" s="265"/>
      <c r="C103" s="265"/>
      <c r="D103" s="265"/>
      <c r="E103" s="266"/>
      <c r="F103" s="270"/>
      <c r="G103" s="271"/>
      <c r="H103" s="271"/>
      <c r="I103" s="272"/>
      <c r="J103" s="270"/>
      <c r="K103" s="271"/>
      <c r="L103" s="272"/>
      <c r="M103" s="270"/>
      <c r="N103" s="271"/>
      <c r="O103" s="272"/>
      <c r="P103" s="290"/>
      <c r="Q103" s="291"/>
      <c r="R103" s="51" t="str">
        <f t="shared" si="19"/>
        <v/>
      </c>
      <c r="S103" s="84" t="str">
        <f t="shared" si="21"/>
        <v/>
      </c>
      <c r="T103" s="93" t="str">
        <f t="shared" si="22"/>
        <v/>
      </c>
      <c r="U103" s="100" t="str">
        <f t="shared" si="23"/>
        <v/>
      </c>
      <c r="V103" s="95" t="str">
        <f t="shared" si="24"/>
        <v/>
      </c>
      <c r="W103" s="95" t="str">
        <f t="shared" si="25"/>
        <v/>
      </c>
      <c r="X103" s="95" t="str">
        <f>IFERROR(AJ103*
(Assumptions!$S$7*(W103/P103)^3+
Assumptions!$S$8*(W103/P103)^2+
Assumptions!$S$9*(W103/P103)+
Assumptions!$S$10),
"")</f>
        <v/>
      </c>
      <c r="Y103" s="96" t="str">
        <f>IFERROR(U103*V103*Assumptions!$B$15/3956,"")</f>
        <v/>
      </c>
      <c r="Z103" s="102" t="str">
        <f t="shared" si="26"/>
        <v/>
      </c>
      <c r="AA103" s="95" t="str">
        <f t="shared" si="27"/>
        <v/>
      </c>
      <c r="AB103" s="95" t="str">
        <f t="shared" si="28"/>
        <v/>
      </c>
      <c r="AC103" s="95" t="str">
        <f>IFERROR(AJ103*
(Assumptions!$S$7*(AB103/P103)^3+
Assumptions!$S$8*(AB103/P103)^2+
Assumptions!$S$9*(AB103/P103)+
Assumptions!$S$10),
"")</f>
        <v/>
      </c>
      <c r="AD103" s="96" t="str">
        <f>IFERROR(Z103*AA103*Assumptions!$B$15/3956,"")</f>
        <v/>
      </c>
      <c r="AE103" s="102" t="str">
        <f t="shared" si="29"/>
        <v/>
      </c>
      <c r="AF103" s="95" t="str">
        <f t="shared" si="30"/>
        <v/>
      </c>
      <c r="AG103" s="95" t="str">
        <f t="shared" si="31"/>
        <v/>
      </c>
      <c r="AH103" s="95" t="str">
        <f>IFERROR(AJ103*
(Assumptions!$S$7*(AG103/P103)^3+
Assumptions!$S$8*(AG103/P103)^2+
Assumptions!$S$9*(AG103/P103)+
Assumptions!$S$10),
"")</f>
        <v/>
      </c>
      <c r="AI103" s="96" t="str">
        <f>IFERROR(AE103*AF103*Assumptions!$B$15/3956,"")</f>
        <v/>
      </c>
      <c r="AJ103" s="247" t="str">
        <f t="shared" si="20"/>
        <v/>
      </c>
      <c r="AK103" s="99" t="str">
        <f>IFERROR(
IF(C103="VTS",
IF(P103&gt;=AVERAGE(
INDEX(Assumptions!$I$38:$I$57,MATCH(P103,Assumptions!$I$38:$I$57,-1)),
INDEX(Assumptions!$I$38:$I$57,MATCH(P103,Assumptions!$I$38:$I$57,-1)+1)),
INDEX(Assumptions!$I$38:$I$57,MATCH(P103,Assumptions!$I$38:$I$57,-1)),
INDEX(Assumptions!$I$38:$I$57,MATCH(P103,Assumptions!$I$38:$I$57,-1)+1)),
IF(P103&gt;=AVERAGE(
INDEX(Assumptions!$I$13:$I$32,MATCH(P103,Assumptions!$I$13:$I$32,-1)),
INDEX(Assumptions!$I$13:$I$32,MATCH(P103,Assumptions!$I$13:$I$32,-1)+1)),
INDEX(Assumptions!$I$13:$I$32,MATCH(P103,Assumptions!$I$13:$I$32,-1)),
INDEX(Assumptions!$I$13:$I$32,MATCH(P103,Assumptions!$I$13:$I$32,-1)+1))),
"")</f>
        <v/>
      </c>
      <c r="AL103" s="95" t="str">
        <f>IFERROR(
IF(C103="VTS",
VLOOKUP(AK103,Assumptions!$I$38:$K$57,MATCH(R103,Assumptions!$I$37:$K$37,0),FALSE),
VLOOKUP(AK103,Assumptions!$I$13:$K$32,MATCH(R103,Assumptions!$I$12:$K$12,0),FALSE)),
"")</f>
        <v/>
      </c>
      <c r="AM103" s="95" t="str">
        <f t="shared" si="32"/>
        <v/>
      </c>
      <c r="AN103" s="95" t="str">
        <f>IFERROR(AM103*
(Assumptions!$S$7*(Y103/(AQ103*Assumptions!$AB$9/100)/P103)^3+
Assumptions!$S$8*(Y103/(AQ103*Assumptions!$AB$9/100)/P103)^2+
Assumptions!$S$9*(Y103/(AQ103*Assumptions!$AB$9/100)/P103)+
Assumptions!$S$10),"")</f>
        <v/>
      </c>
      <c r="AO103" s="95" t="str">
        <f>IFERROR(AM103*
(Assumptions!$S$7*(AD103/(AQ103*Assumptions!$AB$8/100)/P103)^3+
Assumptions!$S$8*(AD103/(AQ103*Assumptions!$AB$8/100)/P103)^2+
Assumptions!$S$9*(AD103/(AQ103*Assumptions!$AB$8/100)/P103)+
Assumptions!$S$10),"")</f>
        <v/>
      </c>
      <c r="AP103" s="95" t="str">
        <f>IFERROR(AM103*
(Assumptions!$S$7*(AI103/(AQ103*Assumptions!$AB$10/100)/P103)^3+
Assumptions!$S$8*(AI103/(AQ103*Assumptions!$AB$10/100)/P103)^2+
Assumptions!$S$9*(AI103/(AQ103*Assumptions!$AB$10/100)/P103)+
Assumptions!$S$10),"")</f>
        <v/>
      </c>
      <c r="AQ103" s="95" t="str">
        <f>IFERROR(
Assumptions!$AD$8*LN(U103)^2+
Assumptions!$AE$8*LN(T103)*LN(U103)+
Assumptions!$AF$8*LN(T103)^2+
Assumptions!$AG$8*LN(U103)+
Assumptions!$AH$8*LN(T103)-
(IF(S103=1800,
VLOOKUP(C103,Assumptions!$AA$13:$AC$17,3),
IF(S103=3600,
VLOOKUP(C103,Assumptions!$AA$18:$AC$22,3),
""))+Assumptions!$AI$8),
"")</f>
        <v/>
      </c>
      <c r="AR103" s="96" t="str">
        <f>IFERROR(
Assumptions!$D$11*(Y103/(Assumptions!$AB$9*AQ103/100)+AN103)+
Assumptions!$D$10*(AD103/(Assumptions!$AB$8*AQ103/100)+AO103)+
Assumptions!$D$12*(AI103/(Assumptions!$AB$10*AQ103/100)+AP103),
"")</f>
        <v/>
      </c>
      <c r="AS103" s="76" t="str">
        <f>IFERROR(
(W103+X103)*Assumptions!$D$11+
(AB103+AC103)*Assumptions!$D$10+
(AG103+AH103)*Assumptions!$D$12,
"")</f>
        <v/>
      </c>
      <c r="AT103" s="77" t="str">
        <f t="shared" si="33"/>
        <v/>
      </c>
      <c r="AU103" s="68" t="str">
        <f t="shared" si="18"/>
        <v/>
      </c>
    </row>
    <row r="104" spans="1:47" s="7" customFormat="1" x14ac:dyDescent="0.25">
      <c r="A104" s="264"/>
      <c r="B104" s="265"/>
      <c r="C104" s="265"/>
      <c r="D104" s="265"/>
      <c r="E104" s="266"/>
      <c r="F104" s="270"/>
      <c r="G104" s="271"/>
      <c r="H104" s="271"/>
      <c r="I104" s="272"/>
      <c r="J104" s="270"/>
      <c r="K104" s="271"/>
      <c r="L104" s="272"/>
      <c r="M104" s="270"/>
      <c r="N104" s="271"/>
      <c r="O104" s="272"/>
      <c r="P104" s="290"/>
      <c r="Q104" s="291"/>
      <c r="R104" s="51" t="str">
        <f t="shared" si="19"/>
        <v/>
      </c>
      <c r="S104" s="84" t="str">
        <f t="shared" si="21"/>
        <v/>
      </c>
      <c r="T104" s="93" t="str">
        <f t="shared" si="22"/>
        <v/>
      </c>
      <c r="U104" s="100" t="str">
        <f t="shared" si="23"/>
        <v/>
      </c>
      <c r="V104" s="95" t="str">
        <f t="shared" si="24"/>
        <v/>
      </c>
      <c r="W104" s="95" t="str">
        <f t="shared" si="25"/>
        <v/>
      </c>
      <c r="X104" s="95" t="str">
        <f>IFERROR(AJ104*
(Assumptions!$S$7*(W104/P104)^3+
Assumptions!$S$8*(W104/P104)^2+
Assumptions!$S$9*(W104/P104)+
Assumptions!$S$10),
"")</f>
        <v/>
      </c>
      <c r="Y104" s="96" t="str">
        <f>IFERROR(U104*V104*Assumptions!$B$15/3956,"")</f>
        <v/>
      </c>
      <c r="Z104" s="102" t="str">
        <f t="shared" si="26"/>
        <v/>
      </c>
      <c r="AA104" s="95" t="str">
        <f t="shared" si="27"/>
        <v/>
      </c>
      <c r="AB104" s="95" t="str">
        <f t="shared" si="28"/>
        <v/>
      </c>
      <c r="AC104" s="95" t="str">
        <f>IFERROR(AJ104*
(Assumptions!$S$7*(AB104/P104)^3+
Assumptions!$S$8*(AB104/P104)^2+
Assumptions!$S$9*(AB104/P104)+
Assumptions!$S$10),
"")</f>
        <v/>
      </c>
      <c r="AD104" s="96" t="str">
        <f>IFERROR(Z104*AA104*Assumptions!$B$15/3956,"")</f>
        <v/>
      </c>
      <c r="AE104" s="102" t="str">
        <f t="shared" si="29"/>
        <v/>
      </c>
      <c r="AF104" s="95" t="str">
        <f t="shared" si="30"/>
        <v/>
      </c>
      <c r="AG104" s="95" t="str">
        <f t="shared" si="31"/>
        <v/>
      </c>
      <c r="AH104" s="95" t="str">
        <f>IFERROR(AJ104*
(Assumptions!$S$7*(AG104/P104)^3+
Assumptions!$S$8*(AG104/P104)^2+
Assumptions!$S$9*(AG104/P104)+
Assumptions!$S$10),
"")</f>
        <v/>
      </c>
      <c r="AI104" s="96" t="str">
        <f>IFERROR(AE104*AF104*Assumptions!$B$15/3956,"")</f>
        <v/>
      </c>
      <c r="AJ104" s="247" t="str">
        <f t="shared" si="20"/>
        <v/>
      </c>
      <c r="AK104" s="99" t="str">
        <f>IFERROR(
IF(C104="VTS",
IF(P104&gt;=AVERAGE(
INDEX(Assumptions!$I$38:$I$57,MATCH(P104,Assumptions!$I$38:$I$57,-1)),
INDEX(Assumptions!$I$38:$I$57,MATCH(P104,Assumptions!$I$38:$I$57,-1)+1)),
INDEX(Assumptions!$I$38:$I$57,MATCH(P104,Assumptions!$I$38:$I$57,-1)),
INDEX(Assumptions!$I$38:$I$57,MATCH(P104,Assumptions!$I$38:$I$57,-1)+1)),
IF(P104&gt;=AVERAGE(
INDEX(Assumptions!$I$13:$I$32,MATCH(P104,Assumptions!$I$13:$I$32,-1)),
INDEX(Assumptions!$I$13:$I$32,MATCH(P104,Assumptions!$I$13:$I$32,-1)+1)),
INDEX(Assumptions!$I$13:$I$32,MATCH(P104,Assumptions!$I$13:$I$32,-1)),
INDEX(Assumptions!$I$13:$I$32,MATCH(P104,Assumptions!$I$13:$I$32,-1)+1))),
"")</f>
        <v/>
      </c>
      <c r="AL104" s="95" t="str">
        <f>IFERROR(
IF(C104="VTS",
VLOOKUP(AK104,Assumptions!$I$38:$K$57,MATCH(R104,Assumptions!$I$37:$K$37,0),FALSE),
VLOOKUP(AK104,Assumptions!$I$13:$K$32,MATCH(R104,Assumptions!$I$12:$K$12,0),FALSE)),
"")</f>
        <v/>
      </c>
      <c r="AM104" s="95" t="str">
        <f t="shared" si="32"/>
        <v/>
      </c>
      <c r="AN104" s="95" t="str">
        <f>IFERROR(AM104*
(Assumptions!$S$7*(Y104/(AQ104*Assumptions!$AB$9/100)/P104)^3+
Assumptions!$S$8*(Y104/(AQ104*Assumptions!$AB$9/100)/P104)^2+
Assumptions!$S$9*(Y104/(AQ104*Assumptions!$AB$9/100)/P104)+
Assumptions!$S$10),"")</f>
        <v/>
      </c>
      <c r="AO104" s="95" t="str">
        <f>IFERROR(AM104*
(Assumptions!$S$7*(AD104/(AQ104*Assumptions!$AB$8/100)/P104)^3+
Assumptions!$S$8*(AD104/(AQ104*Assumptions!$AB$8/100)/P104)^2+
Assumptions!$S$9*(AD104/(AQ104*Assumptions!$AB$8/100)/P104)+
Assumptions!$S$10),"")</f>
        <v/>
      </c>
      <c r="AP104" s="95" t="str">
        <f>IFERROR(AM104*
(Assumptions!$S$7*(AI104/(AQ104*Assumptions!$AB$10/100)/P104)^3+
Assumptions!$S$8*(AI104/(AQ104*Assumptions!$AB$10/100)/P104)^2+
Assumptions!$S$9*(AI104/(AQ104*Assumptions!$AB$10/100)/P104)+
Assumptions!$S$10),"")</f>
        <v/>
      </c>
      <c r="AQ104" s="95" t="str">
        <f>IFERROR(
Assumptions!$AD$8*LN(U104)^2+
Assumptions!$AE$8*LN(T104)*LN(U104)+
Assumptions!$AF$8*LN(T104)^2+
Assumptions!$AG$8*LN(U104)+
Assumptions!$AH$8*LN(T104)-
(IF(S104=1800,
VLOOKUP(C104,Assumptions!$AA$13:$AC$17,3),
IF(S104=3600,
VLOOKUP(C104,Assumptions!$AA$18:$AC$22,3),
""))+Assumptions!$AI$8),
"")</f>
        <v/>
      </c>
      <c r="AR104" s="96" t="str">
        <f>IFERROR(
Assumptions!$D$11*(Y104/(Assumptions!$AB$9*AQ104/100)+AN104)+
Assumptions!$D$10*(AD104/(Assumptions!$AB$8*AQ104/100)+AO104)+
Assumptions!$D$12*(AI104/(Assumptions!$AB$10*AQ104/100)+AP104),
"")</f>
        <v/>
      </c>
      <c r="AS104" s="76" t="str">
        <f>IFERROR(
(W104+X104)*Assumptions!$D$11+
(AB104+AC104)*Assumptions!$D$10+
(AG104+AH104)*Assumptions!$D$12,
"")</f>
        <v/>
      </c>
      <c r="AT104" s="77" t="str">
        <f t="shared" si="33"/>
        <v/>
      </c>
      <c r="AU104" s="68" t="str">
        <f t="shared" si="18"/>
        <v/>
      </c>
    </row>
    <row r="105" spans="1:47" s="7" customFormat="1" x14ac:dyDescent="0.25">
      <c r="A105" s="264"/>
      <c r="B105" s="265"/>
      <c r="C105" s="265"/>
      <c r="D105" s="265"/>
      <c r="E105" s="266"/>
      <c r="F105" s="270"/>
      <c r="G105" s="271"/>
      <c r="H105" s="271"/>
      <c r="I105" s="272"/>
      <c r="J105" s="270"/>
      <c r="K105" s="271"/>
      <c r="L105" s="272"/>
      <c r="M105" s="270"/>
      <c r="N105" s="271"/>
      <c r="O105" s="272"/>
      <c r="P105" s="290"/>
      <c r="Q105" s="291"/>
      <c r="R105" s="51" t="str">
        <f t="shared" si="19"/>
        <v/>
      </c>
      <c r="S105" s="84" t="str">
        <f t="shared" si="21"/>
        <v/>
      </c>
      <c r="T105" s="93" t="str">
        <f t="shared" si="22"/>
        <v/>
      </c>
      <c r="U105" s="100" t="str">
        <f t="shared" si="23"/>
        <v/>
      </c>
      <c r="V105" s="95" t="str">
        <f t="shared" si="24"/>
        <v/>
      </c>
      <c r="W105" s="95" t="str">
        <f t="shared" si="25"/>
        <v/>
      </c>
      <c r="X105" s="95" t="str">
        <f>IFERROR(AJ105*
(Assumptions!$S$7*(W105/P105)^3+
Assumptions!$S$8*(W105/P105)^2+
Assumptions!$S$9*(W105/P105)+
Assumptions!$S$10),
"")</f>
        <v/>
      </c>
      <c r="Y105" s="96" t="str">
        <f>IFERROR(U105*V105*Assumptions!$B$15/3956,"")</f>
        <v/>
      </c>
      <c r="Z105" s="102" t="str">
        <f t="shared" si="26"/>
        <v/>
      </c>
      <c r="AA105" s="95" t="str">
        <f t="shared" si="27"/>
        <v/>
      </c>
      <c r="AB105" s="95" t="str">
        <f t="shared" si="28"/>
        <v/>
      </c>
      <c r="AC105" s="95" t="str">
        <f>IFERROR(AJ105*
(Assumptions!$S$7*(AB105/P105)^3+
Assumptions!$S$8*(AB105/P105)^2+
Assumptions!$S$9*(AB105/P105)+
Assumptions!$S$10),
"")</f>
        <v/>
      </c>
      <c r="AD105" s="96" t="str">
        <f>IFERROR(Z105*AA105*Assumptions!$B$15/3956,"")</f>
        <v/>
      </c>
      <c r="AE105" s="102" t="str">
        <f t="shared" si="29"/>
        <v/>
      </c>
      <c r="AF105" s="95" t="str">
        <f t="shared" si="30"/>
        <v/>
      </c>
      <c r="AG105" s="95" t="str">
        <f t="shared" si="31"/>
        <v/>
      </c>
      <c r="AH105" s="95" t="str">
        <f>IFERROR(AJ105*
(Assumptions!$S$7*(AG105/P105)^3+
Assumptions!$S$8*(AG105/P105)^2+
Assumptions!$S$9*(AG105/P105)+
Assumptions!$S$10),
"")</f>
        <v/>
      </c>
      <c r="AI105" s="96" t="str">
        <f>IFERROR(AE105*AF105*Assumptions!$B$15/3956,"")</f>
        <v/>
      </c>
      <c r="AJ105" s="247" t="str">
        <f t="shared" si="20"/>
        <v/>
      </c>
      <c r="AK105" s="99" t="str">
        <f>IFERROR(
IF(C105="VTS",
IF(P105&gt;=AVERAGE(
INDEX(Assumptions!$I$38:$I$57,MATCH(P105,Assumptions!$I$38:$I$57,-1)),
INDEX(Assumptions!$I$38:$I$57,MATCH(P105,Assumptions!$I$38:$I$57,-1)+1)),
INDEX(Assumptions!$I$38:$I$57,MATCH(P105,Assumptions!$I$38:$I$57,-1)),
INDEX(Assumptions!$I$38:$I$57,MATCH(P105,Assumptions!$I$38:$I$57,-1)+1)),
IF(P105&gt;=AVERAGE(
INDEX(Assumptions!$I$13:$I$32,MATCH(P105,Assumptions!$I$13:$I$32,-1)),
INDEX(Assumptions!$I$13:$I$32,MATCH(P105,Assumptions!$I$13:$I$32,-1)+1)),
INDEX(Assumptions!$I$13:$I$32,MATCH(P105,Assumptions!$I$13:$I$32,-1)),
INDEX(Assumptions!$I$13:$I$32,MATCH(P105,Assumptions!$I$13:$I$32,-1)+1))),
"")</f>
        <v/>
      </c>
      <c r="AL105" s="95" t="str">
        <f>IFERROR(
IF(C105="VTS",
VLOOKUP(AK105,Assumptions!$I$38:$K$57,MATCH(R105,Assumptions!$I$37:$K$37,0),FALSE),
VLOOKUP(AK105,Assumptions!$I$13:$K$32,MATCH(R105,Assumptions!$I$12:$K$12,0),FALSE)),
"")</f>
        <v/>
      </c>
      <c r="AM105" s="95" t="str">
        <f t="shared" si="32"/>
        <v/>
      </c>
      <c r="AN105" s="95" t="str">
        <f>IFERROR(AM105*
(Assumptions!$S$7*(Y105/(AQ105*Assumptions!$AB$9/100)/P105)^3+
Assumptions!$S$8*(Y105/(AQ105*Assumptions!$AB$9/100)/P105)^2+
Assumptions!$S$9*(Y105/(AQ105*Assumptions!$AB$9/100)/P105)+
Assumptions!$S$10),"")</f>
        <v/>
      </c>
      <c r="AO105" s="95" t="str">
        <f>IFERROR(AM105*
(Assumptions!$S$7*(AD105/(AQ105*Assumptions!$AB$8/100)/P105)^3+
Assumptions!$S$8*(AD105/(AQ105*Assumptions!$AB$8/100)/P105)^2+
Assumptions!$S$9*(AD105/(AQ105*Assumptions!$AB$8/100)/P105)+
Assumptions!$S$10),"")</f>
        <v/>
      </c>
      <c r="AP105" s="95" t="str">
        <f>IFERROR(AM105*
(Assumptions!$S$7*(AI105/(AQ105*Assumptions!$AB$10/100)/P105)^3+
Assumptions!$S$8*(AI105/(AQ105*Assumptions!$AB$10/100)/P105)^2+
Assumptions!$S$9*(AI105/(AQ105*Assumptions!$AB$10/100)/P105)+
Assumptions!$S$10),"")</f>
        <v/>
      </c>
      <c r="AQ105" s="95" t="str">
        <f>IFERROR(
Assumptions!$AD$8*LN(U105)^2+
Assumptions!$AE$8*LN(T105)*LN(U105)+
Assumptions!$AF$8*LN(T105)^2+
Assumptions!$AG$8*LN(U105)+
Assumptions!$AH$8*LN(T105)-
(IF(S105=1800,
VLOOKUP(C105,Assumptions!$AA$13:$AC$17,3),
IF(S105=3600,
VLOOKUP(C105,Assumptions!$AA$18:$AC$22,3),
""))+Assumptions!$AI$8),
"")</f>
        <v/>
      </c>
      <c r="AR105" s="96" t="str">
        <f>IFERROR(
Assumptions!$D$11*(Y105/(Assumptions!$AB$9*AQ105/100)+AN105)+
Assumptions!$D$10*(AD105/(Assumptions!$AB$8*AQ105/100)+AO105)+
Assumptions!$D$12*(AI105/(Assumptions!$AB$10*AQ105/100)+AP105),
"")</f>
        <v/>
      </c>
      <c r="AS105" s="76" t="str">
        <f>IFERROR(
(W105+X105)*Assumptions!$D$11+
(AB105+AC105)*Assumptions!$D$10+
(AG105+AH105)*Assumptions!$D$12,
"")</f>
        <v/>
      </c>
      <c r="AT105" s="77" t="str">
        <f t="shared" si="33"/>
        <v/>
      </c>
      <c r="AU105" s="68" t="str">
        <f t="shared" si="18"/>
        <v/>
      </c>
    </row>
    <row r="106" spans="1:47" s="7" customFormat="1" x14ac:dyDescent="0.25">
      <c r="A106" s="264"/>
      <c r="B106" s="265"/>
      <c r="C106" s="265"/>
      <c r="D106" s="265"/>
      <c r="E106" s="266"/>
      <c r="F106" s="270"/>
      <c r="G106" s="271"/>
      <c r="H106" s="271"/>
      <c r="I106" s="272"/>
      <c r="J106" s="270"/>
      <c r="K106" s="271"/>
      <c r="L106" s="272"/>
      <c r="M106" s="270"/>
      <c r="N106" s="271"/>
      <c r="O106" s="272"/>
      <c r="P106" s="290"/>
      <c r="Q106" s="291"/>
      <c r="R106" s="51" t="str">
        <f t="shared" si="19"/>
        <v/>
      </c>
      <c r="S106" s="84" t="str">
        <f t="shared" si="21"/>
        <v/>
      </c>
      <c r="T106" s="93" t="str">
        <f t="shared" si="22"/>
        <v/>
      </c>
      <c r="U106" s="100" t="str">
        <f t="shared" si="23"/>
        <v/>
      </c>
      <c r="V106" s="95" t="str">
        <f t="shared" si="24"/>
        <v/>
      </c>
      <c r="W106" s="95" t="str">
        <f t="shared" si="25"/>
        <v/>
      </c>
      <c r="X106" s="95" t="str">
        <f>IFERROR(AJ106*
(Assumptions!$S$7*(W106/P106)^3+
Assumptions!$S$8*(W106/P106)^2+
Assumptions!$S$9*(W106/P106)+
Assumptions!$S$10),
"")</f>
        <v/>
      </c>
      <c r="Y106" s="96" t="str">
        <f>IFERROR(U106*V106*Assumptions!$B$15/3956,"")</f>
        <v/>
      </c>
      <c r="Z106" s="102" t="str">
        <f t="shared" si="26"/>
        <v/>
      </c>
      <c r="AA106" s="95" t="str">
        <f t="shared" si="27"/>
        <v/>
      </c>
      <c r="AB106" s="95" t="str">
        <f t="shared" si="28"/>
        <v/>
      </c>
      <c r="AC106" s="95" t="str">
        <f>IFERROR(AJ106*
(Assumptions!$S$7*(AB106/P106)^3+
Assumptions!$S$8*(AB106/P106)^2+
Assumptions!$S$9*(AB106/P106)+
Assumptions!$S$10),
"")</f>
        <v/>
      </c>
      <c r="AD106" s="96" t="str">
        <f>IFERROR(Z106*AA106*Assumptions!$B$15/3956,"")</f>
        <v/>
      </c>
      <c r="AE106" s="102" t="str">
        <f t="shared" si="29"/>
        <v/>
      </c>
      <c r="AF106" s="95" t="str">
        <f t="shared" si="30"/>
        <v/>
      </c>
      <c r="AG106" s="95" t="str">
        <f t="shared" si="31"/>
        <v/>
      </c>
      <c r="AH106" s="95" t="str">
        <f>IFERROR(AJ106*
(Assumptions!$S$7*(AG106/P106)^3+
Assumptions!$S$8*(AG106/P106)^2+
Assumptions!$S$9*(AG106/P106)+
Assumptions!$S$10),
"")</f>
        <v/>
      </c>
      <c r="AI106" s="96" t="str">
        <f>IFERROR(AE106*AF106*Assumptions!$B$15/3956,"")</f>
        <v/>
      </c>
      <c r="AJ106" s="247" t="str">
        <f t="shared" si="20"/>
        <v/>
      </c>
      <c r="AK106" s="99" t="str">
        <f>IFERROR(
IF(C106="VTS",
IF(P106&gt;=AVERAGE(
INDEX(Assumptions!$I$38:$I$57,MATCH(P106,Assumptions!$I$38:$I$57,-1)),
INDEX(Assumptions!$I$38:$I$57,MATCH(P106,Assumptions!$I$38:$I$57,-1)+1)),
INDEX(Assumptions!$I$38:$I$57,MATCH(P106,Assumptions!$I$38:$I$57,-1)),
INDEX(Assumptions!$I$38:$I$57,MATCH(P106,Assumptions!$I$38:$I$57,-1)+1)),
IF(P106&gt;=AVERAGE(
INDEX(Assumptions!$I$13:$I$32,MATCH(P106,Assumptions!$I$13:$I$32,-1)),
INDEX(Assumptions!$I$13:$I$32,MATCH(P106,Assumptions!$I$13:$I$32,-1)+1)),
INDEX(Assumptions!$I$13:$I$32,MATCH(P106,Assumptions!$I$13:$I$32,-1)),
INDEX(Assumptions!$I$13:$I$32,MATCH(P106,Assumptions!$I$13:$I$32,-1)+1))),
"")</f>
        <v/>
      </c>
      <c r="AL106" s="95" t="str">
        <f>IFERROR(
IF(C106="VTS",
VLOOKUP(AK106,Assumptions!$I$38:$K$57,MATCH(R106,Assumptions!$I$37:$K$37,0),FALSE),
VLOOKUP(AK106,Assumptions!$I$13:$K$32,MATCH(R106,Assumptions!$I$12:$K$12,0),FALSE)),
"")</f>
        <v/>
      </c>
      <c r="AM106" s="95" t="str">
        <f t="shared" si="32"/>
        <v/>
      </c>
      <c r="AN106" s="95" t="str">
        <f>IFERROR(AM106*
(Assumptions!$S$7*(Y106/(AQ106*Assumptions!$AB$9/100)/P106)^3+
Assumptions!$S$8*(Y106/(AQ106*Assumptions!$AB$9/100)/P106)^2+
Assumptions!$S$9*(Y106/(AQ106*Assumptions!$AB$9/100)/P106)+
Assumptions!$S$10),"")</f>
        <v/>
      </c>
      <c r="AO106" s="95" t="str">
        <f>IFERROR(AM106*
(Assumptions!$S$7*(AD106/(AQ106*Assumptions!$AB$8/100)/P106)^3+
Assumptions!$S$8*(AD106/(AQ106*Assumptions!$AB$8/100)/P106)^2+
Assumptions!$S$9*(AD106/(AQ106*Assumptions!$AB$8/100)/P106)+
Assumptions!$S$10),"")</f>
        <v/>
      </c>
      <c r="AP106" s="95" t="str">
        <f>IFERROR(AM106*
(Assumptions!$S$7*(AI106/(AQ106*Assumptions!$AB$10/100)/P106)^3+
Assumptions!$S$8*(AI106/(AQ106*Assumptions!$AB$10/100)/P106)^2+
Assumptions!$S$9*(AI106/(AQ106*Assumptions!$AB$10/100)/P106)+
Assumptions!$S$10),"")</f>
        <v/>
      </c>
      <c r="AQ106" s="95" t="str">
        <f>IFERROR(
Assumptions!$AD$8*LN(U106)^2+
Assumptions!$AE$8*LN(T106)*LN(U106)+
Assumptions!$AF$8*LN(T106)^2+
Assumptions!$AG$8*LN(U106)+
Assumptions!$AH$8*LN(T106)-
(IF(S106=1800,
VLOOKUP(C106,Assumptions!$AA$13:$AC$17,3),
IF(S106=3600,
VLOOKUP(C106,Assumptions!$AA$18:$AC$22,3),
""))+Assumptions!$AI$8),
"")</f>
        <v/>
      </c>
      <c r="AR106" s="96" t="str">
        <f>IFERROR(
Assumptions!$D$11*(Y106/(Assumptions!$AB$9*AQ106/100)+AN106)+
Assumptions!$D$10*(AD106/(Assumptions!$AB$8*AQ106/100)+AO106)+
Assumptions!$D$12*(AI106/(Assumptions!$AB$10*AQ106/100)+AP106),
"")</f>
        <v/>
      </c>
      <c r="AS106" s="76" t="str">
        <f>IFERROR(
(W106+X106)*Assumptions!$D$11+
(AB106+AC106)*Assumptions!$D$10+
(AG106+AH106)*Assumptions!$D$12,
"")</f>
        <v/>
      </c>
      <c r="AT106" s="77" t="str">
        <f t="shared" si="33"/>
        <v/>
      </c>
      <c r="AU106" s="68" t="str">
        <f t="shared" si="18"/>
        <v/>
      </c>
    </row>
    <row r="107" spans="1:47" s="7" customFormat="1" ht="15.75" thickBot="1" x14ac:dyDescent="0.3">
      <c r="A107" s="273"/>
      <c r="B107" s="274"/>
      <c r="C107" s="274"/>
      <c r="D107" s="274"/>
      <c r="E107" s="292"/>
      <c r="F107" s="293"/>
      <c r="G107" s="294"/>
      <c r="H107" s="294"/>
      <c r="I107" s="295"/>
      <c r="J107" s="293"/>
      <c r="K107" s="294"/>
      <c r="L107" s="295"/>
      <c r="M107" s="293"/>
      <c r="N107" s="294"/>
      <c r="O107" s="295"/>
      <c r="P107" s="296"/>
      <c r="Q107" s="297"/>
      <c r="R107" s="51" t="str">
        <f t="shared" si="19"/>
        <v/>
      </c>
      <c r="S107" s="84" t="str">
        <f t="shared" si="21"/>
        <v/>
      </c>
      <c r="T107" s="93" t="str">
        <f t="shared" si="22"/>
        <v/>
      </c>
      <c r="U107" s="100" t="str">
        <f t="shared" si="23"/>
        <v/>
      </c>
      <c r="V107" s="95" t="str">
        <f t="shared" si="24"/>
        <v/>
      </c>
      <c r="W107" s="95" t="str">
        <f t="shared" si="25"/>
        <v/>
      </c>
      <c r="X107" s="95" t="str">
        <f>IFERROR(AJ107*
(Assumptions!$S$7*(W107/P107)^3+
Assumptions!$S$8*(W107/P107)^2+
Assumptions!$S$9*(W107/P107)+
Assumptions!$S$10),
"")</f>
        <v/>
      </c>
      <c r="Y107" s="96" t="str">
        <f>IFERROR(U107*V107*Assumptions!$B$15/3956,"")</f>
        <v/>
      </c>
      <c r="Z107" s="102" t="str">
        <f t="shared" si="26"/>
        <v/>
      </c>
      <c r="AA107" s="95" t="str">
        <f t="shared" si="27"/>
        <v/>
      </c>
      <c r="AB107" s="95" t="str">
        <f t="shared" si="28"/>
        <v/>
      </c>
      <c r="AC107" s="95" t="str">
        <f>IFERROR(AJ107*
(Assumptions!$S$7*(AB107/P107)^3+
Assumptions!$S$8*(AB107/P107)^2+
Assumptions!$S$9*(AB107/P107)+
Assumptions!$S$10),
"")</f>
        <v/>
      </c>
      <c r="AD107" s="96" t="str">
        <f>IFERROR(Z107*AA107*Assumptions!$B$15/3956,"")</f>
        <v/>
      </c>
      <c r="AE107" s="102" t="str">
        <f t="shared" si="29"/>
        <v/>
      </c>
      <c r="AF107" s="95" t="str">
        <f t="shared" si="30"/>
        <v/>
      </c>
      <c r="AG107" s="95" t="str">
        <f t="shared" si="31"/>
        <v/>
      </c>
      <c r="AH107" s="95" t="str">
        <f>IFERROR(AJ107*
(Assumptions!$S$7*(AG107/P107)^3+
Assumptions!$S$8*(AG107/P107)^2+
Assumptions!$S$9*(AG107/P107)+
Assumptions!$S$10),
"")</f>
        <v/>
      </c>
      <c r="AI107" s="96" t="str">
        <f>IFERROR(AE107*AF107*Assumptions!$B$15/3956,"")</f>
        <v/>
      </c>
      <c r="AJ107" s="248" t="str">
        <f t="shared" si="20"/>
        <v/>
      </c>
      <c r="AK107" s="99" t="str">
        <f>IFERROR(
IF(C107="VTS",
IF(P107&gt;=AVERAGE(
INDEX(Assumptions!$I$38:$I$57,MATCH(P107,Assumptions!$I$38:$I$57,-1)),
INDEX(Assumptions!$I$38:$I$57,MATCH(P107,Assumptions!$I$38:$I$57,-1)+1)),
INDEX(Assumptions!$I$38:$I$57,MATCH(P107,Assumptions!$I$38:$I$57,-1)),
INDEX(Assumptions!$I$38:$I$57,MATCH(P107,Assumptions!$I$38:$I$57,-1)+1)),
IF(P107&gt;=AVERAGE(
INDEX(Assumptions!$I$13:$I$32,MATCH(P107,Assumptions!$I$13:$I$32,-1)),
INDEX(Assumptions!$I$13:$I$32,MATCH(P107,Assumptions!$I$13:$I$32,-1)+1)),
INDEX(Assumptions!$I$13:$I$32,MATCH(P107,Assumptions!$I$13:$I$32,-1)),
INDEX(Assumptions!$I$13:$I$32,MATCH(P107,Assumptions!$I$13:$I$32,-1)+1))),
"")</f>
        <v/>
      </c>
      <c r="AL107" s="95" t="str">
        <f>IFERROR(
IF(C107="VTS",
VLOOKUP(AK107,Assumptions!$I$38:$K$57,MATCH(R107,Assumptions!$I$37:$K$37,0),FALSE),
VLOOKUP(AK107,Assumptions!$I$13:$K$32,MATCH(R107,Assumptions!$I$12:$K$12,0),FALSE)),
"")</f>
        <v/>
      </c>
      <c r="AM107" s="95" t="str">
        <f t="shared" si="32"/>
        <v/>
      </c>
      <c r="AN107" s="95" t="str">
        <f>IFERROR(AM107*
(Assumptions!$S$7*(Y107/(AQ107*Assumptions!$AB$9/100)/P107)^3+
Assumptions!$S$8*(Y107/(AQ107*Assumptions!$AB$9/100)/P107)^2+
Assumptions!$S$9*(Y107/(AQ107*Assumptions!$AB$9/100)/P107)+
Assumptions!$S$10),"")</f>
        <v/>
      </c>
      <c r="AO107" s="95" t="str">
        <f>IFERROR(AM107*
(Assumptions!$S$7*(AD107/(AQ107*Assumptions!$AB$8/100)/P107)^3+
Assumptions!$S$8*(AD107/(AQ107*Assumptions!$AB$8/100)/P107)^2+
Assumptions!$S$9*(AD107/(AQ107*Assumptions!$AB$8/100)/P107)+
Assumptions!$S$10),"")</f>
        <v/>
      </c>
      <c r="AP107" s="95" t="str">
        <f>IFERROR(AM107*
(Assumptions!$S$7*(AI107/(AQ107*Assumptions!$AB$10/100)/P107)^3+
Assumptions!$S$8*(AI107/(AQ107*Assumptions!$AB$10/100)/P107)^2+
Assumptions!$S$9*(AI107/(AQ107*Assumptions!$AB$10/100)/P107)+
Assumptions!$S$10),"")</f>
        <v/>
      </c>
      <c r="AQ107" s="95" t="str">
        <f>IFERROR(
Assumptions!$AD$8*LN(U107)^2+
Assumptions!$AE$8*LN(T107)*LN(U107)+
Assumptions!$AF$8*LN(T107)^2+
Assumptions!$AG$8*LN(U107)+
Assumptions!$AH$8*LN(T107)-
(IF(S107=1800,
VLOOKUP(C107,Assumptions!$AA$13:$AC$17,3),
IF(S107=3600,
VLOOKUP(C107,Assumptions!$AA$18:$AC$22,3),
""))+Assumptions!$AI$8),
"")</f>
        <v/>
      </c>
      <c r="AR107" s="96" t="str">
        <f>IFERROR(
Assumptions!$D$11*(Y107/(Assumptions!$AB$9*AQ107/100)+AN107)+
Assumptions!$D$10*(AD107/(Assumptions!$AB$8*AQ107/100)+AO107)+
Assumptions!$D$12*(AI107/(Assumptions!$AB$10*AQ107/100)+AP107),
"")</f>
        <v/>
      </c>
      <c r="AS107" s="76" t="str">
        <f>IFERROR(
(W107+X107)*Assumptions!$D$11+
(AB107+AC107)*Assumptions!$D$10+
(AG107+AH107)*Assumptions!$D$12,
"")</f>
        <v/>
      </c>
      <c r="AT107" s="77" t="str">
        <f t="shared" si="33"/>
        <v/>
      </c>
      <c r="AU107" s="69" t="str">
        <f t="shared" si="18"/>
        <v/>
      </c>
    </row>
  </sheetData>
  <sheetProtection password="8ABE" sheet="1" objects="1" scenarios="1"/>
  <mergeCells count="18">
    <mergeCell ref="AU8"/>
    <mergeCell ref="P8:Q8"/>
    <mergeCell ref="AK8:AR8"/>
    <mergeCell ref="A8:E8"/>
    <mergeCell ref="F8:I8"/>
    <mergeCell ref="J8:L8"/>
    <mergeCell ref="M8:O8"/>
    <mergeCell ref="U8:Y8"/>
    <mergeCell ref="Z8:AD8"/>
    <mergeCell ref="AE8:AI8"/>
    <mergeCell ref="R8:T8"/>
    <mergeCell ref="A7:Q7"/>
    <mergeCell ref="AS7:AU7"/>
    <mergeCell ref="R7:AR7"/>
    <mergeCell ref="B3:M5"/>
    <mergeCell ref="N3:Q3"/>
    <mergeCell ref="N4:Q4"/>
    <mergeCell ref="N5:Q5"/>
  </mergeCells>
  <conditionalFormatting sqref="AU10:AU107">
    <cfRule type="containsText" dxfId="7" priority="13" operator="containsText" text="FAIL">
      <formula>NOT(ISERROR(SEARCH("FAIL",AU10)))</formula>
    </cfRule>
    <cfRule type="containsText" dxfId="6" priority="14" operator="containsText" text="PASS">
      <formula>NOT(ISERROR(SEARCH("PASS",AU10)))</formula>
    </cfRule>
  </conditionalFormatting>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Assumptions!$AA$13:$AA$17</xm:f>
          </x14:formula1>
          <xm:sqref>C10:C107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E39"/>
  </sheetPr>
  <dimension ref="A1:AO109"/>
  <sheetViews>
    <sheetView showGridLines="0" zoomScale="80" zoomScaleNormal="80" workbookViewId="0"/>
  </sheetViews>
  <sheetFormatPr defaultColWidth="8.85546875" defaultRowHeight="15" outlineLevelCol="1" x14ac:dyDescent="0.25"/>
  <cols>
    <col min="1" max="1" width="10.7109375" style="15" customWidth="1"/>
    <col min="2" max="2" width="30.42578125" style="15" customWidth="1"/>
    <col min="3" max="4" width="10.5703125" style="15" customWidth="1"/>
    <col min="5" max="5" width="8" style="15" customWidth="1"/>
    <col min="6" max="7" width="11.140625" style="10" customWidth="1"/>
    <col min="8" max="8" width="10.28515625" style="10" customWidth="1"/>
    <col min="9" max="9" width="9.42578125" style="10" customWidth="1"/>
    <col min="10" max="10" width="9.42578125" style="39" customWidth="1"/>
    <col min="11" max="11" width="10.7109375" style="10" customWidth="1"/>
    <col min="12" max="12" width="9.42578125" style="10" customWidth="1"/>
    <col min="13" max="13" width="9.42578125" style="39" customWidth="1"/>
    <col min="14" max="14" width="12" style="10" customWidth="1"/>
    <col min="15" max="15" width="13.5703125" style="25" customWidth="1"/>
    <col min="16" max="16" width="14" style="15" customWidth="1" outlineLevel="1"/>
    <col min="17" max="17" width="14" style="92" customWidth="1" outlineLevel="1"/>
    <col min="18" max="18" width="14" style="15" customWidth="1" outlineLevel="1"/>
    <col min="19" max="20" width="10.5703125" style="10" customWidth="1" outlineLevel="1"/>
    <col min="21" max="21" width="10.28515625" style="10" customWidth="1" outlineLevel="1"/>
    <col min="22" max="22" width="11.5703125" style="15" customWidth="1" outlineLevel="1"/>
    <col min="23" max="23" width="9.42578125" style="10" customWidth="1" outlineLevel="1"/>
    <col min="24" max="24" width="9.42578125" style="39" customWidth="1" outlineLevel="1"/>
    <col min="25" max="25" width="10.7109375" style="10" customWidth="1" outlineLevel="1"/>
    <col min="26" max="26" width="13.28515625" style="15" customWidth="1" outlineLevel="1"/>
    <col min="27" max="27" width="9.42578125" style="10" customWidth="1" outlineLevel="1"/>
    <col min="28" max="28" width="9.42578125" style="39" customWidth="1" outlineLevel="1"/>
    <col min="29" max="29" width="12" style="10" customWidth="1" outlineLevel="1"/>
    <col min="30" max="30" width="12" style="15" customWidth="1" outlineLevel="1"/>
    <col min="31" max="33" width="12.28515625" style="15" customWidth="1" outlineLevel="1"/>
    <col min="34" max="36" width="13.140625" style="15" customWidth="1" outlineLevel="1"/>
    <col min="37" max="37" width="13.28515625" style="15" customWidth="1" outlineLevel="1"/>
    <col min="38" max="38" width="11.42578125" style="15" customWidth="1" outlineLevel="1"/>
    <col min="39" max="39" width="11" style="15" customWidth="1"/>
    <col min="40" max="40" width="11.7109375" style="15" customWidth="1"/>
    <col min="41" max="16384" width="8.85546875" style="15"/>
  </cols>
  <sheetData>
    <row r="1" spans="1:41" s="92" customFormat="1" ht="15.75" thickBot="1" x14ac:dyDescent="0.3">
      <c r="F1" s="39"/>
      <c r="G1" s="39"/>
      <c r="H1" s="39"/>
      <c r="I1" s="39"/>
      <c r="J1" s="39"/>
      <c r="K1" s="39"/>
      <c r="L1" s="39"/>
      <c r="M1" s="39"/>
      <c r="N1" s="39"/>
      <c r="S1" s="39"/>
      <c r="T1" s="39"/>
      <c r="U1" s="39"/>
      <c r="W1" s="39"/>
      <c r="X1" s="39"/>
      <c r="Y1" s="39"/>
      <c r="AA1" s="39"/>
      <c r="AB1" s="39"/>
      <c r="AC1" s="39"/>
    </row>
    <row r="2" spans="1:41" s="92" customFormat="1" ht="24" thickBot="1" x14ac:dyDescent="0.3">
      <c r="B2" s="214" t="s">
        <v>152</v>
      </c>
      <c r="C2" s="215"/>
      <c r="D2" s="215"/>
      <c r="E2" s="215"/>
      <c r="F2" s="215"/>
      <c r="G2" s="215"/>
      <c r="H2" s="215"/>
      <c r="I2" s="215"/>
      <c r="J2" s="215"/>
      <c r="K2" s="215"/>
      <c r="L2" s="215"/>
      <c r="M2" s="215"/>
      <c r="N2" s="215"/>
      <c r="O2" s="215"/>
      <c r="P2" s="252"/>
      <c r="Q2" s="252"/>
      <c r="R2" s="215"/>
      <c r="S2" s="215"/>
      <c r="T2" s="215"/>
      <c r="U2" s="215"/>
      <c r="V2" s="215"/>
      <c r="W2" s="215"/>
      <c r="X2" s="215"/>
      <c r="Y2" s="215"/>
      <c r="Z2" s="215"/>
      <c r="AA2" s="215"/>
      <c r="AB2" s="215"/>
      <c r="AC2" s="215"/>
      <c r="AD2" s="215"/>
      <c r="AE2" s="215"/>
      <c r="AF2" s="215"/>
      <c r="AG2" s="215"/>
      <c r="AH2" s="215"/>
      <c r="AI2" s="215"/>
      <c r="AJ2" s="215"/>
      <c r="AK2" s="215"/>
      <c r="AL2" s="215"/>
      <c r="AM2" s="215"/>
      <c r="AN2" s="215"/>
      <c r="AO2" s="216"/>
    </row>
    <row r="3" spans="1:41" s="92" customFormat="1" ht="19.5" customHeight="1" thickBot="1" x14ac:dyDescent="0.3">
      <c r="B3" s="534" t="s">
        <v>150</v>
      </c>
      <c r="C3" s="535"/>
      <c r="D3" s="535"/>
      <c r="E3" s="535"/>
      <c r="F3" s="535"/>
      <c r="G3" s="535"/>
      <c r="H3" s="535"/>
      <c r="I3" s="535"/>
      <c r="J3" s="535"/>
      <c r="K3" s="535"/>
      <c r="L3" s="538" t="s">
        <v>7</v>
      </c>
      <c r="M3" s="539"/>
      <c r="N3" s="539"/>
      <c r="O3" s="540"/>
      <c r="P3" s="253"/>
      <c r="Q3" s="253"/>
      <c r="R3" s="210"/>
      <c r="S3" s="211"/>
      <c r="T3" s="211"/>
      <c r="U3" s="211"/>
      <c r="V3" s="210"/>
      <c r="W3" s="211"/>
      <c r="X3" s="211"/>
      <c r="Y3" s="211"/>
      <c r="Z3" s="210"/>
      <c r="AA3" s="211"/>
      <c r="AB3" s="211"/>
      <c r="AC3" s="211"/>
      <c r="AD3" s="210"/>
      <c r="AE3" s="210"/>
      <c r="AF3" s="210"/>
      <c r="AG3" s="210"/>
      <c r="AH3" s="210"/>
      <c r="AI3" s="210"/>
      <c r="AJ3" s="210"/>
      <c r="AK3" s="210"/>
      <c r="AL3" s="210"/>
      <c r="AM3" s="210"/>
      <c r="AN3" s="210"/>
      <c r="AO3" s="217"/>
    </row>
    <row r="4" spans="1:41" s="92" customFormat="1" ht="18.75" x14ac:dyDescent="0.25">
      <c r="B4" s="534"/>
      <c r="C4" s="535"/>
      <c r="D4" s="535"/>
      <c r="E4" s="535"/>
      <c r="F4" s="535"/>
      <c r="G4" s="535"/>
      <c r="H4" s="535"/>
      <c r="I4" s="535"/>
      <c r="J4" s="535"/>
      <c r="K4" s="535"/>
      <c r="L4" s="541" t="s">
        <v>6</v>
      </c>
      <c r="M4" s="542"/>
      <c r="N4" s="542"/>
      <c r="O4" s="543"/>
      <c r="P4" s="254"/>
      <c r="Q4" s="254"/>
      <c r="R4" s="210"/>
      <c r="S4" s="211"/>
      <c r="T4" s="211"/>
      <c r="U4" s="211"/>
      <c r="V4" s="210"/>
      <c r="W4" s="211"/>
      <c r="X4" s="211"/>
      <c r="Y4" s="211"/>
      <c r="Z4" s="210"/>
      <c r="AA4" s="211"/>
      <c r="AB4" s="211"/>
      <c r="AC4" s="211"/>
      <c r="AD4" s="210"/>
      <c r="AE4" s="210"/>
      <c r="AF4" s="210"/>
      <c r="AG4" s="210"/>
      <c r="AH4" s="210"/>
      <c r="AI4" s="210"/>
      <c r="AJ4" s="210"/>
      <c r="AK4" s="210"/>
      <c r="AL4" s="210"/>
      <c r="AM4" s="81" t="s">
        <v>82</v>
      </c>
      <c r="AN4" s="79"/>
      <c r="AO4" s="74">
        <f>COUNTIF(AO10:AO1245,"FAIL")</f>
        <v>0</v>
      </c>
    </row>
    <row r="5" spans="1:41" s="92" customFormat="1" ht="19.5" thickBot="1" x14ac:dyDescent="0.3">
      <c r="B5" s="536"/>
      <c r="C5" s="537"/>
      <c r="D5" s="537"/>
      <c r="E5" s="537"/>
      <c r="F5" s="537"/>
      <c r="G5" s="537"/>
      <c r="H5" s="537"/>
      <c r="I5" s="537"/>
      <c r="J5" s="537"/>
      <c r="K5" s="537"/>
      <c r="L5" s="519" t="s">
        <v>8</v>
      </c>
      <c r="M5" s="520"/>
      <c r="N5" s="520"/>
      <c r="O5" s="521"/>
      <c r="P5" s="255"/>
      <c r="Q5" s="255"/>
      <c r="R5" s="210"/>
      <c r="S5" s="211"/>
      <c r="T5" s="211"/>
      <c r="U5" s="211"/>
      <c r="V5" s="210"/>
      <c r="W5" s="211"/>
      <c r="X5" s="211"/>
      <c r="Y5" s="211"/>
      <c r="Z5" s="210"/>
      <c r="AA5" s="211"/>
      <c r="AB5" s="211"/>
      <c r="AC5" s="211"/>
      <c r="AD5" s="210"/>
      <c r="AE5" s="210"/>
      <c r="AF5" s="210"/>
      <c r="AG5" s="210"/>
      <c r="AH5" s="210"/>
      <c r="AI5" s="210"/>
      <c r="AJ5" s="210"/>
      <c r="AK5" s="210"/>
      <c r="AL5" s="217"/>
      <c r="AM5" s="82" t="s">
        <v>83</v>
      </c>
      <c r="AN5" s="80"/>
      <c r="AO5" s="75">
        <f>AO4/COUNTA($A$10:$A$1245)</f>
        <v>0</v>
      </c>
    </row>
    <row r="6" spans="1:41" s="17" customFormat="1" ht="15.75" thickBot="1" x14ac:dyDescent="0.3">
      <c r="A6" s="18"/>
      <c r="B6" s="18"/>
      <c r="C6" s="18"/>
      <c r="D6" s="18"/>
      <c r="E6" s="19"/>
      <c r="F6" s="12"/>
      <c r="G6" s="12"/>
      <c r="H6" s="11"/>
      <c r="I6" s="11"/>
      <c r="J6" s="40"/>
      <c r="K6" s="11"/>
      <c r="L6" s="11"/>
      <c r="M6" s="40"/>
      <c r="N6" s="11"/>
      <c r="O6" s="27"/>
      <c r="P6" s="19"/>
      <c r="Q6" s="29"/>
      <c r="R6" s="19"/>
      <c r="S6" s="12"/>
      <c r="T6" s="12"/>
      <c r="U6" s="11"/>
      <c r="W6" s="11"/>
      <c r="X6" s="40"/>
      <c r="Y6" s="11"/>
      <c r="AA6" s="11"/>
      <c r="AB6" s="40"/>
      <c r="AC6" s="11"/>
      <c r="AF6" s="24"/>
    </row>
    <row r="7" spans="1:41" s="22" customFormat="1" ht="19.5" customHeight="1" thickBot="1" x14ac:dyDescent="0.3">
      <c r="A7" s="494" t="s">
        <v>120</v>
      </c>
      <c r="B7" s="495"/>
      <c r="C7" s="495"/>
      <c r="D7" s="495"/>
      <c r="E7" s="495"/>
      <c r="F7" s="495"/>
      <c r="G7" s="495"/>
      <c r="H7" s="495"/>
      <c r="I7" s="495"/>
      <c r="J7" s="495"/>
      <c r="K7" s="495"/>
      <c r="L7" s="495"/>
      <c r="M7" s="495"/>
      <c r="N7" s="495"/>
      <c r="O7" s="527"/>
      <c r="P7" s="496" t="s">
        <v>36</v>
      </c>
      <c r="Q7" s="497"/>
      <c r="R7" s="497"/>
      <c r="S7" s="497"/>
      <c r="T7" s="497"/>
      <c r="U7" s="497"/>
      <c r="V7" s="497"/>
      <c r="W7" s="497"/>
      <c r="X7" s="497"/>
      <c r="Y7" s="497"/>
      <c r="Z7" s="497"/>
      <c r="AA7" s="497"/>
      <c r="AB7" s="497"/>
      <c r="AC7" s="497"/>
      <c r="AD7" s="497"/>
      <c r="AE7" s="497"/>
      <c r="AF7" s="497"/>
      <c r="AG7" s="497"/>
      <c r="AH7" s="497"/>
      <c r="AI7" s="497"/>
      <c r="AJ7" s="497"/>
      <c r="AK7" s="497"/>
      <c r="AL7" s="498"/>
      <c r="AM7" s="491" t="s">
        <v>80</v>
      </c>
      <c r="AN7" s="492"/>
      <c r="AO7" s="493"/>
    </row>
    <row r="8" spans="1:41" s="20" customFormat="1" ht="43.5" customHeight="1" thickBot="1" x14ac:dyDescent="0.3">
      <c r="A8" s="465" t="s">
        <v>23</v>
      </c>
      <c r="B8" s="466"/>
      <c r="C8" s="466"/>
      <c r="D8" s="466"/>
      <c r="E8" s="466"/>
      <c r="F8" s="467" t="s">
        <v>0</v>
      </c>
      <c r="G8" s="468"/>
      <c r="H8" s="469"/>
      <c r="I8" s="470" t="s">
        <v>4</v>
      </c>
      <c r="J8" s="528"/>
      <c r="K8" s="472"/>
      <c r="L8" s="473" t="s">
        <v>5</v>
      </c>
      <c r="M8" s="483"/>
      <c r="N8" s="529"/>
      <c r="O8" s="105" t="s">
        <v>37</v>
      </c>
      <c r="P8" s="480" t="s">
        <v>23</v>
      </c>
      <c r="Q8" s="480"/>
      <c r="R8" s="480"/>
      <c r="S8" s="525" t="s">
        <v>86</v>
      </c>
      <c r="T8" s="526"/>
      <c r="U8" s="526"/>
      <c r="V8" s="526"/>
      <c r="W8" s="470" t="s">
        <v>61</v>
      </c>
      <c r="X8" s="528"/>
      <c r="Y8" s="471"/>
      <c r="Z8" s="530"/>
      <c r="AA8" s="531" t="s">
        <v>62</v>
      </c>
      <c r="AB8" s="532"/>
      <c r="AC8" s="532"/>
      <c r="AD8" s="533"/>
      <c r="AE8" s="476" t="s">
        <v>77</v>
      </c>
      <c r="AF8" s="477"/>
      <c r="AG8" s="477"/>
      <c r="AH8" s="477"/>
      <c r="AI8" s="477"/>
      <c r="AJ8" s="477"/>
      <c r="AK8" s="477"/>
      <c r="AL8" s="478"/>
      <c r="AM8" s="230" t="s">
        <v>156</v>
      </c>
      <c r="AN8" s="55" t="s">
        <v>134</v>
      </c>
      <c r="AO8" s="72"/>
    </row>
    <row r="9" spans="1:41" s="16" customFormat="1" ht="75.75" thickBot="1" x14ac:dyDescent="0.3">
      <c r="A9" s="275" t="s">
        <v>1</v>
      </c>
      <c r="B9" s="276" t="s">
        <v>3</v>
      </c>
      <c r="C9" s="276" t="s">
        <v>33</v>
      </c>
      <c r="D9" s="276" t="s">
        <v>34</v>
      </c>
      <c r="E9" s="276" t="s">
        <v>178</v>
      </c>
      <c r="F9" s="277" t="s">
        <v>2</v>
      </c>
      <c r="G9" s="278" t="s">
        <v>35</v>
      </c>
      <c r="H9" s="279" t="s">
        <v>63</v>
      </c>
      <c r="I9" s="277" t="s">
        <v>2</v>
      </c>
      <c r="J9" s="278" t="s">
        <v>35</v>
      </c>
      <c r="K9" s="279" t="s">
        <v>63</v>
      </c>
      <c r="L9" s="277" t="s">
        <v>2</v>
      </c>
      <c r="M9" s="278" t="s">
        <v>35</v>
      </c>
      <c r="N9" s="298" t="s">
        <v>63</v>
      </c>
      <c r="O9" s="280" t="s">
        <v>181</v>
      </c>
      <c r="P9" s="50" t="s">
        <v>127</v>
      </c>
      <c r="Q9" s="83" t="s">
        <v>125</v>
      </c>
      <c r="R9" s="57" t="s">
        <v>126</v>
      </c>
      <c r="S9" s="13" t="s">
        <v>2</v>
      </c>
      <c r="T9" s="14" t="s">
        <v>35</v>
      </c>
      <c r="U9" s="14" t="s">
        <v>63</v>
      </c>
      <c r="V9" s="21" t="s">
        <v>21</v>
      </c>
      <c r="W9" s="13" t="s">
        <v>2</v>
      </c>
      <c r="X9" s="44" t="s">
        <v>35</v>
      </c>
      <c r="Y9" s="14" t="s">
        <v>63</v>
      </c>
      <c r="Z9" s="21" t="s">
        <v>21</v>
      </c>
      <c r="AA9" s="43" t="s">
        <v>2</v>
      </c>
      <c r="AB9" s="44" t="s">
        <v>35</v>
      </c>
      <c r="AC9" s="44" t="s">
        <v>63</v>
      </c>
      <c r="AD9" s="49" t="s">
        <v>21</v>
      </c>
      <c r="AE9" s="242" t="s">
        <v>180</v>
      </c>
      <c r="AF9" s="32" t="s">
        <v>128</v>
      </c>
      <c r="AG9" s="32" t="s">
        <v>130</v>
      </c>
      <c r="AH9" s="232" t="s">
        <v>129</v>
      </c>
      <c r="AI9" s="232" t="s">
        <v>131</v>
      </c>
      <c r="AJ9" s="232" t="s">
        <v>132</v>
      </c>
      <c r="AK9" s="232" t="s">
        <v>78</v>
      </c>
      <c r="AL9" s="233" t="s">
        <v>79</v>
      </c>
      <c r="AM9" s="231" t="s">
        <v>52</v>
      </c>
      <c r="AN9" s="33" t="s">
        <v>53</v>
      </c>
      <c r="AO9" s="73" t="s">
        <v>81</v>
      </c>
    </row>
    <row r="10" spans="1:41" x14ac:dyDescent="0.25">
      <c r="A10" s="282" t="s">
        <v>55</v>
      </c>
      <c r="B10" s="283" t="s">
        <v>85</v>
      </c>
      <c r="C10" s="283" t="s">
        <v>38</v>
      </c>
      <c r="D10" s="283">
        <v>1</v>
      </c>
      <c r="E10" s="284">
        <v>1750</v>
      </c>
      <c r="F10" s="282">
        <v>940</v>
      </c>
      <c r="G10" s="287">
        <v>162.58000000000001</v>
      </c>
      <c r="H10" s="299">
        <v>50.43</v>
      </c>
      <c r="I10" s="286">
        <v>705</v>
      </c>
      <c r="J10" s="287">
        <v>162.58000000000001</v>
      </c>
      <c r="K10" s="300">
        <v>43.85</v>
      </c>
      <c r="L10" s="286">
        <v>1034</v>
      </c>
      <c r="M10" s="287">
        <v>162.58000000000001</v>
      </c>
      <c r="N10" s="301">
        <v>52.49</v>
      </c>
      <c r="O10" s="302">
        <v>60</v>
      </c>
      <c r="P10" s="84">
        <f t="shared" ref="P10:P41" si="0">IF(AND(E10&gt;=1440,E10&lt;=2160),4,IF(AND(E10&gt;=2880,E10&lt;=4320),2,""))</f>
        <v>4</v>
      </c>
      <c r="Q10" s="84">
        <f>IF(P10=4,1800,IF(P10=2,3600,""))</f>
        <v>1800</v>
      </c>
      <c r="R10" s="47">
        <f>IFERROR(Q10*S10^0.5/(T10/D10)^0.75,"")</f>
        <v>1178.4241552820752</v>
      </c>
      <c r="S10" s="56">
        <f>IFERROR(F10*(Q10/E10),"")</f>
        <v>966.85714285714278</v>
      </c>
      <c r="T10" s="45">
        <f>IFERROR(G10*(Q10/E10)^2,"")</f>
        <v>172.00300408163264</v>
      </c>
      <c r="U10" s="45">
        <f>IFERROR(H10*(Q10/E10)^3,"")</f>
        <v>54.877249679300277</v>
      </c>
      <c r="V10" s="46">
        <f>IFERROR(S10*T10*Assumptions!$B$15/3956,"")</f>
        <v>42.038001286454197</v>
      </c>
      <c r="W10" s="66">
        <f>IFERROR(I10*(Q10/E10),"")</f>
        <v>725.14285714285711</v>
      </c>
      <c r="X10" s="95">
        <f>IFERROR(J10*(Q10/E10)^2,"")</f>
        <v>172.00300408163264</v>
      </c>
      <c r="Y10" s="45">
        <f>IFERROR(K10*(Q10/E10)^3,"")</f>
        <v>47.716981924198237</v>
      </c>
      <c r="Z10" s="96">
        <f>IFERROR(W10*X10*Assumptions!$B$15/3956,"")</f>
        <v>31.528500964840649</v>
      </c>
      <c r="AA10" s="100">
        <f>IFERROR(L10*(Q10/E10),"")</f>
        <v>1063.542857142857</v>
      </c>
      <c r="AB10" s="95">
        <f>IFERROR(M10*(Q10/E10)^2,"")</f>
        <v>172.00300408163264</v>
      </c>
      <c r="AC10" s="95">
        <f>IFERROR(N10*(Q10/E10)^3,"")</f>
        <v>57.118914052478118</v>
      </c>
      <c r="AD10" s="96">
        <f>IFERROR(AA10*AB10*Assumptions!$B$15/3956,"")</f>
        <v>46.241801415099616</v>
      </c>
      <c r="AE10" s="244">
        <f>IFERROR(
IF(C10="VTS",
IF(O10&gt;=AVERAGE(
INDEX(Assumptions!$I$38:$I$57,MATCH(O10,Assumptions!$I$38:$I$57,-1)),
INDEX(Assumptions!$I$38:$I$57,MATCH(O10,Assumptions!$I$38:$I$57,-1)+1)),
INDEX(Assumptions!$I$38:$I$57,MATCH(O10,Assumptions!$I$38:$I$57,-1)),
INDEX(Assumptions!$I$38:$I$57,MATCH(O10,Assumptions!$I$38:$I$57,-1)+1)),
IF(O10&gt;=AVERAGE(
INDEX(Assumptions!$I$13:$I$32,MATCH(O10,Assumptions!$I$13:$I$32,-1)),
INDEX(Assumptions!$I$13:$I$32,MATCH(O10,Assumptions!$I$13:$I$32,-1)+1)),
INDEX(Assumptions!$I$13:$I$32,MATCH(O10,Assumptions!$I$13:$I$32,-1)),
INDEX(Assumptions!$I$13:$I$32,MATCH(O10,Assumptions!$I$13:$I$32,-1)+1))),
"")</f>
        <v>60</v>
      </c>
      <c r="AF10" s="95">
        <f>IFERROR(
IF(C10="VTS",
VLOOKUP(AE10,Assumptions!$I$38:$K$57,MATCH(P10,Assumptions!$I$37:$K$37,0),FALSE),
VLOOKUP(AE10,Assumptions!$I$13:$K$32,MATCH(P10,Assumptions!$I$12:$K$12,0),FALSE)),
"")</f>
        <v>95</v>
      </c>
      <c r="AG10" s="95">
        <f>IFERROR(O10/(AF10/100)-O10,"")</f>
        <v>3.1578947368421098</v>
      </c>
      <c r="AH10" s="95">
        <f>IFERROR(AG10*
(Assumptions!$S$7*(V10/(AK10*Assumptions!$AB$9/100)/O10)^3+
Assumptions!$S$8*(V10/(AK10*Assumptions!$AB$9/100)/O10)^2+
Assumptions!$S$9*(V10/(AK10*Assumptions!$AB$9/100)/O10)+
Assumptions!$S$10),"")</f>
        <v>2.9565320665308028</v>
      </c>
      <c r="AI10" s="95">
        <f>IFERROR(AG10*
(Assumptions!$S$7*(Z10/(AK10*Assumptions!$AB$8/100)/O10)^3+
Assumptions!$S$8*(Z10/(AK10*Assumptions!$AB$8/100)/O10)^2+
Assumptions!$S$9*(Z10/(AK10*Assumptions!$AB$8/100)/O10)+
Assumptions!$S$10),"")</f>
        <v>2.5451877671898271</v>
      </c>
      <c r="AJ10" s="95">
        <f>IFERROR(AG10*
(Assumptions!$S$7*(AD10/(AK10*Assumptions!$AB$10/100)/O10)^3+
Assumptions!$S$8*(AD10/(AK10*Assumptions!$AB$10/100)/O10)^2+
Assumptions!$S$9*(AD10/(AK10*Assumptions!$AB$10/100)/O10)+
Assumptions!$S$10),"")</f>
        <v>3.192091858855663</v>
      </c>
      <c r="AK10" s="95">
        <f>IFERROR(
Assumptions!$AD$8*LN(S10)^2+
Assumptions!$AE$8*LN(R10)*LN(S10)+
Assumptions!$AF$8*LN(R10)^2+
Assumptions!$AG$8*LN(S10)+
Assumptions!$AH$8*LN(R10)-
(IF(Q10=1800,
VLOOKUP(C10,Assumptions!$AA$13:$AC$17,3),
IF(Q10=3600,
VLOOKUP(C10,Assumptions!$AA$18:$AC$22,3),
""))+Assumptions!$AI$8),
"")</f>
        <v>77.04362710133546</v>
      </c>
      <c r="AL10" s="96">
        <f>IFERROR(
Assumptions!$D$11*(V10/(Assumptions!$AB$9*AK10/100)+AH10)+
Assumptions!$D$10*(Z10/(Assumptions!$AB$8*AK10/100)+AI10)+
Assumptions!$D$12*(AD10/(Assumptions!$AB$10*AK10/100)+AJ10),
"")</f>
        <v>55.801739406842131</v>
      </c>
      <c r="AM10" s="67">
        <f>IFERROR(
U10*Assumptions!$D$11+
Y10*Assumptions!$D$10+
AC10*Assumptions!$D$12,
"")</f>
        <v>53.237715218658877</v>
      </c>
      <c r="AN10" s="77">
        <f>IFERROR(AM10/AL10,"")</f>
        <v>0.954051178055771</v>
      </c>
      <c r="AO10" s="23" t="str">
        <f>IF(AN10="","",IF(AN10&gt;1,"FAIL","PASS"))</f>
        <v>PASS</v>
      </c>
    </row>
    <row r="11" spans="1:41" x14ac:dyDescent="0.25">
      <c r="A11" s="264" t="s">
        <v>55</v>
      </c>
      <c r="B11" s="265" t="s">
        <v>84</v>
      </c>
      <c r="C11" s="265" t="s">
        <v>42</v>
      </c>
      <c r="D11" s="265">
        <v>9</v>
      </c>
      <c r="E11" s="266">
        <v>3450</v>
      </c>
      <c r="F11" s="268">
        <v>398.82512700000001</v>
      </c>
      <c r="G11" s="269">
        <v>382.44670789999998</v>
      </c>
      <c r="H11" s="303">
        <v>57.25</v>
      </c>
      <c r="I11" s="268">
        <v>299.11884529999998</v>
      </c>
      <c r="J11" s="269">
        <v>382.44670789999998</v>
      </c>
      <c r="K11" s="304">
        <v>51.97</v>
      </c>
      <c r="L11" s="268">
        <v>438.70763979999998</v>
      </c>
      <c r="M11" s="269">
        <v>382.44670789999998</v>
      </c>
      <c r="N11" s="305">
        <v>58.4</v>
      </c>
      <c r="O11" s="306">
        <v>75</v>
      </c>
      <c r="P11" s="84">
        <f t="shared" si="0"/>
        <v>2</v>
      </c>
      <c r="Q11" s="84">
        <f t="shared" ref="Q11:Q74" si="1">IF(P11=4,1800,IF(P11=2,3600,""))</f>
        <v>3600</v>
      </c>
      <c r="R11" s="93">
        <f t="shared" ref="R11:R74" si="2">IFERROR(Q11*S11^0.5/(T11/D11)^0.75,"")</f>
        <v>4139.6539483994293</v>
      </c>
      <c r="S11" s="100">
        <f t="shared" ref="S11:S74" si="3">IFERROR(F11*(Q11/E11),"")</f>
        <v>416.16534991304349</v>
      </c>
      <c r="T11" s="95">
        <f t="shared" ref="T11:T74" si="4">IFERROR(G11*(Q11/E11)^2,"")</f>
        <v>416.42590501020788</v>
      </c>
      <c r="U11" s="95">
        <f t="shared" ref="U11:U74" si="5">IFERROR(H11*(Q11/E11)^3,"")</f>
        <v>65.046765842031718</v>
      </c>
      <c r="V11" s="96">
        <f>IFERROR(S11*T11*Assumptions!$B$15/3956,"")</f>
        <v>43.80738940127123</v>
      </c>
      <c r="W11" s="102">
        <f t="shared" ref="W11:W74" si="6">IFERROR(I11*(Q11/E11),"")</f>
        <v>312.12401248695647</v>
      </c>
      <c r="X11" s="95">
        <f t="shared" ref="X11:X74" si="7">IFERROR(J11*(Q11/E11)^2,"")</f>
        <v>416.42590501020788</v>
      </c>
      <c r="Y11" s="95">
        <f t="shared" ref="Y11:Y74" si="8">IFERROR(K11*(Q11/E11)^3,"")</f>
        <v>59.04769293991945</v>
      </c>
      <c r="Z11" s="96">
        <f>IFERROR(W11*X11*Assumptions!$B$15/3956,"")</f>
        <v>32.855542056445472</v>
      </c>
      <c r="AA11" s="100">
        <f t="shared" ref="AA11:AA74" si="9">IFERROR(L11*(Q11/E11),"")</f>
        <v>457.78188500869561</v>
      </c>
      <c r="AB11" s="95">
        <f t="shared" ref="AB11:AB74" si="10">IFERROR(M11*(Q11/E11)^2,"")</f>
        <v>416.42590501020788</v>
      </c>
      <c r="AC11" s="95">
        <f t="shared" ref="AC11:AC74" si="11">IFERROR(N11*(Q11/E11)^3,"")</f>
        <v>66.353382099120566</v>
      </c>
      <c r="AD11" s="96">
        <f>IFERROR(AA11*AB11*Assumptions!$B$15/3956,"")</f>
        <v>48.188128352382456</v>
      </c>
      <c r="AE11" s="244">
        <f>IFERROR(
IF(C11="VTS",
IF(O11&gt;=AVERAGE(
INDEX(Assumptions!$I$38:$I$57,MATCH(O11,Assumptions!$I$38:$I$57,-1)),
INDEX(Assumptions!$I$38:$I$57,MATCH(O11,Assumptions!$I$38:$I$57,-1)+1)),
INDEX(Assumptions!$I$38:$I$57,MATCH(O11,Assumptions!$I$38:$I$57,-1)),
INDEX(Assumptions!$I$38:$I$57,MATCH(O11,Assumptions!$I$38:$I$57,-1)+1)),
IF(O11&gt;=AVERAGE(
INDEX(Assumptions!$I$13:$I$32,MATCH(O11,Assumptions!$I$13:$I$32,-1)),
INDEX(Assumptions!$I$13:$I$32,MATCH(O11,Assumptions!$I$13:$I$32,-1)+1)),
INDEX(Assumptions!$I$13:$I$32,MATCH(O11,Assumptions!$I$13:$I$32,-1)),
INDEX(Assumptions!$I$13:$I$32,MATCH(O11,Assumptions!$I$13:$I$32,-1)+1))),
"")</f>
        <v>75</v>
      </c>
      <c r="AF11" s="95">
        <f>IFERROR(
IF(C11="VTS",
VLOOKUP(AE11,Assumptions!$I$38:$K$57,MATCH(P11,Assumptions!$I$37:$K$37,0),FALSE),
VLOOKUP(AE11,Assumptions!$I$13:$K$32,MATCH(P11,Assumptions!$I$12:$K$12,0),FALSE)),
"")</f>
        <v>82.5</v>
      </c>
      <c r="AG11" s="95">
        <f t="shared" ref="AG11:AG74" si="12">IFERROR(O11/(AF11/100)-O11,"")</f>
        <v>15.909090909090921</v>
      </c>
      <c r="AH11" s="95">
        <f>IFERROR(AG11*
(Assumptions!$S$7*(V11/(AK11*Assumptions!$AB$9/100)/O11)^3+
Assumptions!$S$8*(V11/(AK11*Assumptions!$AB$9/100)/O11)^2+
Assumptions!$S$9*(V11/(AK11*Assumptions!$AB$9/100)/O11)+
Assumptions!$S$10),"")</f>
        <v>14.219513706326127</v>
      </c>
      <c r="AI11" s="95">
        <f>IFERROR(AG11*
(Assumptions!$S$7*(Z11/(AK11*Assumptions!$AB$8/100)/O11)^3+
Assumptions!$S$8*(Z11/(AK11*Assumptions!$AB$8/100)/O11)^2+
Assumptions!$S$9*(Z11/(AK11*Assumptions!$AB$8/100)/O11)+
Assumptions!$S$10),"")</f>
        <v>12.335988494457936</v>
      </c>
      <c r="AJ11" s="95">
        <f>IFERROR(AG11*
(Assumptions!$S$7*(AD11/(AK11*Assumptions!$AB$10/100)/O11)^3+
Assumptions!$S$8*(AD11/(AK11*Assumptions!$AB$10/100)/O11)^2+
Assumptions!$S$9*(AD11/(AK11*Assumptions!$AB$10/100)/O11)+
Assumptions!$S$10),"")</f>
        <v>15.331618235401288</v>
      </c>
      <c r="AK11" s="95">
        <f>IFERROR(
Assumptions!$AD$8*LN(S11)^2+
Assumptions!$AE$8*LN(R11)*LN(S11)+
Assumptions!$AF$8*LN(R11)^2+
Assumptions!$AG$8*LN(S11)+
Assumptions!$AH$8*LN(R11)-
(IF(Q11=1800,
VLOOKUP(C11,Assumptions!$AA$13:$AC$17,3),
IF(Q11=3600,
VLOOKUP(C11,Assumptions!$AA$18:$AC$22,3),
""))+Assumptions!$AI$8),
"")</f>
        <v>68.786460281667814</v>
      </c>
      <c r="AL11" s="96">
        <f>IFERROR(
Assumptions!$D$11*(V11/(Assumptions!$AB$9*AK11/100)+AH11)+
Assumptions!$D$10*(Z11/(Assumptions!$AB$8*AK11/100)+AI11)+
Assumptions!$D$12*(AD11/(Assumptions!$AB$10*AK11/100)+AJ11),
"")</f>
        <v>75.710809043085078</v>
      </c>
      <c r="AM11" s="67">
        <f>IFERROR(
U11*Assumptions!$D$11+
Y11*Assumptions!$D$10+
AC11*Assumptions!$D$12,
"")</f>
        <v>63.482613627023909</v>
      </c>
      <c r="AN11" s="77">
        <f t="shared" ref="AN11:AN74" si="13">IFERROR(AM11/AL11,"")</f>
        <v>0.83848811588973493</v>
      </c>
      <c r="AO11" s="30" t="str">
        <f t="shared" ref="AO11:AO74" si="14">IF(AN11="","",IF(AN11&gt;1,"FAIL","PASS"))</f>
        <v>PASS</v>
      </c>
    </row>
    <row r="12" spans="1:41" x14ac:dyDescent="0.25">
      <c r="A12" s="264"/>
      <c r="B12" s="265"/>
      <c r="C12" s="265"/>
      <c r="D12" s="265"/>
      <c r="E12" s="266"/>
      <c r="F12" s="270"/>
      <c r="G12" s="271"/>
      <c r="H12" s="307"/>
      <c r="I12" s="270"/>
      <c r="J12" s="308"/>
      <c r="K12" s="307"/>
      <c r="L12" s="270"/>
      <c r="M12" s="308"/>
      <c r="N12" s="309"/>
      <c r="O12" s="306"/>
      <c r="P12" s="84" t="str">
        <f t="shared" si="0"/>
        <v/>
      </c>
      <c r="Q12" s="84" t="str">
        <f t="shared" si="1"/>
        <v/>
      </c>
      <c r="R12" s="93" t="str">
        <f t="shared" si="2"/>
        <v/>
      </c>
      <c r="S12" s="100" t="str">
        <f t="shared" si="3"/>
        <v/>
      </c>
      <c r="T12" s="95" t="str">
        <f t="shared" si="4"/>
        <v/>
      </c>
      <c r="U12" s="95" t="str">
        <f t="shared" si="5"/>
        <v/>
      </c>
      <c r="V12" s="96" t="str">
        <f>IFERROR(S12*T12*Assumptions!$B$15/3956,"")</f>
        <v/>
      </c>
      <c r="W12" s="102" t="str">
        <f t="shared" si="6"/>
        <v/>
      </c>
      <c r="X12" s="95" t="str">
        <f t="shared" si="7"/>
        <v/>
      </c>
      <c r="Y12" s="95" t="str">
        <f t="shared" si="8"/>
        <v/>
      </c>
      <c r="Z12" s="96" t="str">
        <f>IFERROR(W12*X12*Assumptions!$B$15/3956,"")</f>
        <v/>
      </c>
      <c r="AA12" s="100" t="str">
        <f t="shared" si="9"/>
        <v/>
      </c>
      <c r="AB12" s="95" t="str">
        <f t="shared" si="10"/>
        <v/>
      </c>
      <c r="AC12" s="95" t="str">
        <f t="shared" si="11"/>
        <v/>
      </c>
      <c r="AD12" s="96" t="str">
        <f>IFERROR(AA12*AB12*Assumptions!$B$15/3956,"")</f>
        <v/>
      </c>
      <c r="AE12" s="244" t="str">
        <f>IFERROR(
IF(C12="VTS",
IF(O12&gt;=AVERAGE(
INDEX(Assumptions!$I$38:$I$57,MATCH(O12,Assumptions!$I$38:$I$57,-1)),
INDEX(Assumptions!$I$38:$I$57,MATCH(O12,Assumptions!$I$38:$I$57,-1)+1)),
INDEX(Assumptions!$I$38:$I$57,MATCH(O12,Assumptions!$I$38:$I$57,-1)),
INDEX(Assumptions!$I$38:$I$57,MATCH(O12,Assumptions!$I$38:$I$57,-1)+1)),
IF(O12&gt;=AVERAGE(
INDEX(Assumptions!$I$13:$I$32,MATCH(O12,Assumptions!$I$13:$I$32,-1)),
INDEX(Assumptions!$I$13:$I$32,MATCH(O12,Assumptions!$I$13:$I$32,-1)+1)),
INDEX(Assumptions!$I$13:$I$32,MATCH(O12,Assumptions!$I$13:$I$32,-1)),
INDEX(Assumptions!$I$13:$I$32,MATCH(O12,Assumptions!$I$13:$I$32,-1)+1))),
"")</f>
        <v/>
      </c>
      <c r="AF12" s="95" t="str">
        <f>IFERROR(
IF(C12="VTS",
VLOOKUP(AE12,Assumptions!$I$38:$K$57,MATCH(P12,Assumptions!$I$37:$K$37,0),FALSE),
VLOOKUP(AE12,Assumptions!$I$13:$K$32,MATCH(P12,Assumptions!$I$12:$K$12,0),FALSE)),
"")</f>
        <v/>
      </c>
      <c r="AG12" s="95" t="str">
        <f t="shared" si="12"/>
        <v/>
      </c>
      <c r="AH12" s="95" t="str">
        <f>IFERROR(AG12*
(Assumptions!$S$7*(V12/(AK12*Assumptions!$AB$9/100)/O12)^3+
Assumptions!$S$8*(V12/(AK12*Assumptions!$AB$9/100)/O12)^2+
Assumptions!$S$9*(V12/(AK12*Assumptions!$AB$9/100)/O12)+
Assumptions!$S$10),"")</f>
        <v/>
      </c>
      <c r="AI12" s="95" t="str">
        <f>IFERROR(AG12*
(Assumptions!$S$7*(Z12/(AK12*Assumptions!$AB$8/100)/O12)^3+
Assumptions!$S$8*(Z12/(AK12*Assumptions!$AB$8/100)/O12)^2+
Assumptions!$S$9*(Z12/(AK12*Assumptions!$AB$8/100)/O12)+
Assumptions!$S$10),"")</f>
        <v/>
      </c>
      <c r="AJ12" s="95" t="str">
        <f>IFERROR(AG12*
(Assumptions!$S$7*(AD12/(AK12*Assumptions!$AB$10/100)/O12)^3+
Assumptions!$S$8*(AD12/(AK12*Assumptions!$AB$10/100)/O12)^2+
Assumptions!$S$9*(AD12/(AK12*Assumptions!$AB$10/100)/O12)+
Assumptions!$S$10),"")</f>
        <v/>
      </c>
      <c r="AK12" s="95" t="str">
        <f>IFERROR(
Assumptions!$AD$8*LN(S12)^2+
Assumptions!$AE$8*LN(R12)*LN(S12)+
Assumptions!$AF$8*LN(R12)^2+
Assumptions!$AG$8*LN(S12)+
Assumptions!$AH$8*LN(R12)-
(IF(Q12=1800,
VLOOKUP(C12,Assumptions!$AA$13:$AC$17,3),
IF(Q12=3600,
VLOOKUP(C12,Assumptions!$AA$18:$AC$22,3),
""))+Assumptions!$AI$8),
"")</f>
        <v/>
      </c>
      <c r="AL12" s="96" t="str">
        <f>IFERROR(
Assumptions!$D$11*(V12/(Assumptions!$AB$9*AK12/100)+AH12)+
Assumptions!$D$10*(Z12/(Assumptions!$AB$8*AK12/100)+AI12)+
Assumptions!$D$12*(AD12/(Assumptions!$AB$10*AK12/100)+AJ12),
"")</f>
        <v/>
      </c>
      <c r="AM12" s="67" t="str">
        <f>IFERROR(
U12*Assumptions!$D$11+
Y12*Assumptions!$D$10+
AC12*Assumptions!$D$12,
"")</f>
        <v/>
      </c>
      <c r="AN12" s="77" t="str">
        <f t="shared" si="13"/>
        <v/>
      </c>
      <c r="AO12" s="30" t="str">
        <f t="shared" si="14"/>
        <v/>
      </c>
    </row>
    <row r="13" spans="1:41" x14ac:dyDescent="0.25">
      <c r="A13" s="264"/>
      <c r="B13" s="265"/>
      <c r="C13" s="265"/>
      <c r="D13" s="265"/>
      <c r="E13" s="266"/>
      <c r="F13" s="270"/>
      <c r="G13" s="271"/>
      <c r="H13" s="272"/>
      <c r="I13" s="270"/>
      <c r="J13" s="308"/>
      <c r="K13" s="272"/>
      <c r="L13" s="270"/>
      <c r="M13" s="308"/>
      <c r="N13" s="310"/>
      <c r="O13" s="306"/>
      <c r="P13" s="84" t="str">
        <f t="shared" si="0"/>
        <v/>
      </c>
      <c r="Q13" s="84" t="str">
        <f t="shared" si="1"/>
        <v/>
      </c>
      <c r="R13" s="93" t="str">
        <f t="shared" si="2"/>
        <v/>
      </c>
      <c r="S13" s="100" t="str">
        <f t="shared" si="3"/>
        <v/>
      </c>
      <c r="T13" s="95" t="str">
        <f t="shared" si="4"/>
        <v/>
      </c>
      <c r="U13" s="95" t="str">
        <f t="shared" si="5"/>
        <v/>
      </c>
      <c r="V13" s="96" t="str">
        <f>IFERROR(S13*T13*Assumptions!$B$15/3956,"")</f>
        <v/>
      </c>
      <c r="W13" s="102" t="str">
        <f t="shared" si="6"/>
        <v/>
      </c>
      <c r="X13" s="95" t="str">
        <f t="shared" si="7"/>
        <v/>
      </c>
      <c r="Y13" s="95" t="str">
        <f t="shared" si="8"/>
        <v/>
      </c>
      <c r="Z13" s="96" t="str">
        <f>IFERROR(W13*X13*Assumptions!$B$15/3956,"")</f>
        <v/>
      </c>
      <c r="AA13" s="100" t="str">
        <f t="shared" si="9"/>
        <v/>
      </c>
      <c r="AB13" s="95" t="str">
        <f t="shared" si="10"/>
        <v/>
      </c>
      <c r="AC13" s="95" t="str">
        <f t="shared" si="11"/>
        <v/>
      </c>
      <c r="AD13" s="96" t="str">
        <f>IFERROR(AA13*AB13*Assumptions!$B$15/3956,"")</f>
        <v/>
      </c>
      <c r="AE13" s="244" t="str">
        <f>IFERROR(
IF(C13="VTS",
IF(O13&gt;=AVERAGE(
INDEX(Assumptions!$I$38:$I$57,MATCH(O13,Assumptions!$I$38:$I$57,-1)),
INDEX(Assumptions!$I$38:$I$57,MATCH(O13,Assumptions!$I$38:$I$57,-1)+1)),
INDEX(Assumptions!$I$38:$I$57,MATCH(O13,Assumptions!$I$38:$I$57,-1)),
INDEX(Assumptions!$I$38:$I$57,MATCH(O13,Assumptions!$I$38:$I$57,-1)+1)),
IF(O13&gt;=AVERAGE(
INDEX(Assumptions!$I$13:$I$32,MATCH(O13,Assumptions!$I$13:$I$32,-1)),
INDEX(Assumptions!$I$13:$I$32,MATCH(O13,Assumptions!$I$13:$I$32,-1)+1)),
INDEX(Assumptions!$I$13:$I$32,MATCH(O13,Assumptions!$I$13:$I$32,-1)),
INDEX(Assumptions!$I$13:$I$32,MATCH(O13,Assumptions!$I$13:$I$32,-1)+1))),
"")</f>
        <v/>
      </c>
      <c r="AF13" s="95" t="str">
        <f>IFERROR(
IF(C13="VTS",
VLOOKUP(AE13,Assumptions!$I$38:$K$57,MATCH(P13,Assumptions!$I$37:$K$37,0),FALSE),
VLOOKUP(AE13,Assumptions!$I$13:$K$32,MATCH(P13,Assumptions!$I$12:$K$12,0),FALSE)),
"")</f>
        <v/>
      </c>
      <c r="AG13" s="95" t="str">
        <f t="shared" si="12"/>
        <v/>
      </c>
      <c r="AH13" s="95" t="str">
        <f>IFERROR(AG13*
(Assumptions!$S$7*(V13/(AK13*Assumptions!$AB$9/100)/O13)^3+
Assumptions!$S$8*(V13/(AK13*Assumptions!$AB$9/100)/O13)^2+
Assumptions!$S$9*(V13/(AK13*Assumptions!$AB$9/100)/O13)+
Assumptions!$S$10),"")</f>
        <v/>
      </c>
      <c r="AI13" s="95" t="str">
        <f>IFERROR(AG13*
(Assumptions!$S$7*(Z13/(AK13*Assumptions!$AB$8/100)/O13)^3+
Assumptions!$S$8*(Z13/(AK13*Assumptions!$AB$8/100)/O13)^2+
Assumptions!$S$9*(Z13/(AK13*Assumptions!$AB$8/100)/O13)+
Assumptions!$S$10),"")</f>
        <v/>
      </c>
      <c r="AJ13" s="95" t="str">
        <f>IFERROR(AG13*
(Assumptions!$S$7*(AD13/(AK13*Assumptions!$AB$10/100)/O13)^3+
Assumptions!$S$8*(AD13/(AK13*Assumptions!$AB$10/100)/O13)^2+
Assumptions!$S$9*(AD13/(AK13*Assumptions!$AB$10/100)/O13)+
Assumptions!$S$10),"")</f>
        <v/>
      </c>
      <c r="AK13" s="95" t="str">
        <f>IFERROR(
Assumptions!$AD$8*LN(S13)^2+
Assumptions!$AE$8*LN(R13)*LN(S13)+
Assumptions!$AF$8*LN(R13)^2+
Assumptions!$AG$8*LN(S13)+
Assumptions!$AH$8*LN(R13)-
(IF(Q13=1800,
VLOOKUP(C13,Assumptions!$AA$13:$AC$17,3),
IF(Q13=3600,
VLOOKUP(C13,Assumptions!$AA$18:$AC$22,3),
""))+Assumptions!$AI$8),
"")</f>
        <v/>
      </c>
      <c r="AL13" s="96" t="str">
        <f>IFERROR(
Assumptions!$D$11*(V13/(Assumptions!$AB$9*AK13/100)+AH13)+
Assumptions!$D$10*(Z13/(Assumptions!$AB$8*AK13/100)+AI13)+
Assumptions!$D$12*(AD13/(Assumptions!$AB$10*AK13/100)+AJ13),
"")</f>
        <v/>
      </c>
      <c r="AM13" s="67" t="str">
        <f>IFERROR(
U13*Assumptions!$D$11+
Y13*Assumptions!$D$10+
AC13*Assumptions!$D$12,
"")</f>
        <v/>
      </c>
      <c r="AN13" s="77" t="str">
        <f t="shared" si="13"/>
        <v/>
      </c>
      <c r="AO13" s="30" t="str">
        <f t="shared" si="14"/>
        <v/>
      </c>
    </row>
    <row r="14" spans="1:41" x14ac:dyDescent="0.25">
      <c r="A14" s="264"/>
      <c r="B14" s="265"/>
      <c r="C14" s="265"/>
      <c r="D14" s="265"/>
      <c r="E14" s="266"/>
      <c r="F14" s="270"/>
      <c r="G14" s="271"/>
      <c r="H14" s="272"/>
      <c r="I14" s="270"/>
      <c r="J14" s="308"/>
      <c r="K14" s="272"/>
      <c r="L14" s="270"/>
      <c r="M14" s="308"/>
      <c r="N14" s="310"/>
      <c r="O14" s="306"/>
      <c r="P14" s="84" t="str">
        <f t="shared" si="0"/>
        <v/>
      </c>
      <c r="Q14" s="84" t="str">
        <f t="shared" si="1"/>
        <v/>
      </c>
      <c r="R14" s="93" t="str">
        <f t="shared" si="2"/>
        <v/>
      </c>
      <c r="S14" s="100" t="str">
        <f t="shared" si="3"/>
        <v/>
      </c>
      <c r="T14" s="95" t="str">
        <f t="shared" si="4"/>
        <v/>
      </c>
      <c r="U14" s="95" t="str">
        <f t="shared" si="5"/>
        <v/>
      </c>
      <c r="V14" s="96" t="str">
        <f>IFERROR(S14*T14*Assumptions!$B$15/3956,"")</f>
        <v/>
      </c>
      <c r="W14" s="102" t="str">
        <f t="shared" si="6"/>
        <v/>
      </c>
      <c r="X14" s="95" t="str">
        <f t="shared" si="7"/>
        <v/>
      </c>
      <c r="Y14" s="95" t="str">
        <f t="shared" si="8"/>
        <v/>
      </c>
      <c r="Z14" s="96" t="str">
        <f>IFERROR(W14*X14*Assumptions!$B$15/3956,"")</f>
        <v/>
      </c>
      <c r="AA14" s="100" t="str">
        <f t="shared" si="9"/>
        <v/>
      </c>
      <c r="AB14" s="95" t="str">
        <f t="shared" si="10"/>
        <v/>
      </c>
      <c r="AC14" s="95" t="str">
        <f t="shared" si="11"/>
        <v/>
      </c>
      <c r="AD14" s="96" t="str">
        <f>IFERROR(AA14*AB14*Assumptions!$B$15/3956,"")</f>
        <v/>
      </c>
      <c r="AE14" s="244" t="str">
        <f>IFERROR(
IF(C14="VTS",
IF(O14&gt;=AVERAGE(
INDEX(Assumptions!$I$38:$I$57,MATCH(O14,Assumptions!$I$38:$I$57,-1)),
INDEX(Assumptions!$I$38:$I$57,MATCH(O14,Assumptions!$I$38:$I$57,-1)+1)),
INDEX(Assumptions!$I$38:$I$57,MATCH(O14,Assumptions!$I$38:$I$57,-1)),
INDEX(Assumptions!$I$38:$I$57,MATCH(O14,Assumptions!$I$38:$I$57,-1)+1)),
IF(O14&gt;=AVERAGE(
INDEX(Assumptions!$I$13:$I$32,MATCH(O14,Assumptions!$I$13:$I$32,-1)),
INDEX(Assumptions!$I$13:$I$32,MATCH(O14,Assumptions!$I$13:$I$32,-1)+1)),
INDEX(Assumptions!$I$13:$I$32,MATCH(O14,Assumptions!$I$13:$I$32,-1)),
INDEX(Assumptions!$I$13:$I$32,MATCH(O14,Assumptions!$I$13:$I$32,-1)+1))),
"")</f>
        <v/>
      </c>
      <c r="AF14" s="95" t="str">
        <f>IFERROR(
IF(C14="VTS",
VLOOKUP(AE14,Assumptions!$I$38:$K$57,MATCH(P14,Assumptions!$I$37:$K$37,0),FALSE),
VLOOKUP(AE14,Assumptions!$I$13:$K$32,MATCH(P14,Assumptions!$I$12:$K$12,0),FALSE)),
"")</f>
        <v/>
      </c>
      <c r="AG14" s="95" t="str">
        <f t="shared" si="12"/>
        <v/>
      </c>
      <c r="AH14" s="95" t="str">
        <f>IFERROR(AG14*
(Assumptions!$S$7*(V14/(AK14*Assumptions!$AB$9/100)/O14)^3+
Assumptions!$S$8*(V14/(AK14*Assumptions!$AB$9/100)/O14)^2+
Assumptions!$S$9*(V14/(AK14*Assumptions!$AB$9/100)/O14)+
Assumptions!$S$10),"")</f>
        <v/>
      </c>
      <c r="AI14" s="95" t="str">
        <f>IFERROR(AG14*
(Assumptions!$S$7*(Z14/(AK14*Assumptions!$AB$8/100)/O14)^3+
Assumptions!$S$8*(Z14/(AK14*Assumptions!$AB$8/100)/O14)^2+
Assumptions!$S$9*(Z14/(AK14*Assumptions!$AB$8/100)/O14)+
Assumptions!$S$10),"")</f>
        <v/>
      </c>
      <c r="AJ14" s="95" t="str">
        <f>IFERROR(AG14*
(Assumptions!$S$7*(AD14/(AK14*Assumptions!$AB$10/100)/O14)^3+
Assumptions!$S$8*(AD14/(AK14*Assumptions!$AB$10/100)/O14)^2+
Assumptions!$S$9*(AD14/(AK14*Assumptions!$AB$10/100)/O14)+
Assumptions!$S$10),"")</f>
        <v/>
      </c>
      <c r="AK14" s="95" t="str">
        <f>IFERROR(
Assumptions!$AD$8*LN(S14)^2+
Assumptions!$AE$8*LN(R14)*LN(S14)+
Assumptions!$AF$8*LN(R14)^2+
Assumptions!$AG$8*LN(S14)+
Assumptions!$AH$8*LN(R14)-
(IF(Q14=1800,
VLOOKUP(C14,Assumptions!$AA$13:$AC$17,3),
IF(Q14=3600,
VLOOKUP(C14,Assumptions!$AA$18:$AC$22,3),
""))+Assumptions!$AI$8),
"")</f>
        <v/>
      </c>
      <c r="AL14" s="96" t="str">
        <f>IFERROR(
Assumptions!$D$11*(V14/(Assumptions!$AB$9*AK14/100)+AH14)+
Assumptions!$D$10*(Z14/(Assumptions!$AB$8*AK14/100)+AI14)+
Assumptions!$D$12*(AD14/(Assumptions!$AB$10*AK14/100)+AJ14),
"")</f>
        <v/>
      </c>
      <c r="AM14" s="67" t="str">
        <f>IFERROR(
U14*Assumptions!$D$11+
Y14*Assumptions!$D$10+
AC14*Assumptions!$D$12,
"")</f>
        <v/>
      </c>
      <c r="AN14" s="77" t="str">
        <f t="shared" si="13"/>
        <v/>
      </c>
      <c r="AO14" s="30" t="str">
        <f t="shared" si="14"/>
        <v/>
      </c>
    </row>
    <row r="15" spans="1:41" x14ac:dyDescent="0.25">
      <c r="A15" s="264"/>
      <c r="B15" s="265"/>
      <c r="C15" s="265"/>
      <c r="D15" s="265"/>
      <c r="E15" s="266"/>
      <c r="F15" s="270"/>
      <c r="G15" s="271"/>
      <c r="H15" s="272"/>
      <c r="I15" s="270"/>
      <c r="J15" s="308"/>
      <c r="K15" s="272"/>
      <c r="L15" s="270"/>
      <c r="M15" s="308"/>
      <c r="N15" s="310"/>
      <c r="O15" s="306"/>
      <c r="P15" s="84" t="str">
        <f t="shared" si="0"/>
        <v/>
      </c>
      <c r="Q15" s="84" t="str">
        <f t="shared" si="1"/>
        <v/>
      </c>
      <c r="R15" s="93" t="str">
        <f t="shared" si="2"/>
        <v/>
      </c>
      <c r="S15" s="100" t="str">
        <f t="shared" si="3"/>
        <v/>
      </c>
      <c r="T15" s="95" t="str">
        <f t="shared" si="4"/>
        <v/>
      </c>
      <c r="U15" s="95" t="str">
        <f t="shared" si="5"/>
        <v/>
      </c>
      <c r="V15" s="96" t="str">
        <f>IFERROR(S15*T15*Assumptions!$B$15/3956,"")</f>
        <v/>
      </c>
      <c r="W15" s="102" t="str">
        <f t="shared" si="6"/>
        <v/>
      </c>
      <c r="X15" s="95" t="str">
        <f t="shared" si="7"/>
        <v/>
      </c>
      <c r="Y15" s="95" t="str">
        <f t="shared" si="8"/>
        <v/>
      </c>
      <c r="Z15" s="96" t="str">
        <f>IFERROR(W15*X15*Assumptions!$B$15/3956,"")</f>
        <v/>
      </c>
      <c r="AA15" s="100" t="str">
        <f t="shared" si="9"/>
        <v/>
      </c>
      <c r="AB15" s="95" t="str">
        <f t="shared" si="10"/>
        <v/>
      </c>
      <c r="AC15" s="95" t="str">
        <f t="shared" si="11"/>
        <v/>
      </c>
      <c r="AD15" s="96" t="str">
        <f>IFERROR(AA15*AB15*Assumptions!$B$15/3956,"")</f>
        <v/>
      </c>
      <c r="AE15" s="244" t="str">
        <f>IFERROR(
IF(C15="VTS",
IF(O15&gt;=AVERAGE(
INDEX(Assumptions!$I$38:$I$57,MATCH(O15,Assumptions!$I$38:$I$57,-1)),
INDEX(Assumptions!$I$38:$I$57,MATCH(O15,Assumptions!$I$38:$I$57,-1)+1)),
INDEX(Assumptions!$I$38:$I$57,MATCH(O15,Assumptions!$I$38:$I$57,-1)),
INDEX(Assumptions!$I$38:$I$57,MATCH(O15,Assumptions!$I$38:$I$57,-1)+1)),
IF(O15&gt;=AVERAGE(
INDEX(Assumptions!$I$13:$I$32,MATCH(O15,Assumptions!$I$13:$I$32,-1)),
INDEX(Assumptions!$I$13:$I$32,MATCH(O15,Assumptions!$I$13:$I$32,-1)+1)),
INDEX(Assumptions!$I$13:$I$32,MATCH(O15,Assumptions!$I$13:$I$32,-1)),
INDEX(Assumptions!$I$13:$I$32,MATCH(O15,Assumptions!$I$13:$I$32,-1)+1))),
"")</f>
        <v/>
      </c>
      <c r="AF15" s="95" t="str">
        <f>IFERROR(
IF(C15="VTS",
VLOOKUP(AE15,Assumptions!$I$38:$K$57,MATCH(P15,Assumptions!$I$37:$K$37,0),FALSE),
VLOOKUP(AE15,Assumptions!$I$13:$K$32,MATCH(P15,Assumptions!$I$12:$K$12,0),FALSE)),
"")</f>
        <v/>
      </c>
      <c r="AG15" s="95" t="str">
        <f t="shared" si="12"/>
        <v/>
      </c>
      <c r="AH15" s="95" t="str">
        <f>IFERROR(AG15*
(Assumptions!$S$7*(V15/(AK15*Assumptions!$AB$9/100)/O15)^3+
Assumptions!$S$8*(V15/(AK15*Assumptions!$AB$9/100)/O15)^2+
Assumptions!$S$9*(V15/(AK15*Assumptions!$AB$9/100)/O15)+
Assumptions!$S$10),"")</f>
        <v/>
      </c>
      <c r="AI15" s="95" t="str">
        <f>IFERROR(AG15*
(Assumptions!$S$7*(Z15/(AK15*Assumptions!$AB$8/100)/O15)^3+
Assumptions!$S$8*(Z15/(AK15*Assumptions!$AB$8/100)/O15)^2+
Assumptions!$S$9*(Z15/(AK15*Assumptions!$AB$8/100)/O15)+
Assumptions!$S$10),"")</f>
        <v/>
      </c>
      <c r="AJ15" s="95" t="str">
        <f>IFERROR(AG15*
(Assumptions!$S$7*(AD15/(AK15*Assumptions!$AB$10/100)/O15)^3+
Assumptions!$S$8*(AD15/(AK15*Assumptions!$AB$10/100)/O15)^2+
Assumptions!$S$9*(AD15/(AK15*Assumptions!$AB$10/100)/O15)+
Assumptions!$S$10),"")</f>
        <v/>
      </c>
      <c r="AK15" s="95" t="str">
        <f>IFERROR(
Assumptions!$AD$8*LN(S15)^2+
Assumptions!$AE$8*LN(R15)*LN(S15)+
Assumptions!$AF$8*LN(R15)^2+
Assumptions!$AG$8*LN(S15)+
Assumptions!$AH$8*LN(R15)-
(IF(Q15=1800,
VLOOKUP(C15,Assumptions!$AA$13:$AC$17,3),
IF(Q15=3600,
VLOOKUP(C15,Assumptions!$AA$18:$AC$22,3),
""))+Assumptions!$AI$8),
"")</f>
        <v/>
      </c>
      <c r="AL15" s="96" t="str">
        <f>IFERROR(
Assumptions!$D$11*(V15/(Assumptions!$AB$9*AK15/100)+AH15)+
Assumptions!$D$10*(Z15/(Assumptions!$AB$8*AK15/100)+AI15)+
Assumptions!$D$12*(AD15/(Assumptions!$AB$10*AK15/100)+AJ15),
"")</f>
        <v/>
      </c>
      <c r="AM15" s="67" t="str">
        <f>IFERROR(
U15*Assumptions!$D$11+
Y15*Assumptions!$D$10+
AC15*Assumptions!$D$12,
"")</f>
        <v/>
      </c>
      <c r="AN15" s="77" t="str">
        <f t="shared" si="13"/>
        <v/>
      </c>
      <c r="AO15" s="30" t="str">
        <f t="shared" si="14"/>
        <v/>
      </c>
    </row>
    <row r="16" spans="1:41" x14ac:dyDescent="0.25">
      <c r="A16" s="264"/>
      <c r="B16" s="265"/>
      <c r="C16" s="265"/>
      <c r="D16" s="265"/>
      <c r="E16" s="266"/>
      <c r="F16" s="270"/>
      <c r="G16" s="271"/>
      <c r="H16" s="272"/>
      <c r="I16" s="270"/>
      <c r="J16" s="308"/>
      <c r="K16" s="272"/>
      <c r="L16" s="270"/>
      <c r="M16" s="308"/>
      <c r="N16" s="310"/>
      <c r="O16" s="306"/>
      <c r="P16" s="84" t="str">
        <f t="shared" si="0"/>
        <v/>
      </c>
      <c r="Q16" s="84" t="str">
        <f t="shared" si="1"/>
        <v/>
      </c>
      <c r="R16" s="93" t="str">
        <f t="shared" si="2"/>
        <v/>
      </c>
      <c r="S16" s="100" t="str">
        <f t="shared" si="3"/>
        <v/>
      </c>
      <c r="T16" s="95" t="str">
        <f t="shared" si="4"/>
        <v/>
      </c>
      <c r="U16" s="95" t="str">
        <f t="shared" si="5"/>
        <v/>
      </c>
      <c r="V16" s="96" t="str">
        <f>IFERROR(S16*T16*Assumptions!$B$15/3956,"")</f>
        <v/>
      </c>
      <c r="W16" s="102" t="str">
        <f t="shared" si="6"/>
        <v/>
      </c>
      <c r="X16" s="95" t="str">
        <f t="shared" si="7"/>
        <v/>
      </c>
      <c r="Y16" s="95" t="str">
        <f t="shared" si="8"/>
        <v/>
      </c>
      <c r="Z16" s="96" t="str">
        <f>IFERROR(W16*X16*Assumptions!$B$15/3956,"")</f>
        <v/>
      </c>
      <c r="AA16" s="100" t="str">
        <f t="shared" si="9"/>
        <v/>
      </c>
      <c r="AB16" s="95" t="str">
        <f t="shared" si="10"/>
        <v/>
      </c>
      <c r="AC16" s="95" t="str">
        <f t="shared" si="11"/>
        <v/>
      </c>
      <c r="AD16" s="96" t="str">
        <f>IFERROR(AA16*AB16*Assumptions!$B$15/3956,"")</f>
        <v/>
      </c>
      <c r="AE16" s="244" t="str">
        <f>IFERROR(
IF(C16="VTS",
IF(O16&gt;=AVERAGE(
INDEX(Assumptions!$I$38:$I$57,MATCH(O16,Assumptions!$I$38:$I$57,-1)),
INDEX(Assumptions!$I$38:$I$57,MATCH(O16,Assumptions!$I$38:$I$57,-1)+1)),
INDEX(Assumptions!$I$38:$I$57,MATCH(O16,Assumptions!$I$38:$I$57,-1)),
INDEX(Assumptions!$I$38:$I$57,MATCH(O16,Assumptions!$I$38:$I$57,-1)+1)),
IF(O16&gt;=AVERAGE(
INDEX(Assumptions!$I$13:$I$32,MATCH(O16,Assumptions!$I$13:$I$32,-1)),
INDEX(Assumptions!$I$13:$I$32,MATCH(O16,Assumptions!$I$13:$I$32,-1)+1)),
INDEX(Assumptions!$I$13:$I$32,MATCH(O16,Assumptions!$I$13:$I$32,-1)),
INDEX(Assumptions!$I$13:$I$32,MATCH(O16,Assumptions!$I$13:$I$32,-1)+1))),
"")</f>
        <v/>
      </c>
      <c r="AF16" s="95" t="str">
        <f>IFERROR(
IF(C16="VTS",
VLOOKUP(AE16,Assumptions!$I$38:$K$57,MATCH(P16,Assumptions!$I$37:$K$37,0),FALSE),
VLOOKUP(AE16,Assumptions!$I$13:$K$32,MATCH(P16,Assumptions!$I$12:$K$12,0),FALSE)),
"")</f>
        <v/>
      </c>
      <c r="AG16" s="95" t="str">
        <f t="shared" si="12"/>
        <v/>
      </c>
      <c r="AH16" s="95" t="str">
        <f>IFERROR(AG16*
(Assumptions!$S$7*(V16/(AK16*Assumptions!$AB$9/100)/O16)^3+
Assumptions!$S$8*(V16/(AK16*Assumptions!$AB$9/100)/O16)^2+
Assumptions!$S$9*(V16/(AK16*Assumptions!$AB$9/100)/O16)+
Assumptions!$S$10),"")</f>
        <v/>
      </c>
      <c r="AI16" s="95" t="str">
        <f>IFERROR(AG16*
(Assumptions!$S$7*(Z16/(AK16*Assumptions!$AB$8/100)/O16)^3+
Assumptions!$S$8*(Z16/(AK16*Assumptions!$AB$8/100)/O16)^2+
Assumptions!$S$9*(Z16/(AK16*Assumptions!$AB$8/100)/O16)+
Assumptions!$S$10),"")</f>
        <v/>
      </c>
      <c r="AJ16" s="95" t="str">
        <f>IFERROR(AG16*
(Assumptions!$S$7*(AD16/(AK16*Assumptions!$AB$10/100)/O16)^3+
Assumptions!$S$8*(AD16/(AK16*Assumptions!$AB$10/100)/O16)^2+
Assumptions!$S$9*(AD16/(AK16*Assumptions!$AB$10/100)/O16)+
Assumptions!$S$10),"")</f>
        <v/>
      </c>
      <c r="AK16" s="95" t="str">
        <f>IFERROR(
Assumptions!$AD$8*LN(S16)^2+
Assumptions!$AE$8*LN(R16)*LN(S16)+
Assumptions!$AF$8*LN(R16)^2+
Assumptions!$AG$8*LN(S16)+
Assumptions!$AH$8*LN(R16)-
(IF(Q16=1800,
VLOOKUP(C16,Assumptions!$AA$13:$AC$17,3),
IF(Q16=3600,
VLOOKUP(C16,Assumptions!$AA$18:$AC$22,3),
""))+Assumptions!$AI$8),
"")</f>
        <v/>
      </c>
      <c r="AL16" s="96" t="str">
        <f>IFERROR(
Assumptions!$D$11*(V16/(Assumptions!$AB$9*AK16/100)+AH16)+
Assumptions!$D$10*(Z16/(Assumptions!$AB$8*AK16/100)+AI16)+
Assumptions!$D$12*(AD16/(Assumptions!$AB$10*AK16/100)+AJ16),
"")</f>
        <v/>
      </c>
      <c r="AM16" s="67" t="str">
        <f>IFERROR(
U16*Assumptions!$D$11+
Y16*Assumptions!$D$10+
AC16*Assumptions!$D$12,
"")</f>
        <v/>
      </c>
      <c r="AN16" s="77" t="str">
        <f t="shared" si="13"/>
        <v/>
      </c>
      <c r="AO16" s="30" t="str">
        <f t="shared" si="14"/>
        <v/>
      </c>
    </row>
    <row r="17" spans="1:41" x14ac:dyDescent="0.25">
      <c r="A17" s="264"/>
      <c r="B17" s="265"/>
      <c r="C17" s="265"/>
      <c r="D17" s="265"/>
      <c r="E17" s="266"/>
      <c r="F17" s="270"/>
      <c r="G17" s="271"/>
      <c r="H17" s="272"/>
      <c r="I17" s="270"/>
      <c r="J17" s="308"/>
      <c r="K17" s="272"/>
      <c r="L17" s="270"/>
      <c r="M17" s="308"/>
      <c r="N17" s="310"/>
      <c r="O17" s="306"/>
      <c r="P17" s="84" t="str">
        <f t="shared" si="0"/>
        <v/>
      </c>
      <c r="Q17" s="84" t="str">
        <f t="shared" si="1"/>
        <v/>
      </c>
      <c r="R17" s="93" t="str">
        <f t="shared" si="2"/>
        <v/>
      </c>
      <c r="S17" s="100" t="str">
        <f t="shared" si="3"/>
        <v/>
      </c>
      <c r="T17" s="95" t="str">
        <f t="shared" si="4"/>
        <v/>
      </c>
      <c r="U17" s="95" t="str">
        <f t="shared" si="5"/>
        <v/>
      </c>
      <c r="V17" s="96" t="str">
        <f>IFERROR(S17*T17*Assumptions!$B$15/3956,"")</f>
        <v/>
      </c>
      <c r="W17" s="102" t="str">
        <f t="shared" si="6"/>
        <v/>
      </c>
      <c r="X17" s="95" t="str">
        <f t="shared" si="7"/>
        <v/>
      </c>
      <c r="Y17" s="95" t="str">
        <f t="shared" si="8"/>
        <v/>
      </c>
      <c r="Z17" s="96" t="str">
        <f>IFERROR(W17*X17*Assumptions!$B$15/3956,"")</f>
        <v/>
      </c>
      <c r="AA17" s="100" t="str">
        <f t="shared" si="9"/>
        <v/>
      </c>
      <c r="AB17" s="95" t="str">
        <f t="shared" si="10"/>
        <v/>
      </c>
      <c r="AC17" s="95" t="str">
        <f t="shared" si="11"/>
        <v/>
      </c>
      <c r="AD17" s="96" t="str">
        <f>IFERROR(AA17*AB17*Assumptions!$B$15/3956,"")</f>
        <v/>
      </c>
      <c r="AE17" s="244" t="str">
        <f>IFERROR(
IF(C17="VTS",
IF(O17&gt;=AVERAGE(
INDEX(Assumptions!$I$38:$I$57,MATCH(O17,Assumptions!$I$38:$I$57,-1)),
INDEX(Assumptions!$I$38:$I$57,MATCH(O17,Assumptions!$I$38:$I$57,-1)+1)),
INDEX(Assumptions!$I$38:$I$57,MATCH(O17,Assumptions!$I$38:$I$57,-1)),
INDEX(Assumptions!$I$38:$I$57,MATCH(O17,Assumptions!$I$38:$I$57,-1)+1)),
IF(O17&gt;=AVERAGE(
INDEX(Assumptions!$I$13:$I$32,MATCH(O17,Assumptions!$I$13:$I$32,-1)),
INDEX(Assumptions!$I$13:$I$32,MATCH(O17,Assumptions!$I$13:$I$32,-1)+1)),
INDEX(Assumptions!$I$13:$I$32,MATCH(O17,Assumptions!$I$13:$I$32,-1)),
INDEX(Assumptions!$I$13:$I$32,MATCH(O17,Assumptions!$I$13:$I$32,-1)+1))),
"")</f>
        <v/>
      </c>
      <c r="AF17" s="95" t="str">
        <f>IFERROR(
IF(C17="VTS",
VLOOKUP(AE17,Assumptions!$I$38:$K$57,MATCH(P17,Assumptions!$I$37:$K$37,0),FALSE),
VLOOKUP(AE17,Assumptions!$I$13:$K$32,MATCH(P17,Assumptions!$I$12:$K$12,0),FALSE)),
"")</f>
        <v/>
      </c>
      <c r="AG17" s="95" t="str">
        <f t="shared" si="12"/>
        <v/>
      </c>
      <c r="AH17" s="95" t="str">
        <f>IFERROR(AG17*
(Assumptions!$S$7*(V17/(AK17*Assumptions!$AB$9/100)/O17)^3+
Assumptions!$S$8*(V17/(AK17*Assumptions!$AB$9/100)/O17)^2+
Assumptions!$S$9*(V17/(AK17*Assumptions!$AB$9/100)/O17)+
Assumptions!$S$10),"")</f>
        <v/>
      </c>
      <c r="AI17" s="95" t="str">
        <f>IFERROR(AG17*
(Assumptions!$S$7*(Z17/(AK17*Assumptions!$AB$8/100)/O17)^3+
Assumptions!$S$8*(Z17/(AK17*Assumptions!$AB$8/100)/O17)^2+
Assumptions!$S$9*(Z17/(AK17*Assumptions!$AB$8/100)/O17)+
Assumptions!$S$10),"")</f>
        <v/>
      </c>
      <c r="AJ17" s="95" t="str">
        <f>IFERROR(AG17*
(Assumptions!$S$7*(AD17/(AK17*Assumptions!$AB$10/100)/O17)^3+
Assumptions!$S$8*(AD17/(AK17*Assumptions!$AB$10/100)/O17)^2+
Assumptions!$S$9*(AD17/(AK17*Assumptions!$AB$10/100)/O17)+
Assumptions!$S$10),"")</f>
        <v/>
      </c>
      <c r="AK17" s="95" t="str">
        <f>IFERROR(
Assumptions!$AD$8*LN(S17)^2+
Assumptions!$AE$8*LN(R17)*LN(S17)+
Assumptions!$AF$8*LN(R17)^2+
Assumptions!$AG$8*LN(S17)+
Assumptions!$AH$8*LN(R17)-
(IF(Q17=1800,
VLOOKUP(C17,Assumptions!$AA$13:$AC$17,3),
IF(Q17=3600,
VLOOKUP(C17,Assumptions!$AA$18:$AC$22,3),
""))+Assumptions!$AI$8),
"")</f>
        <v/>
      </c>
      <c r="AL17" s="96" t="str">
        <f>IFERROR(
Assumptions!$D$11*(V17/(Assumptions!$AB$9*AK17/100)+AH17)+
Assumptions!$D$10*(Z17/(Assumptions!$AB$8*AK17/100)+AI17)+
Assumptions!$D$12*(AD17/(Assumptions!$AB$10*AK17/100)+AJ17),
"")</f>
        <v/>
      </c>
      <c r="AM17" s="67" t="str">
        <f>IFERROR(
U17*Assumptions!$D$11+
Y17*Assumptions!$D$10+
AC17*Assumptions!$D$12,
"")</f>
        <v/>
      </c>
      <c r="AN17" s="77" t="str">
        <f t="shared" si="13"/>
        <v/>
      </c>
      <c r="AO17" s="30" t="str">
        <f t="shared" si="14"/>
        <v/>
      </c>
    </row>
    <row r="18" spans="1:41" x14ac:dyDescent="0.25">
      <c r="A18" s="264"/>
      <c r="B18" s="265"/>
      <c r="C18" s="265"/>
      <c r="D18" s="265"/>
      <c r="E18" s="266"/>
      <c r="F18" s="270"/>
      <c r="G18" s="271"/>
      <c r="H18" s="272"/>
      <c r="I18" s="270"/>
      <c r="J18" s="308"/>
      <c r="K18" s="272"/>
      <c r="L18" s="270"/>
      <c r="M18" s="308"/>
      <c r="N18" s="310"/>
      <c r="O18" s="306"/>
      <c r="P18" s="84" t="str">
        <f t="shared" si="0"/>
        <v/>
      </c>
      <c r="Q18" s="84" t="str">
        <f t="shared" si="1"/>
        <v/>
      </c>
      <c r="R18" s="93" t="str">
        <f t="shared" si="2"/>
        <v/>
      </c>
      <c r="S18" s="100" t="str">
        <f t="shared" si="3"/>
        <v/>
      </c>
      <c r="T18" s="95" t="str">
        <f t="shared" si="4"/>
        <v/>
      </c>
      <c r="U18" s="95" t="str">
        <f t="shared" si="5"/>
        <v/>
      </c>
      <c r="V18" s="96" t="str">
        <f>IFERROR(S18*T18*Assumptions!$B$15/3956,"")</f>
        <v/>
      </c>
      <c r="W18" s="102" t="str">
        <f t="shared" si="6"/>
        <v/>
      </c>
      <c r="X18" s="95" t="str">
        <f t="shared" si="7"/>
        <v/>
      </c>
      <c r="Y18" s="95" t="str">
        <f t="shared" si="8"/>
        <v/>
      </c>
      <c r="Z18" s="96" t="str">
        <f>IFERROR(W18*X18*Assumptions!$B$15/3956,"")</f>
        <v/>
      </c>
      <c r="AA18" s="100" t="str">
        <f t="shared" si="9"/>
        <v/>
      </c>
      <c r="AB18" s="95" t="str">
        <f t="shared" si="10"/>
        <v/>
      </c>
      <c r="AC18" s="95" t="str">
        <f t="shared" si="11"/>
        <v/>
      </c>
      <c r="AD18" s="96" t="str">
        <f>IFERROR(AA18*AB18*Assumptions!$B$15/3956,"")</f>
        <v/>
      </c>
      <c r="AE18" s="244" t="str">
        <f>IFERROR(
IF(C18="VTS",
IF(O18&gt;=AVERAGE(
INDEX(Assumptions!$I$38:$I$57,MATCH(O18,Assumptions!$I$38:$I$57,-1)),
INDEX(Assumptions!$I$38:$I$57,MATCH(O18,Assumptions!$I$38:$I$57,-1)+1)),
INDEX(Assumptions!$I$38:$I$57,MATCH(O18,Assumptions!$I$38:$I$57,-1)),
INDEX(Assumptions!$I$38:$I$57,MATCH(O18,Assumptions!$I$38:$I$57,-1)+1)),
IF(O18&gt;=AVERAGE(
INDEX(Assumptions!$I$13:$I$32,MATCH(O18,Assumptions!$I$13:$I$32,-1)),
INDEX(Assumptions!$I$13:$I$32,MATCH(O18,Assumptions!$I$13:$I$32,-1)+1)),
INDEX(Assumptions!$I$13:$I$32,MATCH(O18,Assumptions!$I$13:$I$32,-1)),
INDEX(Assumptions!$I$13:$I$32,MATCH(O18,Assumptions!$I$13:$I$32,-1)+1))),
"")</f>
        <v/>
      </c>
      <c r="AF18" s="95" t="str">
        <f>IFERROR(
IF(C18="VTS",
VLOOKUP(AE18,Assumptions!$I$38:$K$57,MATCH(P18,Assumptions!$I$37:$K$37,0),FALSE),
VLOOKUP(AE18,Assumptions!$I$13:$K$32,MATCH(P18,Assumptions!$I$12:$K$12,0),FALSE)),
"")</f>
        <v/>
      </c>
      <c r="AG18" s="95" t="str">
        <f t="shared" si="12"/>
        <v/>
      </c>
      <c r="AH18" s="95" t="str">
        <f>IFERROR(AG18*
(Assumptions!$S$7*(V18/(AK18*Assumptions!$AB$9/100)/O18)^3+
Assumptions!$S$8*(V18/(AK18*Assumptions!$AB$9/100)/O18)^2+
Assumptions!$S$9*(V18/(AK18*Assumptions!$AB$9/100)/O18)+
Assumptions!$S$10),"")</f>
        <v/>
      </c>
      <c r="AI18" s="95" t="str">
        <f>IFERROR(AG18*
(Assumptions!$S$7*(Z18/(AK18*Assumptions!$AB$8/100)/O18)^3+
Assumptions!$S$8*(Z18/(AK18*Assumptions!$AB$8/100)/O18)^2+
Assumptions!$S$9*(Z18/(AK18*Assumptions!$AB$8/100)/O18)+
Assumptions!$S$10),"")</f>
        <v/>
      </c>
      <c r="AJ18" s="95" t="str">
        <f>IFERROR(AG18*
(Assumptions!$S$7*(AD18/(AK18*Assumptions!$AB$10/100)/O18)^3+
Assumptions!$S$8*(AD18/(AK18*Assumptions!$AB$10/100)/O18)^2+
Assumptions!$S$9*(AD18/(AK18*Assumptions!$AB$10/100)/O18)+
Assumptions!$S$10),"")</f>
        <v/>
      </c>
      <c r="AK18" s="95" t="str">
        <f>IFERROR(
Assumptions!$AD$8*LN(S18)^2+
Assumptions!$AE$8*LN(R18)*LN(S18)+
Assumptions!$AF$8*LN(R18)^2+
Assumptions!$AG$8*LN(S18)+
Assumptions!$AH$8*LN(R18)-
(IF(Q18=1800,
VLOOKUP(C18,Assumptions!$AA$13:$AC$17,3),
IF(Q18=3600,
VLOOKUP(C18,Assumptions!$AA$18:$AC$22,3),
""))+Assumptions!$AI$8),
"")</f>
        <v/>
      </c>
      <c r="AL18" s="96" t="str">
        <f>IFERROR(
Assumptions!$D$11*(V18/(Assumptions!$AB$9*AK18/100)+AH18)+
Assumptions!$D$10*(Z18/(Assumptions!$AB$8*AK18/100)+AI18)+
Assumptions!$D$12*(AD18/(Assumptions!$AB$10*AK18/100)+AJ18),
"")</f>
        <v/>
      </c>
      <c r="AM18" s="67" t="str">
        <f>IFERROR(
U18*Assumptions!$D$11+
Y18*Assumptions!$D$10+
AC18*Assumptions!$D$12,
"")</f>
        <v/>
      </c>
      <c r="AN18" s="77" t="str">
        <f t="shared" si="13"/>
        <v/>
      </c>
      <c r="AO18" s="30" t="str">
        <f t="shared" si="14"/>
        <v/>
      </c>
    </row>
    <row r="19" spans="1:41" x14ac:dyDescent="0.25">
      <c r="A19" s="264"/>
      <c r="B19" s="265"/>
      <c r="C19" s="265"/>
      <c r="D19" s="265"/>
      <c r="E19" s="266"/>
      <c r="F19" s="270"/>
      <c r="G19" s="271"/>
      <c r="H19" s="272"/>
      <c r="I19" s="270"/>
      <c r="J19" s="308"/>
      <c r="K19" s="272"/>
      <c r="L19" s="270"/>
      <c r="M19" s="308"/>
      <c r="N19" s="310"/>
      <c r="O19" s="306"/>
      <c r="P19" s="84" t="str">
        <f t="shared" si="0"/>
        <v/>
      </c>
      <c r="Q19" s="84" t="str">
        <f t="shared" si="1"/>
        <v/>
      </c>
      <c r="R19" s="93" t="str">
        <f t="shared" si="2"/>
        <v/>
      </c>
      <c r="S19" s="100" t="str">
        <f t="shared" si="3"/>
        <v/>
      </c>
      <c r="T19" s="95" t="str">
        <f t="shared" si="4"/>
        <v/>
      </c>
      <c r="U19" s="95" t="str">
        <f t="shared" si="5"/>
        <v/>
      </c>
      <c r="V19" s="96" t="str">
        <f>IFERROR(S19*T19*Assumptions!$B$15/3956,"")</f>
        <v/>
      </c>
      <c r="W19" s="102" t="str">
        <f t="shared" si="6"/>
        <v/>
      </c>
      <c r="X19" s="95" t="str">
        <f t="shared" si="7"/>
        <v/>
      </c>
      <c r="Y19" s="95" t="str">
        <f t="shared" si="8"/>
        <v/>
      </c>
      <c r="Z19" s="96" t="str">
        <f>IFERROR(W19*X19*Assumptions!$B$15/3956,"")</f>
        <v/>
      </c>
      <c r="AA19" s="100" t="str">
        <f t="shared" si="9"/>
        <v/>
      </c>
      <c r="AB19" s="95" t="str">
        <f t="shared" si="10"/>
        <v/>
      </c>
      <c r="AC19" s="95" t="str">
        <f t="shared" si="11"/>
        <v/>
      </c>
      <c r="AD19" s="96" t="str">
        <f>IFERROR(AA19*AB19*Assumptions!$B$15/3956,"")</f>
        <v/>
      </c>
      <c r="AE19" s="244" t="str">
        <f>IFERROR(
IF(C19="VTS",
IF(O19&gt;=AVERAGE(
INDEX(Assumptions!$I$38:$I$57,MATCH(O19,Assumptions!$I$38:$I$57,-1)),
INDEX(Assumptions!$I$38:$I$57,MATCH(O19,Assumptions!$I$38:$I$57,-1)+1)),
INDEX(Assumptions!$I$38:$I$57,MATCH(O19,Assumptions!$I$38:$I$57,-1)),
INDEX(Assumptions!$I$38:$I$57,MATCH(O19,Assumptions!$I$38:$I$57,-1)+1)),
IF(O19&gt;=AVERAGE(
INDEX(Assumptions!$I$13:$I$32,MATCH(O19,Assumptions!$I$13:$I$32,-1)),
INDEX(Assumptions!$I$13:$I$32,MATCH(O19,Assumptions!$I$13:$I$32,-1)+1)),
INDEX(Assumptions!$I$13:$I$32,MATCH(O19,Assumptions!$I$13:$I$32,-1)),
INDEX(Assumptions!$I$13:$I$32,MATCH(O19,Assumptions!$I$13:$I$32,-1)+1))),
"")</f>
        <v/>
      </c>
      <c r="AF19" s="95" t="str">
        <f>IFERROR(
IF(C19="VTS",
VLOOKUP(AE19,Assumptions!$I$38:$K$57,MATCH(P19,Assumptions!$I$37:$K$37,0),FALSE),
VLOOKUP(AE19,Assumptions!$I$13:$K$32,MATCH(P19,Assumptions!$I$12:$K$12,0),FALSE)),
"")</f>
        <v/>
      </c>
      <c r="AG19" s="95" t="str">
        <f t="shared" si="12"/>
        <v/>
      </c>
      <c r="AH19" s="95" t="str">
        <f>IFERROR(AG19*
(Assumptions!$S$7*(V19/(AK19*Assumptions!$AB$9/100)/O19)^3+
Assumptions!$S$8*(V19/(AK19*Assumptions!$AB$9/100)/O19)^2+
Assumptions!$S$9*(V19/(AK19*Assumptions!$AB$9/100)/O19)+
Assumptions!$S$10),"")</f>
        <v/>
      </c>
      <c r="AI19" s="95" t="str">
        <f>IFERROR(AG19*
(Assumptions!$S$7*(Z19/(AK19*Assumptions!$AB$8/100)/O19)^3+
Assumptions!$S$8*(Z19/(AK19*Assumptions!$AB$8/100)/O19)^2+
Assumptions!$S$9*(Z19/(AK19*Assumptions!$AB$8/100)/O19)+
Assumptions!$S$10),"")</f>
        <v/>
      </c>
      <c r="AJ19" s="95" t="str">
        <f>IFERROR(AG19*
(Assumptions!$S$7*(AD19/(AK19*Assumptions!$AB$10/100)/O19)^3+
Assumptions!$S$8*(AD19/(AK19*Assumptions!$AB$10/100)/O19)^2+
Assumptions!$S$9*(AD19/(AK19*Assumptions!$AB$10/100)/O19)+
Assumptions!$S$10),"")</f>
        <v/>
      </c>
      <c r="AK19" s="95" t="str">
        <f>IFERROR(
Assumptions!$AD$8*LN(S19)^2+
Assumptions!$AE$8*LN(R19)*LN(S19)+
Assumptions!$AF$8*LN(R19)^2+
Assumptions!$AG$8*LN(S19)+
Assumptions!$AH$8*LN(R19)-
(IF(Q19=1800,
VLOOKUP(C19,Assumptions!$AA$13:$AC$17,3),
IF(Q19=3600,
VLOOKUP(C19,Assumptions!$AA$18:$AC$22,3),
""))+Assumptions!$AI$8),
"")</f>
        <v/>
      </c>
      <c r="AL19" s="96" t="str">
        <f>IFERROR(
Assumptions!$D$11*(V19/(Assumptions!$AB$9*AK19/100)+AH19)+
Assumptions!$D$10*(Z19/(Assumptions!$AB$8*AK19/100)+AI19)+
Assumptions!$D$12*(AD19/(Assumptions!$AB$10*AK19/100)+AJ19),
"")</f>
        <v/>
      </c>
      <c r="AM19" s="67" t="str">
        <f>IFERROR(
U19*Assumptions!$D$11+
Y19*Assumptions!$D$10+
AC19*Assumptions!$D$12,
"")</f>
        <v/>
      </c>
      <c r="AN19" s="77" t="str">
        <f t="shared" si="13"/>
        <v/>
      </c>
      <c r="AO19" s="30" t="str">
        <f t="shared" si="14"/>
        <v/>
      </c>
    </row>
    <row r="20" spans="1:41" x14ac:dyDescent="0.25">
      <c r="A20" s="264"/>
      <c r="B20" s="265"/>
      <c r="C20" s="265"/>
      <c r="D20" s="265"/>
      <c r="E20" s="266"/>
      <c r="F20" s="270"/>
      <c r="G20" s="271"/>
      <c r="H20" s="272"/>
      <c r="I20" s="270"/>
      <c r="J20" s="308"/>
      <c r="K20" s="272"/>
      <c r="L20" s="270"/>
      <c r="M20" s="308"/>
      <c r="N20" s="310"/>
      <c r="O20" s="306"/>
      <c r="P20" s="84" t="str">
        <f t="shared" si="0"/>
        <v/>
      </c>
      <c r="Q20" s="84" t="str">
        <f t="shared" si="1"/>
        <v/>
      </c>
      <c r="R20" s="93" t="str">
        <f t="shared" si="2"/>
        <v/>
      </c>
      <c r="S20" s="100" t="str">
        <f t="shared" si="3"/>
        <v/>
      </c>
      <c r="T20" s="95" t="str">
        <f t="shared" si="4"/>
        <v/>
      </c>
      <c r="U20" s="95" t="str">
        <f t="shared" si="5"/>
        <v/>
      </c>
      <c r="V20" s="96" t="str">
        <f>IFERROR(S20*T20*Assumptions!$B$15/3956,"")</f>
        <v/>
      </c>
      <c r="W20" s="102" t="str">
        <f t="shared" si="6"/>
        <v/>
      </c>
      <c r="X20" s="95" t="str">
        <f t="shared" si="7"/>
        <v/>
      </c>
      <c r="Y20" s="95" t="str">
        <f t="shared" si="8"/>
        <v/>
      </c>
      <c r="Z20" s="96" t="str">
        <f>IFERROR(W20*X20*Assumptions!$B$15/3956,"")</f>
        <v/>
      </c>
      <c r="AA20" s="100" t="str">
        <f t="shared" si="9"/>
        <v/>
      </c>
      <c r="AB20" s="95" t="str">
        <f t="shared" si="10"/>
        <v/>
      </c>
      <c r="AC20" s="95" t="str">
        <f t="shared" si="11"/>
        <v/>
      </c>
      <c r="AD20" s="96" t="str">
        <f>IFERROR(AA20*AB20*Assumptions!$B$15/3956,"")</f>
        <v/>
      </c>
      <c r="AE20" s="244" t="str">
        <f>IFERROR(
IF(C20="VTS",
IF(O20&gt;=AVERAGE(
INDEX(Assumptions!$I$38:$I$57,MATCH(O20,Assumptions!$I$38:$I$57,-1)),
INDEX(Assumptions!$I$38:$I$57,MATCH(O20,Assumptions!$I$38:$I$57,-1)+1)),
INDEX(Assumptions!$I$38:$I$57,MATCH(O20,Assumptions!$I$38:$I$57,-1)),
INDEX(Assumptions!$I$38:$I$57,MATCH(O20,Assumptions!$I$38:$I$57,-1)+1)),
IF(O20&gt;=AVERAGE(
INDEX(Assumptions!$I$13:$I$32,MATCH(O20,Assumptions!$I$13:$I$32,-1)),
INDEX(Assumptions!$I$13:$I$32,MATCH(O20,Assumptions!$I$13:$I$32,-1)+1)),
INDEX(Assumptions!$I$13:$I$32,MATCH(O20,Assumptions!$I$13:$I$32,-1)),
INDEX(Assumptions!$I$13:$I$32,MATCH(O20,Assumptions!$I$13:$I$32,-1)+1))),
"")</f>
        <v/>
      </c>
      <c r="AF20" s="95" t="str">
        <f>IFERROR(
IF(C20="VTS",
VLOOKUP(AE20,Assumptions!$I$38:$K$57,MATCH(P20,Assumptions!$I$37:$K$37,0),FALSE),
VLOOKUP(AE20,Assumptions!$I$13:$K$32,MATCH(P20,Assumptions!$I$12:$K$12,0),FALSE)),
"")</f>
        <v/>
      </c>
      <c r="AG20" s="95" t="str">
        <f t="shared" si="12"/>
        <v/>
      </c>
      <c r="AH20" s="95" t="str">
        <f>IFERROR(AG20*
(Assumptions!$S$7*(V20/(AK20*Assumptions!$AB$9/100)/O20)^3+
Assumptions!$S$8*(V20/(AK20*Assumptions!$AB$9/100)/O20)^2+
Assumptions!$S$9*(V20/(AK20*Assumptions!$AB$9/100)/O20)+
Assumptions!$S$10),"")</f>
        <v/>
      </c>
      <c r="AI20" s="95" t="str">
        <f>IFERROR(AG20*
(Assumptions!$S$7*(Z20/(AK20*Assumptions!$AB$8/100)/O20)^3+
Assumptions!$S$8*(Z20/(AK20*Assumptions!$AB$8/100)/O20)^2+
Assumptions!$S$9*(Z20/(AK20*Assumptions!$AB$8/100)/O20)+
Assumptions!$S$10),"")</f>
        <v/>
      </c>
      <c r="AJ20" s="95" t="str">
        <f>IFERROR(AG20*
(Assumptions!$S$7*(AD20/(AK20*Assumptions!$AB$10/100)/O20)^3+
Assumptions!$S$8*(AD20/(AK20*Assumptions!$AB$10/100)/O20)^2+
Assumptions!$S$9*(AD20/(AK20*Assumptions!$AB$10/100)/O20)+
Assumptions!$S$10),"")</f>
        <v/>
      </c>
      <c r="AK20" s="95" t="str">
        <f>IFERROR(
Assumptions!$AD$8*LN(S20)^2+
Assumptions!$AE$8*LN(R20)*LN(S20)+
Assumptions!$AF$8*LN(R20)^2+
Assumptions!$AG$8*LN(S20)+
Assumptions!$AH$8*LN(R20)-
(IF(Q20=1800,
VLOOKUP(C20,Assumptions!$AA$13:$AC$17,3),
IF(Q20=3600,
VLOOKUP(C20,Assumptions!$AA$18:$AC$22,3),
""))+Assumptions!$AI$8),
"")</f>
        <v/>
      </c>
      <c r="AL20" s="96" t="str">
        <f>IFERROR(
Assumptions!$D$11*(V20/(Assumptions!$AB$9*AK20/100)+AH20)+
Assumptions!$D$10*(Z20/(Assumptions!$AB$8*AK20/100)+AI20)+
Assumptions!$D$12*(AD20/(Assumptions!$AB$10*AK20/100)+AJ20),
"")</f>
        <v/>
      </c>
      <c r="AM20" s="67" t="str">
        <f>IFERROR(
U20*Assumptions!$D$11+
Y20*Assumptions!$D$10+
AC20*Assumptions!$D$12,
"")</f>
        <v/>
      </c>
      <c r="AN20" s="77" t="str">
        <f t="shared" si="13"/>
        <v/>
      </c>
      <c r="AO20" s="30" t="str">
        <f t="shared" si="14"/>
        <v/>
      </c>
    </row>
    <row r="21" spans="1:41" x14ac:dyDescent="0.25">
      <c r="A21" s="264"/>
      <c r="B21" s="265"/>
      <c r="C21" s="265"/>
      <c r="D21" s="265"/>
      <c r="E21" s="266"/>
      <c r="F21" s="270"/>
      <c r="G21" s="271"/>
      <c r="H21" s="272"/>
      <c r="I21" s="270"/>
      <c r="J21" s="308"/>
      <c r="K21" s="272"/>
      <c r="L21" s="270"/>
      <c r="M21" s="308"/>
      <c r="N21" s="310"/>
      <c r="O21" s="306"/>
      <c r="P21" s="84" t="str">
        <f t="shared" si="0"/>
        <v/>
      </c>
      <c r="Q21" s="84" t="str">
        <f t="shared" si="1"/>
        <v/>
      </c>
      <c r="R21" s="93" t="str">
        <f t="shared" si="2"/>
        <v/>
      </c>
      <c r="S21" s="100" t="str">
        <f t="shared" si="3"/>
        <v/>
      </c>
      <c r="T21" s="95" t="str">
        <f t="shared" si="4"/>
        <v/>
      </c>
      <c r="U21" s="95" t="str">
        <f t="shared" si="5"/>
        <v/>
      </c>
      <c r="V21" s="96" t="str">
        <f>IFERROR(S21*T21*Assumptions!$B$15/3956,"")</f>
        <v/>
      </c>
      <c r="W21" s="102" t="str">
        <f t="shared" si="6"/>
        <v/>
      </c>
      <c r="X21" s="95" t="str">
        <f t="shared" si="7"/>
        <v/>
      </c>
      <c r="Y21" s="95" t="str">
        <f t="shared" si="8"/>
        <v/>
      </c>
      <c r="Z21" s="96" t="str">
        <f>IFERROR(W21*X21*Assumptions!$B$15/3956,"")</f>
        <v/>
      </c>
      <c r="AA21" s="100" t="str">
        <f t="shared" si="9"/>
        <v/>
      </c>
      <c r="AB21" s="95" t="str">
        <f t="shared" si="10"/>
        <v/>
      </c>
      <c r="AC21" s="95" t="str">
        <f t="shared" si="11"/>
        <v/>
      </c>
      <c r="AD21" s="96" t="str">
        <f>IFERROR(AA21*AB21*Assumptions!$B$15/3956,"")</f>
        <v/>
      </c>
      <c r="AE21" s="244" t="str">
        <f>IFERROR(
IF(C21="VTS",
IF(O21&gt;=AVERAGE(
INDEX(Assumptions!$I$38:$I$57,MATCH(O21,Assumptions!$I$38:$I$57,-1)),
INDEX(Assumptions!$I$38:$I$57,MATCH(O21,Assumptions!$I$38:$I$57,-1)+1)),
INDEX(Assumptions!$I$38:$I$57,MATCH(O21,Assumptions!$I$38:$I$57,-1)),
INDEX(Assumptions!$I$38:$I$57,MATCH(O21,Assumptions!$I$38:$I$57,-1)+1)),
IF(O21&gt;=AVERAGE(
INDEX(Assumptions!$I$13:$I$32,MATCH(O21,Assumptions!$I$13:$I$32,-1)),
INDEX(Assumptions!$I$13:$I$32,MATCH(O21,Assumptions!$I$13:$I$32,-1)+1)),
INDEX(Assumptions!$I$13:$I$32,MATCH(O21,Assumptions!$I$13:$I$32,-1)),
INDEX(Assumptions!$I$13:$I$32,MATCH(O21,Assumptions!$I$13:$I$32,-1)+1))),
"")</f>
        <v/>
      </c>
      <c r="AF21" s="95" t="str">
        <f>IFERROR(
IF(C21="VTS",
VLOOKUP(AE21,Assumptions!$I$38:$K$57,MATCH(P21,Assumptions!$I$37:$K$37,0),FALSE),
VLOOKUP(AE21,Assumptions!$I$13:$K$32,MATCH(P21,Assumptions!$I$12:$K$12,0),FALSE)),
"")</f>
        <v/>
      </c>
      <c r="AG21" s="95" t="str">
        <f t="shared" si="12"/>
        <v/>
      </c>
      <c r="AH21" s="95" t="str">
        <f>IFERROR(AG21*
(Assumptions!$S$7*(V21/(AK21*Assumptions!$AB$9/100)/O21)^3+
Assumptions!$S$8*(V21/(AK21*Assumptions!$AB$9/100)/O21)^2+
Assumptions!$S$9*(V21/(AK21*Assumptions!$AB$9/100)/O21)+
Assumptions!$S$10),"")</f>
        <v/>
      </c>
      <c r="AI21" s="95" t="str">
        <f>IFERROR(AG21*
(Assumptions!$S$7*(Z21/(AK21*Assumptions!$AB$8/100)/O21)^3+
Assumptions!$S$8*(Z21/(AK21*Assumptions!$AB$8/100)/O21)^2+
Assumptions!$S$9*(Z21/(AK21*Assumptions!$AB$8/100)/O21)+
Assumptions!$S$10),"")</f>
        <v/>
      </c>
      <c r="AJ21" s="95" t="str">
        <f>IFERROR(AG21*
(Assumptions!$S$7*(AD21/(AK21*Assumptions!$AB$10/100)/O21)^3+
Assumptions!$S$8*(AD21/(AK21*Assumptions!$AB$10/100)/O21)^2+
Assumptions!$S$9*(AD21/(AK21*Assumptions!$AB$10/100)/O21)+
Assumptions!$S$10),"")</f>
        <v/>
      </c>
      <c r="AK21" s="95" t="str">
        <f>IFERROR(
Assumptions!$AD$8*LN(S21)^2+
Assumptions!$AE$8*LN(R21)*LN(S21)+
Assumptions!$AF$8*LN(R21)^2+
Assumptions!$AG$8*LN(S21)+
Assumptions!$AH$8*LN(R21)-
(IF(Q21=1800,
VLOOKUP(C21,Assumptions!$AA$13:$AC$17,3),
IF(Q21=3600,
VLOOKUP(C21,Assumptions!$AA$18:$AC$22,3),
""))+Assumptions!$AI$8),
"")</f>
        <v/>
      </c>
      <c r="AL21" s="96" t="str">
        <f>IFERROR(
Assumptions!$D$11*(V21/(Assumptions!$AB$9*AK21/100)+AH21)+
Assumptions!$D$10*(Z21/(Assumptions!$AB$8*AK21/100)+AI21)+
Assumptions!$D$12*(AD21/(Assumptions!$AB$10*AK21/100)+AJ21),
"")</f>
        <v/>
      </c>
      <c r="AM21" s="67" t="str">
        <f>IFERROR(
U21*Assumptions!$D$11+
Y21*Assumptions!$D$10+
AC21*Assumptions!$D$12,
"")</f>
        <v/>
      </c>
      <c r="AN21" s="77" t="str">
        <f t="shared" si="13"/>
        <v/>
      </c>
      <c r="AO21" s="30" t="str">
        <f t="shared" si="14"/>
        <v/>
      </c>
    </row>
    <row r="22" spans="1:41" x14ac:dyDescent="0.25">
      <c r="A22" s="264"/>
      <c r="B22" s="265"/>
      <c r="C22" s="265"/>
      <c r="D22" s="265"/>
      <c r="E22" s="266"/>
      <c r="F22" s="270"/>
      <c r="G22" s="271"/>
      <c r="H22" s="272"/>
      <c r="I22" s="270"/>
      <c r="J22" s="308"/>
      <c r="K22" s="272"/>
      <c r="L22" s="270"/>
      <c r="M22" s="308"/>
      <c r="N22" s="310"/>
      <c r="O22" s="306"/>
      <c r="P22" s="84" t="str">
        <f t="shared" si="0"/>
        <v/>
      </c>
      <c r="Q22" s="84" t="str">
        <f t="shared" si="1"/>
        <v/>
      </c>
      <c r="R22" s="93" t="str">
        <f t="shared" si="2"/>
        <v/>
      </c>
      <c r="S22" s="100" t="str">
        <f t="shared" si="3"/>
        <v/>
      </c>
      <c r="T22" s="95" t="str">
        <f t="shared" si="4"/>
        <v/>
      </c>
      <c r="U22" s="95" t="str">
        <f t="shared" si="5"/>
        <v/>
      </c>
      <c r="V22" s="96" t="str">
        <f>IFERROR(S22*T22*Assumptions!$B$15/3956,"")</f>
        <v/>
      </c>
      <c r="W22" s="102" t="str">
        <f t="shared" si="6"/>
        <v/>
      </c>
      <c r="X22" s="95" t="str">
        <f t="shared" si="7"/>
        <v/>
      </c>
      <c r="Y22" s="95" t="str">
        <f t="shared" si="8"/>
        <v/>
      </c>
      <c r="Z22" s="96" t="str">
        <f>IFERROR(W22*X22*Assumptions!$B$15/3956,"")</f>
        <v/>
      </c>
      <c r="AA22" s="100" t="str">
        <f t="shared" si="9"/>
        <v/>
      </c>
      <c r="AB22" s="95" t="str">
        <f t="shared" si="10"/>
        <v/>
      </c>
      <c r="AC22" s="95" t="str">
        <f t="shared" si="11"/>
        <v/>
      </c>
      <c r="AD22" s="96" t="str">
        <f>IFERROR(AA22*AB22*Assumptions!$B$15/3956,"")</f>
        <v/>
      </c>
      <c r="AE22" s="244" t="str">
        <f>IFERROR(
IF(C22="VTS",
IF(O22&gt;=AVERAGE(
INDEX(Assumptions!$I$38:$I$57,MATCH(O22,Assumptions!$I$38:$I$57,-1)),
INDEX(Assumptions!$I$38:$I$57,MATCH(O22,Assumptions!$I$38:$I$57,-1)+1)),
INDEX(Assumptions!$I$38:$I$57,MATCH(O22,Assumptions!$I$38:$I$57,-1)),
INDEX(Assumptions!$I$38:$I$57,MATCH(O22,Assumptions!$I$38:$I$57,-1)+1)),
IF(O22&gt;=AVERAGE(
INDEX(Assumptions!$I$13:$I$32,MATCH(O22,Assumptions!$I$13:$I$32,-1)),
INDEX(Assumptions!$I$13:$I$32,MATCH(O22,Assumptions!$I$13:$I$32,-1)+1)),
INDEX(Assumptions!$I$13:$I$32,MATCH(O22,Assumptions!$I$13:$I$32,-1)),
INDEX(Assumptions!$I$13:$I$32,MATCH(O22,Assumptions!$I$13:$I$32,-1)+1))),
"")</f>
        <v/>
      </c>
      <c r="AF22" s="95" t="str">
        <f>IFERROR(
IF(C22="VTS",
VLOOKUP(AE22,Assumptions!$I$38:$K$57,MATCH(P22,Assumptions!$I$37:$K$37,0),FALSE),
VLOOKUP(AE22,Assumptions!$I$13:$K$32,MATCH(P22,Assumptions!$I$12:$K$12,0),FALSE)),
"")</f>
        <v/>
      </c>
      <c r="AG22" s="95" t="str">
        <f t="shared" si="12"/>
        <v/>
      </c>
      <c r="AH22" s="95" t="str">
        <f>IFERROR(AG22*
(Assumptions!$S$7*(V22/(AK22*Assumptions!$AB$9/100)/O22)^3+
Assumptions!$S$8*(V22/(AK22*Assumptions!$AB$9/100)/O22)^2+
Assumptions!$S$9*(V22/(AK22*Assumptions!$AB$9/100)/O22)+
Assumptions!$S$10),"")</f>
        <v/>
      </c>
      <c r="AI22" s="95" t="str">
        <f>IFERROR(AG22*
(Assumptions!$S$7*(Z22/(AK22*Assumptions!$AB$8/100)/O22)^3+
Assumptions!$S$8*(Z22/(AK22*Assumptions!$AB$8/100)/O22)^2+
Assumptions!$S$9*(Z22/(AK22*Assumptions!$AB$8/100)/O22)+
Assumptions!$S$10),"")</f>
        <v/>
      </c>
      <c r="AJ22" s="95" t="str">
        <f>IFERROR(AG22*
(Assumptions!$S$7*(AD22/(AK22*Assumptions!$AB$10/100)/O22)^3+
Assumptions!$S$8*(AD22/(AK22*Assumptions!$AB$10/100)/O22)^2+
Assumptions!$S$9*(AD22/(AK22*Assumptions!$AB$10/100)/O22)+
Assumptions!$S$10),"")</f>
        <v/>
      </c>
      <c r="AK22" s="95" t="str">
        <f>IFERROR(
Assumptions!$AD$8*LN(S22)^2+
Assumptions!$AE$8*LN(R22)*LN(S22)+
Assumptions!$AF$8*LN(R22)^2+
Assumptions!$AG$8*LN(S22)+
Assumptions!$AH$8*LN(R22)-
(IF(Q22=1800,
VLOOKUP(C22,Assumptions!$AA$13:$AC$17,3),
IF(Q22=3600,
VLOOKUP(C22,Assumptions!$AA$18:$AC$22,3),
""))+Assumptions!$AI$8),
"")</f>
        <v/>
      </c>
      <c r="AL22" s="96" t="str">
        <f>IFERROR(
Assumptions!$D$11*(V22/(Assumptions!$AB$9*AK22/100)+AH22)+
Assumptions!$D$10*(Z22/(Assumptions!$AB$8*AK22/100)+AI22)+
Assumptions!$D$12*(AD22/(Assumptions!$AB$10*AK22/100)+AJ22),
"")</f>
        <v/>
      </c>
      <c r="AM22" s="67" t="str">
        <f>IFERROR(
U22*Assumptions!$D$11+
Y22*Assumptions!$D$10+
AC22*Assumptions!$D$12,
"")</f>
        <v/>
      </c>
      <c r="AN22" s="77" t="str">
        <f t="shared" si="13"/>
        <v/>
      </c>
      <c r="AO22" s="30" t="str">
        <f t="shared" si="14"/>
        <v/>
      </c>
    </row>
    <row r="23" spans="1:41" x14ac:dyDescent="0.25">
      <c r="A23" s="264"/>
      <c r="B23" s="265"/>
      <c r="C23" s="265"/>
      <c r="D23" s="265"/>
      <c r="E23" s="266"/>
      <c r="F23" s="270"/>
      <c r="G23" s="271"/>
      <c r="H23" s="272"/>
      <c r="I23" s="270"/>
      <c r="J23" s="308"/>
      <c r="K23" s="272"/>
      <c r="L23" s="270"/>
      <c r="M23" s="308"/>
      <c r="N23" s="310"/>
      <c r="O23" s="306"/>
      <c r="P23" s="84" t="str">
        <f t="shared" si="0"/>
        <v/>
      </c>
      <c r="Q23" s="84" t="str">
        <f t="shared" si="1"/>
        <v/>
      </c>
      <c r="R23" s="93" t="str">
        <f t="shared" si="2"/>
        <v/>
      </c>
      <c r="S23" s="100" t="str">
        <f t="shared" si="3"/>
        <v/>
      </c>
      <c r="T23" s="95" t="str">
        <f t="shared" si="4"/>
        <v/>
      </c>
      <c r="U23" s="95" t="str">
        <f t="shared" si="5"/>
        <v/>
      </c>
      <c r="V23" s="96" t="str">
        <f>IFERROR(S23*T23*Assumptions!$B$15/3956,"")</f>
        <v/>
      </c>
      <c r="W23" s="102" t="str">
        <f t="shared" si="6"/>
        <v/>
      </c>
      <c r="X23" s="95" t="str">
        <f t="shared" si="7"/>
        <v/>
      </c>
      <c r="Y23" s="95" t="str">
        <f t="shared" si="8"/>
        <v/>
      </c>
      <c r="Z23" s="96" t="str">
        <f>IFERROR(W23*X23*Assumptions!$B$15/3956,"")</f>
        <v/>
      </c>
      <c r="AA23" s="100" t="str">
        <f t="shared" si="9"/>
        <v/>
      </c>
      <c r="AB23" s="95" t="str">
        <f t="shared" si="10"/>
        <v/>
      </c>
      <c r="AC23" s="95" t="str">
        <f t="shared" si="11"/>
        <v/>
      </c>
      <c r="AD23" s="96" t="str">
        <f>IFERROR(AA23*AB23*Assumptions!$B$15/3956,"")</f>
        <v/>
      </c>
      <c r="AE23" s="244" t="str">
        <f>IFERROR(
IF(C23="VTS",
IF(O23&gt;=AVERAGE(
INDEX(Assumptions!$I$38:$I$57,MATCH(O23,Assumptions!$I$38:$I$57,-1)),
INDEX(Assumptions!$I$38:$I$57,MATCH(O23,Assumptions!$I$38:$I$57,-1)+1)),
INDEX(Assumptions!$I$38:$I$57,MATCH(O23,Assumptions!$I$38:$I$57,-1)),
INDEX(Assumptions!$I$38:$I$57,MATCH(O23,Assumptions!$I$38:$I$57,-1)+1)),
IF(O23&gt;=AVERAGE(
INDEX(Assumptions!$I$13:$I$32,MATCH(O23,Assumptions!$I$13:$I$32,-1)),
INDEX(Assumptions!$I$13:$I$32,MATCH(O23,Assumptions!$I$13:$I$32,-1)+1)),
INDEX(Assumptions!$I$13:$I$32,MATCH(O23,Assumptions!$I$13:$I$32,-1)),
INDEX(Assumptions!$I$13:$I$32,MATCH(O23,Assumptions!$I$13:$I$32,-1)+1))),
"")</f>
        <v/>
      </c>
      <c r="AF23" s="95" t="str">
        <f>IFERROR(
IF(C23="VTS",
VLOOKUP(AE23,Assumptions!$I$38:$K$57,MATCH(P23,Assumptions!$I$37:$K$37,0),FALSE),
VLOOKUP(AE23,Assumptions!$I$13:$K$32,MATCH(P23,Assumptions!$I$12:$K$12,0),FALSE)),
"")</f>
        <v/>
      </c>
      <c r="AG23" s="95" t="str">
        <f t="shared" si="12"/>
        <v/>
      </c>
      <c r="AH23" s="95" t="str">
        <f>IFERROR(AG23*
(Assumptions!$S$7*(V23/(AK23*Assumptions!$AB$9/100)/O23)^3+
Assumptions!$S$8*(V23/(AK23*Assumptions!$AB$9/100)/O23)^2+
Assumptions!$S$9*(V23/(AK23*Assumptions!$AB$9/100)/O23)+
Assumptions!$S$10),"")</f>
        <v/>
      </c>
      <c r="AI23" s="95" t="str">
        <f>IFERROR(AG23*
(Assumptions!$S$7*(Z23/(AK23*Assumptions!$AB$8/100)/O23)^3+
Assumptions!$S$8*(Z23/(AK23*Assumptions!$AB$8/100)/O23)^2+
Assumptions!$S$9*(Z23/(AK23*Assumptions!$AB$8/100)/O23)+
Assumptions!$S$10),"")</f>
        <v/>
      </c>
      <c r="AJ23" s="95" t="str">
        <f>IFERROR(AG23*
(Assumptions!$S$7*(AD23/(AK23*Assumptions!$AB$10/100)/O23)^3+
Assumptions!$S$8*(AD23/(AK23*Assumptions!$AB$10/100)/O23)^2+
Assumptions!$S$9*(AD23/(AK23*Assumptions!$AB$10/100)/O23)+
Assumptions!$S$10),"")</f>
        <v/>
      </c>
      <c r="AK23" s="95" t="str">
        <f>IFERROR(
Assumptions!$AD$8*LN(S23)^2+
Assumptions!$AE$8*LN(R23)*LN(S23)+
Assumptions!$AF$8*LN(R23)^2+
Assumptions!$AG$8*LN(S23)+
Assumptions!$AH$8*LN(R23)-
(IF(Q23=1800,
VLOOKUP(C23,Assumptions!$AA$13:$AC$17,3),
IF(Q23=3600,
VLOOKUP(C23,Assumptions!$AA$18:$AC$22,3),
""))+Assumptions!$AI$8),
"")</f>
        <v/>
      </c>
      <c r="AL23" s="96" t="str">
        <f>IFERROR(
Assumptions!$D$11*(V23/(Assumptions!$AB$9*AK23/100)+AH23)+
Assumptions!$D$10*(Z23/(Assumptions!$AB$8*AK23/100)+AI23)+
Assumptions!$D$12*(AD23/(Assumptions!$AB$10*AK23/100)+AJ23),
"")</f>
        <v/>
      </c>
      <c r="AM23" s="67" t="str">
        <f>IFERROR(
U23*Assumptions!$D$11+
Y23*Assumptions!$D$10+
AC23*Assumptions!$D$12,
"")</f>
        <v/>
      </c>
      <c r="AN23" s="77" t="str">
        <f t="shared" si="13"/>
        <v/>
      </c>
      <c r="AO23" s="30" t="str">
        <f t="shared" si="14"/>
        <v/>
      </c>
    </row>
    <row r="24" spans="1:41" x14ac:dyDescent="0.25">
      <c r="A24" s="264"/>
      <c r="B24" s="265"/>
      <c r="C24" s="265"/>
      <c r="D24" s="265"/>
      <c r="E24" s="266"/>
      <c r="F24" s="270"/>
      <c r="G24" s="271"/>
      <c r="H24" s="272"/>
      <c r="I24" s="270"/>
      <c r="J24" s="308"/>
      <c r="K24" s="272"/>
      <c r="L24" s="270"/>
      <c r="M24" s="308"/>
      <c r="N24" s="310"/>
      <c r="O24" s="306"/>
      <c r="P24" s="84" t="str">
        <f t="shared" si="0"/>
        <v/>
      </c>
      <c r="Q24" s="84" t="str">
        <f t="shared" si="1"/>
        <v/>
      </c>
      <c r="R24" s="93" t="str">
        <f t="shared" si="2"/>
        <v/>
      </c>
      <c r="S24" s="100" t="str">
        <f t="shared" si="3"/>
        <v/>
      </c>
      <c r="T24" s="95" t="str">
        <f t="shared" si="4"/>
        <v/>
      </c>
      <c r="U24" s="95" t="str">
        <f t="shared" si="5"/>
        <v/>
      </c>
      <c r="V24" s="96" t="str">
        <f>IFERROR(S24*T24*Assumptions!$B$15/3956,"")</f>
        <v/>
      </c>
      <c r="W24" s="102" t="str">
        <f t="shared" si="6"/>
        <v/>
      </c>
      <c r="X24" s="95" t="str">
        <f t="shared" si="7"/>
        <v/>
      </c>
      <c r="Y24" s="95" t="str">
        <f t="shared" si="8"/>
        <v/>
      </c>
      <c r="Z24" s="96" t="str">
        <f>IFERROR(W24*X24*Assumptions!$B$15/3956,"")</f>
        <v/>
      </c>
      <c r="AA24" s="100" t="str">
        <f t="shared" si="9"/>
        <v/>
      </c>
      <c r="AB24" s="95" t="str">
        <f t="shared" si="10"/>
        <v/>
      </c>
      <c r="AC24" s="95" t="str">
        <f t="shared" si="11"/>
        <v/>
      </c>
      <c r="AD24" s="96" t="str">
        <f>IFERROR(AA24*AB24*Assumptions!$B$15/3956,"")</f>
        <v/>
      </c>
      <c r="AE24" s="244" t="str">
        <f>IFERROR(
IF(C24="VTS",
IF(O24&gt;=AVERAGE(
INDEX(Assumptions!$I$38:$I$57,MATCH(O24,Assumptions!$I$38:$I$57,-1)),
INDEX(Assumptions!$I$38:$I$57,MATCH(O24,Assumptions!$I$38:$I$57,-1)+1)),
INDEX(Assumptions!$I$38:$I$57,MATCH(O24,Assumptions!$I$38:$I$57,-1)),
INDEX(Assumptions!$I$38:$I$57,MATCH(O24,Assumptions!$I$38:$I$57,-1)+1)),
IF(O24&gt;=AVERAGE(
INDEX(Assumptions!$I$13:$I$32,MATCH(O24,Assumptions!$I$13:$I$32,-1)),
INDEX(Assumptions!$I$13:$I$32,MATCH(O24,Assumptions!$I$13:$I$32,-1)+1)),
INDEX(Assumptions!$I$13:$I$32,MATCH(O24,Assumptions!$I$13:$I$32,-1)),
INDEX(Assumptions!$I$13:$I$32,MATCH(O24,Assumptions!$I$13:$I$32,-1)+1))),
"")</f>
        <v/>
      </c>
      <c r="AF24" s="95" t="str">
        <f>IFERROR(
IF(C24="VTS",
VLOOKUP(AE24,Assumptions!$I$38:$K$57,MATCH(P24,Assumptions!$I$37:$K$37,0),FALSE),
VLOOKUP(AE24,Assumptions!$I$13:$K$32,MATCH(P24,Assumptions!$I$12:$K$12,0),FALSE)),
"")</f>
        <v/>
      </c>
      <c r="AG24" s="95" t="str">
        <f t="shared" si="12"/>
        <v/>
      </c>
      <c r="AH24" s="95" t="str">
        <f>IFERROR(AG24*
(Assumptions!$S$7*(V24/(AK24*Assumptions!$AB$9/100)/O24)^3+
Assumptions!$S$8*(V24/(AK24*Assumptions!$AB$9/100)/O24)^2+
Assumptions!$S$9*(V24/(AK24*Assumptions!$AB$9/100)/O24)+
Assumptions!$S$10),"")</f>
        <v/>
      </c>
      <c r="AI24" s="95" t="str">
        <f>IFERROR(AG24*
(Assumptions!$S$7*(Z24/(AK24*Assumptions!$AB$8/100)/O24)^3+
Assumptions!$S$8*(Z24/(AK24*Assumptions!$AB$8/100)/O24)^2+
Assumptions!$S$9*(Z24/(AK24*Assumptions!$AB$8/100)/O24)+
Assumptions!$S$10),"")</f>
        <v/>
      </c>
      <c r="AJ24" s="95" t="str">
        <f>IFERROR(AG24*
(Assumptions!$S$7*(AD24/(AK24*Assumptions!$AB$10/100)/O24)^3+
Assumptions!$S$8*(AD24/(AK24*Assumptions!$AB$10/100)/O24)^2+
Assumptions!$S$9*(AD24/(AK24*Assumptions!$AB$10/100)/O24)+
Assumptions!$S$10),"")</f>
        <v/>
      </c>
      <c r="AK24" s="95" t="str">
        <f>IFERROR(
Assumptions!$AD$8*LN(S24)^2+
Assumptions!$AE$8*LN(R24)*LN(S24)+
Assumptions!$AF$8*LN(R24)^2+
Assumptions!$AG$8*LN(S24)+
Assumptions!$AH$8*LN(R24)-
(IF(Q24=1800,
VLOOKUP(C24,Assumptions!$AA$13:$AC$17,3),
IF(Q24=3600,
VLOOKUP(C24,Assumptions!$AA$18:$AC$22,3),
""))+Assumptions!$AI$8),
"")</f>
        <v/>
      </c>
      <c r="AL24" s="96" t="str">
        <f>IFERROR(
Assumptions!$D$11*(V24/(Assumptions!$AB$9*AK24/100)+AH24)+
Assumptions!$D$10*(Z24/(Assumptions!$AB$8*AK24/100)+AI24)+
Assumptions!$D$12*(AD24/(Assumptions!$AB$10*AK24/100)+AJ24),
"")</f>
        <v/>
      </c>
      <c r="AM24" s="67" t="str">
        <f>IFERROR(
U24*Assumptions!$D$11+
Y24*Assumptions!$D$10+
AC24*Assumptions!$D$12,
"")</f>
        <v/>
      </c>
      <c r="AN24" s="77" t="str">
        <f t="shared" si="13"/>
        <v/>
      </c>
      <c r="AO24" s="30" t="str">
        <f t="shared" si="14"/>
        <v/>
      </c>
    </row>
    <row r="25" spans="1:41" x14ac:dyDescent="0.25">
      <c r="A25" s="264"/>
      <c r="B25" s="265"/>
      <c r="C25" s="265"/>
      <c r="D25" s="265"/>
      <c r="E25" s="266"/>
      <c r="F25" s="270"/>
      <c r="G25" s="271"/>
      <c r="H25" s="272"/>
      <c r="I25" s="270"/>
      <c r="J25" s="308"/>
      <c r="K25" s="272"/>
      <c r="L25" s="270"/>
      <c r="M25" s="308"/>
      <c r="N25" s="310"/>
      <c r="O25" s="306"/>
      <c r="P25" s="84" t="str">
        <f t="shared" si="0"/>
        <v/>
      </c>
      <c r="Q25" s="84" t="str">
        <f t="shared" si="1"/>
        <v/>
      </c>
      <c r="R25" s="93" t="str">
        <f t="shared" si="2"/>
        <v/>
      </c>
      <c r="S25" s="100" t="str">
        <f t="shared" si="3"/>
        <v/>
      </c>
      <c r="T25" s="95" t="str">
        <f t="shared" si="4"/>
        <v/>
      </c>
      <c r="U25" s="95" t="str">
        <f t="shared" si="5"/>
        <v/>
      </c>
      <c r="V25" s="96" t="str">
        <f>IFERROR(S25*T25*Assumptions!$B$15/3956,"")</f>
        <v/>
      </c>
      <c r="W25" s="102" t="str">
        <f t="shared" si="6"/>
        <v/>
      </c>
      <c r="X25" s="95" t="str">
        <f t="shared" si="7"/>
        <v/>
      </c>
      <c r="Y25" s="95" t="str">
        <f t="shared" si="8"/>
        <v/>
      </c>
      <c r="Z25" s="96" t="str">
        <f>IFERROR(W25*X25*Assumptions!$B$15/3956,"")</f>
        <v/>
      </c>
      <c r="AA25" s="100" t="str">
        <f t="shared" si="9"/>
        <v/>
      </c>
      <c r="AB25" s="95" t="str">
        <f t="shared" si="10"/>
        <v/>
      </c>
      <c r="AC25" s="95" t="str">
        <f t="shared" si="11"/>
        <v/>
      </c>
      <c r="AD25" s="96" t="str">
        <f>IFERROR(AA25*AB25*Assumptions!$B$15/3956,"")</f>
        <v/>
      </c>
      <c r="AE25" s="244" t="str">
        <f>IFERROR(
IF(C25="VTS",
IF(O25&gt;=AVERAGE(
INDEX(Assumptions!$I$38:$I$57,MATCH(O25,Assumptions!$I$38:$I$57,-1)),
INDEX(Assumptions!$I$38:$I$57,MATCH(O25,Assumptions!$I$38:$I$57,-1)+1)),
INDEX(Assumptions!$I$38:$I$57,MATCH(O25,Assumptions!$I$38:$I$57,-1)),
INDEX(Assumptions!$I$38:$I$57,MATCH(O25,Assumptions!$I$38:$I$57,-1)+1)),
IF(O25&gt;=AVERAGE(
INDEX(Assumptions!$I$13:$I$32,MATCH(O25,Assumptions!$I$13:$I$32,-1)),
INDEX(Assumptions!$I$13:$I$32,MATCH(O25,Assumptions!$I$13:$I$32,-1)+1)),
INDEX(Assumptions!$I$13:$I$32,MATCH(O25,Assumptions!$I$13:$I$32,-1)),
INDEX(Assumptions!$I$13:$I$32,MATCH(O25,Assumptions!$I$13:$I$32,-1)+1))),
"")</f>
        <v/>
      </c>
      <c r="AF25" s="95" t="str">
        <f>IFERROR(
IF(C25="VTS",
VLOOKUP(AE25,Assumptions!$I$38:$K$57,MATCH(P25,Assumptions!$I$37:$K$37,0),FALSE),
VLOOKUP(AE25,Assumptions!$I$13:$K$32,MATCH(P25,Assumptions!$I$12:$K$12,0),FALSE)),
"")</f>
        <v/>
      </c>
      <c r="AG25" s="95" t="str">
        <f t="shared" si="12"/>
        <v/>
      </c>
      <c r="AH25" s="95" t="str">
        <f>IFERROR(AG25*
(Assumptions!$S$7*(V25/(AK25*Assumptions!$AB$9/100)/O25)^3+
Assumptions!$S$8*(V25/(AK25*Assumptions!$AB$9/100)/O25)^2+
Assumptions!$S$9*(V25/(AK25*Assumptions!$AB$9/100)/O25)+
Assumptions!$S$10),"")</f>
        <v/>
      </c>
      <c r="AI25" s="95" t="str">
        <f>IFERROR(AG25*
(Assumptions!$S$7*(Z25/(AK25*Assumptions!$AB$8/100)/O25)^3+
Assumptions!$S$8*(Z25/(AK25*Assumptions!$AB$8/100)/O25)^2+
Assumptions!$S$9*(Z25/(AK25*Assumptions!$AB$8/100)/O25)+
Assumptions!$S$10),"")</f>
        <v/>
      </c>
      <c r="AJ25" s="95" t="str">
        <f>IFERROR(AG25*
(Assumptions!$S$7*(AD25/(AK25*Assumptions!$AB$10/100)/O25)^3+
Assumptions!$S$8*(AD25/(AK25*Assumptions!$AB$10/100)/O25)^2+
Assumptions!$S$9*(AD25/(AK25*Assumptions!$AB$10/100)/O25)+
Assumptions!$S$10),"")</f>
        <v/>
      </c>
      <c r="AK25" s="95" t="str">
        <f>IFERROR(
Assumptions!$AD$8*LN(S25)^2+
Assumptions!$AE$8*LN(R25)*LN(S25)+
Assumptions!$AF$8*LN(R25)^2+
Assumptions!$AG$8*LN(S25)+
Assumptions!$AH$8*LN(R25)-
(IF(Q25=1800,
VLOOKUP(C25,Assumptions!$AA$13:$AC$17,3),
IF(Q25=3600,
VLOOKUP(C25,Assumptions!$AA$18:$AC$22,3),
""))+Assumptions!$AI$8),
"")</f>
        <v/>
      </c>
      <c r="AL25" s="96" t="str">
        <f>IFERROR(
Assumptions!$D$11*(V25/(Assumptions!$AB$9*AK25/100)+AH25)+
Assumptions!$D$10*(Z25/(Assumptions!$AB$8*AK25/100)+AI25)+
Assumptions!$D$12*(AD25/(Assumptions!$AB$10*AK25/100)+AJ25),
"")</f>
        <v/>
      </c>
      <c r="AM25" s="67" t="str">
        <f>IFERROR(
U25*Assumptions!$D$11+
Y25*Assumptions!$D$10+
AC25*Assumptions!$D$12,
"")</f>
        <v/>
      </c>
      <c r="AN25" s="77" t="str">
        <f t="shared" si="13"/>
        <v/>
      </c>
      <c r="AO25" s="30" t="str">
        <f t="shared" si="14"/>
        <v/>
      </c>
    </row>
    <row r="26" spans="1:41" x14ac:dyDescent="0.25">
      <c r="A26" s="264"/>
      <c r="B26" s="265"/>
      <c r="C26" s="265"/>
      <c r="D26" s="265"/>
      <c r="E26" s="266"/>
      <c r="F26" s="270"/>
      <c r="G26" s="271"/>
      <c r="H26" s="272"/>
      <c r="I26" s="270"/>
      <c r="J26" s="308"/>
      <c r="K26" s="272"/>
      <c r="L26" s="270"/>
      <c r="M26" s="308"/>
      <c r="N26" s="310"/>
      <c r="O26" s="306"/>
      <c r="P26" s="84" t="str">
        <f t="shared" si="0"/>
        <v/>
      </c>
      <c r="Q26" s="84" t="str">
        <f t="shared" si="1"/>
        <v/>
      </c>
      <c r="R26" s="93" t="str">
        <f t="shared" si="2"/>
        <v/>
      </c>
      <c r="S26" s="100" t="str">
        <f t="shared" si="3"/>
        <v/>
      </c>
      <c r="T26" s="95" t="str">
        <f t="shared" si="4"/>
        <v/>
      </c>
      <c r="U26" s="95" t="str">
        <f t="shared" si="5"/>
        <v/>
      </c>
      <c r="V26" s="96" t="str">
        <f>IFERROR(S26*T26*Assumptions!$B$15/3956,"")</f>
        <v/>
      </c>
      <c r="W26" s="102" t="str">
        <f t="shared" si="6"/>
        <v/>
      </c>
      <c r="X26" s="95" t="str">
        <f t="shared" si="7"/>
        <v/>
      </c>
      <c r="Y26" s="95" t="str">
        <f t="shared" si="8"/>
        <v/>
      </c>
      <c r="Z26" s="96" t="str">
        <f>IFERROR(W26*X26*Assumptions!$B$15/3956,"")</f>
        <v/>
      </c>
      <c r="AA26" s="100" t="str">
        <f t="shared" si="9"/>
        <v/>
      </c>
      <c r="AB26" s="95" t="str">
        <f t="shared" si="10"/>
        <v/>
      </c>
      <c r="AC26" s="95" t="str">
        <f t="shared" si="11"/>
        <v/>
      </c>
      <c r="AD26" s="96" t="str">
        <f>IFERROR(AA26*AB26*Assumptions!$B$15/3956,"")</f>
        <v/>
      </c>
      <c r="AE26" s="244" t="str">
        <f>IFERROR(
IF(C26="VTS",
IF(O26&gt;=AVERAGE(
INDEX(Assumptions!$I$38:$I$57,MATCH(O26,Assumptions!$I$38:$I$57,-1)),
INDEX(Assumptions!$I$38:$I$57,MATCH(O26,Assumptions!$I$38:$I$57,-1)+1)),
INDEX(Assumptions!$I$38:$I$57,MATCH(O26,Assumptions!$I$38:$I$57,-1)),
INDEX(Assumptions!$I$38:$I$57,MATCH(O26,Assumptions!$I$38:$I$57,-1)+1)),
IF(O26&gt;=AVERAGE(
INDEX(Assumptions!$I$13:$I$32,MATCH(O26,Assumptions!$I$13:$I$32,-1)),
INDEX(Assumptions!$I$13:$I$32,MATCH(O26,Assumptions!$I$13:$I$32,-1)+1)),
INDEX(Assumptions!$I$13:$I$32,MATCH(O26,Assumptions!$I$13:$I$32,-1)),
INDEX(Assumptions!$I$13:$I$32,MATCH(O26,Assumptions!$I$13:$I$32,-1)+1))),
"")</f>
        <v/>
      </c>
      <c r="AF26" s="95" t="str">
        <f>IFERROR(
IF(C26="VTS",
VLOOKUP(AE26,Assumptions!$I$38:$K$57,MATCH(P26,Assumptions!$I$37:$K$37,0),FALSE),
VLOOKUP(AE26,Assumptions!$I$13:$K$32,MATCH(P26,Assumptions!$I$12:$K$12,0),FALSE)),
"")</f>
        <v/>
      </c>
      <c r="AG26" s="95" t="str">
        <f t="shared" si="12"/>
        <v/>
      </c>
      <c r="AH26" s="95" t="str">
        <f>IFERROR(AG26*
(Assumptions!$S$7*(V26/(AK26*Assumptions!$AB$9/100)/O26)^3+
Assumptions!$S$8*(V26/(AK26*Assumptions!$AB$9/100)/O26)^2+
Assumptions!$S$9*(V26/(AK26*Assumptions!$AB$9/100)/O26)+
Assumptions!$S$10),"")</f>
        <v/>
      </c>
      <c r="AI26" s="95" t="str">
        <f>IFERROR(AG26*
(Assumptions!$S$7*(Z26/(AK26*Assumptions!$AB$8/100)/O26)^3+
Assumptions!$S$8*(Z26/(AK26*Assumptions!$AB$8/100)/O26)^2+
Assumptions!$S$9*(Z26/(AK26*Assumptions!$AB$8/100)/O26)+
Assumptions!$S$10),"")</f>
        <v/>
      </c>
      <c r="AJ26" s="95" t="str">
        <f>IFERROR(AG26*
(Assumptions!$S$7*(AD26/(AK26*Assumptions!$AB$10/100)/O26)^3+
Assumptions!$S$8*(AD26/(AK26*Assumptions!$AB$10/100)/O26)^2+
Assumptions!$S$9*(AD26/(AK26*Assumptions!$AB$10/100)/O26)+
Assumptions!$S$10),"")</f>
        <v/>
      </c>
      <c r="AK26" s="95" t="str">
        <f>IFERROR(
Assumptions!$AD$8*LN(S26)^2+
Assumptions!$AE$8*LN(R26)*LN(S26)+
Assumptions!$AF$8*LN(R26)^2+
Assumptions!$AG$8*LN(S26)+
Assumptions!$AH$8*LN(R26)-
(IF(Q26=1800,
VLOOKUP(C26,Assumptions!$AA$13:$AC$17,3),
IF(Q26=3600,
VLOOKUP(C26,Assumptions!$AA$18:$AC$22,3),
""))+Assumptions!$AI$8),
"")</f>
        <v/>
      </c>
      <c r="AL26" s="96" t="str">
        <f>IFERROR(
Assumptions!$D$11*(V26/(Assumptions!$AB$9*AK26/100)+AH26)+
Assumptions!$D$10*(Z26/(Assumptions!$AB$8*AK26/100)+AI26)+
Assumptions!$D$12*(AD26/(Assumptions!$AB$10*AK26/100)+AJ26),
"")</f>
        <v/>
      </c>
      <c r="AM26" s="67" t="str">
        <f>IFERROR(
U26*Assumptions!$D$11+
Y26*Assumptions!$D$10+
AC26*Assumptions!$D$12,
"")</f>
        <v/>
      </c>
      <c r="AN26" s="77" t="str">
        <f t="shared" si="13"/>
        <v/>
      </c>
      <c r="AO26" s="30" t="str">
        <f t="shared" si="14"/>
        <v/>
      </c>
    </row>
    <row r="27" spans="1:41" x14ac:dyDescent="0.25">
      <c r="A27" s="264"/>
      <c r="B27" s="265"/>
      <c r="C27" s="265"/>
      <c r="D27" s="265"/>
      <c r="E27" s="266"/>
      <c r="F27" s="270"/>
      <c r="G27" s="271"/>
      <c r="H27" s="272"/>
      <c r="I27" s="270"/>
      <c r="J27" s="308"/>
      <c r="K27" s="272"/>
      <c r="L27" s="270"/>
      <c r="M27" s="308"/>
      <c r="N27" s="310"/>
      <c r="O27" s="306"/>
      <c r="P27" s="84" t="str">
        <f t="shared" si="0"/>
        <v/>
      </c>
      <c r="Q27" s="84" t="str">
        <f t="shared" si="1"/>
        <v/>
      </c>
      <c r="R27" s="93" t="str">
        <f t="shared" si="2"/>
        <v/>
      </c>
      <c r="S27" s="100" t="str">
        <f t="shared" si="3"/>
        <v/>
      </c>
      <c r="T27" s="95" t="str">
        <f t="shared" si="4"/>
        <v/>
      </c>
      <c r="U27" s="95" t="str">
        <f t="shared" si="5"/>
        <v/>
      </c>
      <c r="V27" s="96" t="str">
        <f>IFERROR(S27*T27*Assumptions!$B$15/3956,"")</f>
        <v/>
      </c>
      <c r="W27" s="102" t="str">
        <f t="shared" si="6"/>
        <v/>
      </c>
      <c r="X27" s="95" t="str">
        <f t="shared" si="7"/>
        <v/>
      </c>
      <c r="Y27" s="95" t="str">
        <f t="shared" si="8"/>
        <v/>
      </c>
      <c r="Z27" s="96" t="str">
        <f>IFERROR(W27*X27*Assumptions!$B$15/3956,"")</f>
        <v/>
      </c>
      <c r="AA27" s="100" t="str">
        <f t="shared" si="9"/>
        <v/>
      </c>
      <c r="AB27" s="95" t="str">
        <f t="shared" si="10"/>
        <v/>
      </c>
      <c r="AC27" s="95" t="str">
        <f t="shared" si="11"/>
        <v/>
      </c>
      <c r="AD27" s="96" t="str">
        <f>IFERROR(AA27*AB27*Assumptions!$B$15/3956,"")</f>
        <v/>
      </c>
      <c r="AE27" s="244" t="str">
        <f>IFERROR(
IF(C27="VTS",
IF(O27&gt;=AVERAGE(
INDEX(Assumptions!$I$38:$I$57,MATCH(O27,Assumptions!$I$38:$I$57,-1)),
INDEX(Assumptions!$I$38:$I$57,MATCH(O27,Assumptions!$I$38:$I$57,-1)+1)),
INDEX(Assumptions!$I$38:$I$57,MATCH(O27,Assumptions!$I$38:$I$57,-1)),
INDEX(Assumptions!$I$38:$I$57,MATCH(O27,Assumptions!$I$38:$I$57,-1)+1)),
IF(O27&gt;=AVERAGE(
INDEX(Assumptions!$I$13:$I$32,MATCH(O27,Assumptions!$I$13:$I$32,-1)),
INDEX(Assumptions!$I$13:$I$32,MATCH(O27,Assumptions!$I$13:$I$32,-1)+1)),
INDEX(Assumptions!$I$13:$I$32,MATCH(O27,Assumptions!$I$13:$I$32,-1)),
INDEX(Assumptions!$I$13:$I$32,MATCH(O27,Assumptions!$I$13:$I$32,-1)+1))),
"")</f>
        <v/>
      </c>
      <c r="AF27" s="95" t="str">
        <f>IFERROR(
IF(C27="VTS",
VLOOKUP(AE27,Assumptions!$I$38:$K$57,MATCH(P27,Assumptions!$I$37:$K$37,0),FALSE),
VLOOKUP(AE27,Assumptions!$I$13:$K$32,MATCH(P27,Assumptions!$I$12:$K$12,0),FALSE)),
"")</f>
        <v/>
      </c>
      <c r="AG27" s="95" t="str">
        <f t="shared" si="12"/>
        <v/>
      </c>
      <c r="AH27" s="95" t="str">
        <f>IFERROR(AG27*
(Assumptions!$S$7*(V27/(AK27*Assumptions!$AB$9/100)/O27)^3+
Assumptions!$S$8*(V27/(AK27*Assumptions!$AB$9/100)/O27)^2+
Assumptions!$S$9*(V27/(AK27*Assumptions!$AB$9/100)/O27)+
Assumptions!$S$10),"")</f>
        <v/>
      </c>
      <c r="AI27" s="95" t="str">
        <f>IFERROR(AG27*
(Assumptions!$S$7*(Z27/(AK27*Assumptions!$AB$8/100)/O27)^3+
Assumptions!$S$8*(Z27/(AK27*Assumptions!$AB$8/100)/O27)^2+
Assumptions!$S$9*(Z27/(AK27*Assumptions!$AB$8/100)/O27)+
Assumptions!$S$10),"")</f>
        <v/>
      </c>
      <c r="AJ27" s="95" t="str">
        <f>IFERROR(AG27*
(Assumptions!$S$7*(AD27/(AK27*Assumptions!$AB$10/100)/O27)^3+
Assumptions!$S$8*(AD27/(AK27*Assumptions!$AB$10/100)/O27)^2+
Assumptions!$S$9*(AD27/(AK27*Assumptions!$AB$10/100)/O27)+
Assumptions!$S$10),"")</f>
        <v/>
      </c>
      <c r="AK27" s="95" t="str">
        <f>IFERROR(
Assumptions!$AD$8*LN(S27)^2+
Assumptions!$AE$8*LN(R27)*LN(S27)+
Assumptions!$AF$8*LN(R27)^2+
Assumptions!$AG$8*LN(S27)+
Assumptions!$AH$8*LN(R27)-
(IF(Q27=1800,
VLOOKUP(C27,Assumptions!$AA$13:$AC$17,3),
IF(Q27=3600,
VLOOKUP(C27,Assumptions!$AA$18:$AC$22,3),
""))+Assumptions!$AI$8),
"")</f>
        <v/>
      </c>
      <c r="AL27" s="96" t="str">
        <f>IFERROR(
Assumptions!$D$11*(V27/(Assumptions!$AB$9*AK27/100)+AH27)+
Assumptions!$D$10*(Z27/(Assumptions!$AB$8*AK27/100)+AI27)+
Assumptions!$D$12*(AD27/(Assumptions!$AB$10*AK27/100)+AJ27),
"")</f>
        <v/>
      </c>
      <c r="AM27" s="67" t="str">
        <f>IFERROR(
U27*Assumptions!$D$11+
Y27*Assumptions!$D$10+
AC27*Assumptions!$D$12,
"")</f>
        <v/>
      </c>
      <c r="AN27" s="77" t="str">
        <f t="shared" si="13"/>
        <v/>
      </c>
      <c r="AO27" s="30" t="str">
        <f t="shared" si="14"/>
        <v/>
      </c>
    </row>
    <row r="28" spans="1:41" x14ac:dyDescent="0.25">
      <c r="A28" s="264"/>
      <c r="B28" s="265"/>
      <c r="C28" s="265"/>
      <c r="D28" s="265"/>
      <c r="E28" s="266"/>
      <c r="F28" s="270"/>
      <c r="G28" s="271"/>
      <c r="H28" s="272"/>
      <c r="I28" s="270"/>
      <c r="J28" s="308"/>
      <c r="K28" s="272"/>
      <c r="L28" s="270"/>
      <c r="M28" s="308"/>
      <c r="N28" s="310"/>
      <c r="O28" s="306"/>
      <c r="P28" s="84" t="str">
        <f t="shared" si="0"/>
        <v/>
      </c>
      <c r="Q28" s="84" t="str">
        <f t="shared" si="1"/>
        <v/>
      </c>
      <c r="R28" s="93" t="str">
        <f t="shared" si="2"/>
        <v/>
      </c>
      <c r="S28" s="100" t="str">
        <f t="shared" si="3"/>
        <v/>
      </c>
      <c r="T28" s="95" t="str">
        <f t="shared" si="4"/>
        <v/>
      </c>
      <c r="U28" s="95" t="str">
        <f t="shared" si="5"/>
        <v/>
      </c>
      <c r="V28" s="96" t="str">
        <f>IFERROR(S28*T28*Assumptions!$B$15/3956,"")</f>
        <v/>
      </c>
      <c r="W28" s="102" t="str">
        <f t="shared" si="6"/>
        <v/>
      </c>
      <c r="X28" s="95" t="str">
        <f t="shared" si="7"/>
        <v/>
      </c>
      <c r="Y28" s="95" t="str">
        <f t="shared" si="8"/>
        <v/>
      </c>
      <c r="Z28" s="96" t="str">
        <f>IFERROR(W28*X28*Assumptions!$B$15/3956,"")</f>
        <v/>
      </c>
      <c r="AA28" s="100" t="str">
        <f t="shared" si="9"/>
        <v/>
      </c>
      <c r="AB28" s="95" t="str">
        <f t="shared" si="10"/>
        <v/>
      </c>
      <c r="AC28" s="95" t="str">
        <f t="shared" si="11"/>
        <v/>
      </c>
      <c r="AD28" s="96" t="str">
        <f>IFERROR(AA28*AB28*Assumptions!$B$15/3956,"")</f>
        <v/>
      </c>
      <c r="AE28" s="244" t="str">
        <f>IFERROR(
IF(C28="VTS",
IF(O28&gt;=AVERAGE(
INDEX(Assumptions!$I$38:$I$57,MATCH(O28,Assumptions!$I$38:$I$57,-1)),
INDEX(Assumptions!$I$38:$I$57,MATCH(O28,Assumptions!$I$38:$I$57,-1)+1)),
INDEX(Assumptions!$I$38:$I$57,MATCH(O28,Assumptions!$I$38:$I$57,-1)),
INDEX(Assumptions!$I$38:$I$57,MATCH(O28,Assumptions!$I$38:$I$57,-1)+1)),
IF(O28&gt;=AVERAGE(
INDEX(Assumptions!$I$13:$I$32,MATCH(O28,Assumptions!$I$13:$I$32,-1)),
INDEX(Assumptions!$I$13:$I$32,MATCH(O28,Assumptions!$I$13:$I$32,-1)+1)),
INDEX(Assumptions!$I$13:$I$32,MATCH(O28,Assumptions!$I$13:$I$32,-1)),
INDEX(Assumptions!$I$13:$I$32,MATCH(O28,Assumptions!$I$13:$I$32,-1)+1))),
"")</f>
        <v/>
      </c>
      <c r="AF28" s="95" t="str">
        <f>IFERROR(
IF(C28="VTS",
VLOOKUP(AE28,Assumptions!$I$38:$K$57,MATCH(P28,Assumptions!$I$37:$K$37,0),FALSE),
VLOOKUP(AE28,Assumptions!$I$13:$K$32,MATCH(P28,Assumptions!$I$12:$K$12,0),FALSE)),
"")</f>
        <v/>
      </c>
      <c r="AG28" s="95" t="str">
        <f t="shared" si="12"/>
        <v/>
      </c>
      <c r="AH28" s="95" t="str">
        <f>IFERROR(AG28*
(Assumptions!$S$7*(V28/(AK28*Assumptions!$AB$9/100)/O28)^3+
Assumptions!$S$8*(V28/(AK28*Assumptions!$AB$9/100)/O28)^2+
Assumptions!$S$9*(V28/(AK28*Assumptions!$AB$9/100)/O28)+
Assumptions!$S$10),"")</f>
        <v/>
      </c>
      <c r="AI28" s="95" t="str">
        <f>IFERROR(AG28*
(Assumptions!$S$7*(Z28/(AK28*Assumptions!$AB$8/100)/O28)^3+
Assumptions!$S$8*(Z28/(AK28*Assumptions!$AB$8/100)/O28)^2+
Assumptions!$S$9*(Z28/(AK28*Assumptions!$AB$8/100)/O28)+
Assumptions!$S$10),"")</f>
        <v/>
      </c>
      <c r="AJ28" s="95" t="str">
        <f>IFERROR(AG28*
(Assumptions!$S$7*(AD28/(AK28*Assumptions!$AB$10/100)/O28)^3+
Assumptions!$S$8*(AD28/(AK28*Assumptions!$AB$10/100)/O28)^2+
Assumptions!$S$9*(AD28/(AK28*Assumptions!$AB$10/100)/O28)+
Assumptions!$S$10),"")</f>
        <v/>
      </c>
      <c r="AK28" s="95" t="str">
        <f>IFERROR(
Assumptions!$AD$8*LN(S28)^2+
Assumptions!$AE$8*LN(R28)*LN(S28)+
Assumptions!$AF$8*LN(R28)^2+
Assumptions!$AG$8*LN(S28)+
Assumptions!$AH$8*LN(R28)-
(IF(Q28=1800,
VLOOKUP(C28,Assumptions!$AA$13:$AC$17,3),
IF(Q28=3600,
VLOOKUP(C28,Assumptions!$AA$18:$AC$22,3),
""))+Assumptions!$AI$8),
"")</f>
        <v/>
      </c>
      <c r="AL28" s="96" t="str">
        <f>IFERROR(
Assumptions!$D$11*(V28/(Assumptions!$AB$9*AK28/100)+AH28)+
Assumptions!$D$10*(Z28/(Assumptions!$AB$8*AK28/100)+AI28)+
Assumptions!$D$12*(AD28/(Assumptions!$AB$10*AK28/100)+AJ28),
"")</f>
        <v/>
      </c>
      <c r="AM28" s="67" t="str">
        <f>IFERROR(
U28*Assumptions!$D$11+
Y28*Assumptions!$D$10+
AC28*Assumptions!$D$12,
"")</f>
        <v/>
      </c>
      <c r="AN28" s="77" t="str">
        <f t="shared" si="13"/>
        <v/>
      </c>
      <c r="AO28" s="30" t="str">
        <f t="shared" si="14"/>
        <v/>
      </c>
    </row>
    <row r="29" spans="1:41" x14ac:dyDescent="0.25">
      <c r="A29" s="264"/>
      <c r="B29" s="265"/>
      <c r="C29" s="265"/>
      <c r="D29" s="265"/>
      <c r="E29" s="266"/>
      <c r="F29" s="270"/>
      <c r="G29" s="271"/>
      <c r="H29" s="272"/>
      <c r="I29" s="270"/>
      <c r="J29" s="308"/>
      <c r="K29" s="272"/>
      <c r="L29" s="270"/>
      <c r="M29" s="308"/>
      <c r="N29" s="310"/>
      <c r="O29" s="306"/>
      <c r="P29" s="84" t="str">
        <f t="shared" si="0"/>
        <v/>
      </c>
      <c r="Q29" s="84" t="str">
        <f t="shared" si="1"/>
        <v/>
      </c>
      <c r="R29" s="93" t="str">
        <f t="shared" si="2"/>
        <v/>
      </c>
      <c r="S29" s="100" t="str">
        <f t="shared" si="3"/>
        <v/>
      </c>
      <c r="T29" s="95" t="str">
        <f t="shared" si="4"/>
        <v/>
      </c>
      <c r="U29" s="95" t="str">
        <f t="shared" si="5"/>
        <v/>
      </c>
      <c r="V29" s="96" t="str">
        <f>IFERROR(S29*T29*Assumptions!$B$15/3956,"")</f>
        <v/>
      </c>
      <c r="W29" s="102" t="str">
        <f t="shared" si="6"/>
        <v/>
      </c>
      <c r="X29" s="95" t="str">
        <f t="shared" si="7"/>
        <v/>
      </c>
      <c r="Y29" s="95" t="str">
        <f t="shared" si="8"/>
        <v/>
      </c>
      <c r="Z29" s="96" t="str">
        <f>IFERROR(W29*X29*Assumptions!$B$15/3956,"")</f>
        <v/>
      </c>
      <c r="AA29" s="100" t="str">
        <f t="shared" si="9"/>
        <v/>
      </c>
      <c r="AB29" s="95" t="str">
        <f t="shared" si="10"/>
        <v/>
      </c>
      <c r="AC29" s="95" t="str">
        <f t="shared" si="11"/>
        <v/>
      </c>
      <c r="AD29" s="96" t="str">
        <f>IFERROR(AA29*AB29*Assumptions!$B$15/3956,"")</f>
        <v/>
      </c>
      <c r="AE29" s="244" t="str">
        <f>IFERROR(
IF(C29="VTS",
IF(O29&gt;=AVERAGE(
INDEX(Assumptions!$I$38:$I$57,MATCH(O29,Assumptions!$I$38:$I$57,-1)),
INDEX(Assumptions!$I$38:$I$57,MATCH(O29,Assumptions!$I$38:$I$57,-1)+1)),
INDEX(Assumptions!$I$38:$I$57,MATCH(O29,Assumptions!$I$38:$I$57,-1)),
INDEX(Assumptions!$I$38:$I$57,MATCH(O29,Assumptions!$I$38:$I$57,-1)+1)),
IF(O29&gt;=AVERAGE(
INDEX(Assumptions!$I$13:$I$32,MATCH(O29,Assumptions!$I$13:$I$32,-1)),
INDEX(Assumptions!$I$13:$I$32,MATCH(O29,Assumptions!$I$13:$I$32,-1)+1)),
INDEX(Assumptions!$I$13:$I$32,MATCH(O29,Assumptions!$I$13:$I$32,-1)),
INDEX(Assumptions!$I$13:$I$32,MATCH(O29,Assumptions!$I$13:$I$32,-1)+1))),
"")</f>
        <v/>
      </c>
      <c r="AF29" s="95" t="str">
        <f>IFERROR(
IF(C29="VTS",
VLOOKUP(AE29,Assumptions!$I$38:$K$57,MATCH(P29,Assumptions!$I$37:$K$37,0),FALSE),
VLOOKUP(AE29,Assumptions!$I$13:$K$32,MATCH(P29,Assumptions!$I$12:$K$12,0),FALSE)),
"")</f>
        <v/>
      </c>
      <c r="AG29" s="95" t="str">
        <f t="shared" si="12"/>
        <v/>
      </c>
      <c r="AH29" s="95" t="str">
        <f>IFERROR(AG29*
(Assumptions!$S$7*(V29/(AK29*Assumptions!$AB$9/100)/O29)^3+
Assumptions!$S$8*(V29/(AK29*Assumptions!$AB$9/100)/O29)^2+
Assumptions!$S$9*(V29/(AK29*Assumptions!$AB$9/100)/O29)+
Assumptions!$S$10),"")</f>
        <v/>
      </c>
      <c r="AI29" s="95" t="str">
        <f>IFERROR(AG29*
(Assumptions!$S$7*(Z29/(AK29*Assumptions!$AB$8/100)/O29)^3+
Assumptions!$S$8*(Z29/(AK29*Assumptions!$AB$8/100)/O29)^2+
Assumptions!$S$9*(Z29/(AK29*Assumptions!$AB$8/100)/O29)+
Assumptions!$S$10),"")</f>
        <v/>
      </c>
      <c r="AJ29" s="95" t="str">
        <f>IFERROR(AG29*
(Assumptions!$S$7*(AD29/(AK29*Assumptions!$AB$10/100)/O29)^3+
Assumptions!$S$8*(AD29/(AK29*Assumptions!$AB$10/100)/O29)^2+
Assumptions!$S$9*(AD29/(AK29*Assumptions!$AB$10/100)/O29)+
Assumptions!$S$10),"")</f>
        <v/>
      </c>
      <c r="AK29" s="95" t="str">
        <f>IFERROR(
Assumptions!$AD$8*LN(S29)^2+
Assumptions!$AE$8*LN(R29)*LN(S29)+
Assumptions!$AF$8*LN(R29)^2+
Assumptions!$AG$8*LN(S29)+
Assumptions!$AH$8*LN(R29)-
(IF(Q29=1800,
VLOOKUP(C29,Assumptions!$AA$13:$AC$17,3),
IF(Q29=3600,
VLOOKUP(C29,Assumptions!$AA$18:$AC$22,3),
""))+Assumptions!$AI$8),
"")</f>
        <v/>
      </c>
      <c r="AL29" s="96" t="str">
        <f>IFERROR(
Assumptions!$D$11*(V29/(Assumptions!$AB$9*AK29/100)+AH29)+
Assumptions!$D$10*(Z29/(Assumptions!$AB$8*AK29/100)+AI29)+
Assumptions!$D$12*(AD29/(Assumptions!$AB$10*AK29/100)+AJ29),
"")</f>
        <v/>
      </c>
      <c r="AM29" s="67" t="str">
        <f>IFERROR(
U29*Assumptions!$D$11+
Y29*Assumptions!$D$10+
AC29*Assumptions!$D$12,
"")</f>
        <v/>
      </c>
      <c r="AN29" s="77" t="str">
        <f t="shared" si="13"/>
        <v/>
      </c>
      <c r="AO29" s="30" t="str">
        <f t="shared" si="14"/>
        <v/>
      </c>
    </row>
    <row r="30" spans="1:41" x14ac:dyDescent="0.25">
      <c r="A30" s="264"/>
      <c r="B30" s="265"/>
      <c r="C30" s="265"/>
      <c r="D30" s="265"/>
      <c r="E30" s="266"/>
      <c r="F30" s="270"/>
      <c r="G30" s="271"/>
      <c r="H30" s="272"/>
      <c r="I30" s="270"/>
      <c r="J30" s="308"/>
      <c r="K30" s="272"/>
      <c r="L30" s="270"/>
      <c r="M30" s="308"/>
      <c r="N30" s="310"/>
      <c r="O30" s="306"/>
      <c r="P30" s="84" t="str">
        <f t="shared" si="0"/>
        <v/>
      </c>
      <c r="Q30" s="84" t="str">
        <f t="shared" si="1"/>
        <v/>
      </c>
      <c r="R30" s="93" t="str">
        <f t="shared" si="2"/>
        <v/>
      </c>
      <c r="S30" s="100" t="str">
        <f t="shared" si="3"/>
        <v/>
      </c>
      <c r="T30" s="95" t="str">
        <f t="shared" si="4"/>
        <v/>
      </c>
      <c r="U30" s="95" t="str">
        <f t="shared" si="5"/>
        <v/>
      </c>
      <c r="V30" s="96" t="str">
        <f>IFERROR(S30*T30*Assumptions!$B$15/3956,"")</f>
        <v/>
      </c>
      <c r="W30" s="102" t="str">
        <f t="shared" si="6"/>
        <v/>
      </c>
      <c r="X30" s="95" t="str">
        <f t="shared" si="7"/>
        <v/>
      </c>
      <c r="Y30" s="95" t="str">
        <f t="shared" si="8"/>
        <v/>
      </c>
      <c r="Z30" s="96" t="str">
        <f>IFERROR(W30*X30*Assumptions!$B$15/3956,"")</f>
        <v/>
      </c>
      <c r="AA30" s="100" t="str">
        <f t="shared" si="9"/>
        <v/>
      </c>
      <c r="AB30" s="95" t="str">
        <f t="shared" si="10"/>
        <v/>
      </c>
      <c r="AC30" s="95" t="str">
        <f t="shared" si="11"/>
        <v/>
      </c>
      <c r="AD30" s="96" t="str">
        <f>IFERROR(AA30*AB30*Assumptions!$B$15/3956,"")</f>
        <v/>
      </c>
      <c r="AE30" s="244" t="str">
        <f>IFERROR(
IF(C30="VTS",
IF(O30&gt;=AVERAGE(
INDEX(Assumptions!$I$38:$I$57,MATCH(O30,Assumptions!$I$38:$I$57,-1)),
INDEX(Assumptions!$I$38:$I$57,MATCH(O30,Assumptions!$I$38:$I$57,-1)+1)),
INDEX(Assumptions!$I$38:$I$57,MATCH(O30,Assumptions!$I$38:$I$57,-1)),
INDEX(Assumptions!$I$38:$I$57,MATCH(O30,Assumptions!$I$38:$I$57,-1)+1)),
IF(O30&gt;=AVERAGE(
INDEX(Assumptions!$I$13:$I$32,MATCH(O30,Assumptions!$I$13:$I$32,-1)),
INDEX(Assumptions!$I$13:$I$32,MATCH(O30,Assumptions!$I$13:$I$32,-1)+1)),
INDEX(Assumptions!$I$13:$I$32,MATCH(O30,Assumptions!$I$13:$I$32,-1)),
INDEX(Assumptions!$I$13:$I$32,MATCH(O30,Assumptions!$I$13:$I$32,-1)+1))),
"")</f>
        <v/>
      </c>
      <c r="AF30" s="95" t="str">
        <f>IFERROR(
IF(C30="VTS",
VLOOKUP(AE30,Assumptions!$I$38:$K$57,MATCH(P30,Assumptions!$I$37:$K$37,0),FALSE),
VLOOKUP(AE30,Assumptions!$I$13:$K$32,MATCH(P30,Assumptions!$I$12:$K$12,0),FALSE)),
"")</f>
        <v/>
      </c>
      <c r="AG30" s="95" t="str">
        <f t="shared" si="12"/>
        <v/>
      </c>
      <c r="AH30" s="95" t="str">
        <f>IFERROR(AG30*
(Assumptions!$S$7*(V30/(AK30*Assumptions!$AB$9/100)/O30)^3+
Assumptions!$S$8*(V30/(AK30*Assumptions!$AB$9/100)/O30)^2+
Assumptions!$S$9*(V30/(AK30*Assumptions!$AB$9/100)/O30)+
Assumptions!$S$10),"")</f>
        <v/>
      </c>
      <c r="AI30" s="95" t="str">
        <f>IFERROR(AG30*
(Assumptions!$S$7*(Z30/(AK30*Assumptions!$AB$8/100)/O30)^3+
Assumptions!$S$8*(Z30/(AK30*Assumptions!$AB$8/100)/O30)^2+
Assumptions!$S$9*(Z30/(AK30*Assumptions!$AB$8/100)/O30)+
Assumptions!$S$10),"")</f>
        <v/>
      </c>
      <c r="AJ30" s="95" t="str">
        <f>IFERROR(AG30*
(Assumptions!$S$7*(AD30/(AK30*Assumptions!$AB$10/100)/O30)^3+
Assumptions!$S$8*(AD30/(AK30*Assumptions!$AB$10/100)/O30)^2+
Assumptions!$S$9*(AD30/(AK30*Assumptions!$AB$10/100)/O30)+
Assumptions!$S$10),"")</f>
        <v/>
      </c>
      <c r="AK30" s="95" t="str">
        <f>IFERROR(
Assumptions!$AD$8*LN(S30)^2+
Assumptions!$AE$8*LN(R30)*LN(S30)+
Assumptions!$AF$8*LN(R30)^2+
Assumptions!$AG$8*LN(S30)+
Assumptions!$AH$8*LN(R30)-
(IF(Q30=1800,
VLOOKUP(C30,Assumptions!$AA$13:$AC$17,3),
IF(Q30=3600,
VLOOKUP(C30,Assumptions!$AA$18:$AC$22,3),
""))+Assumptions!$AI$8),
"")</f>
        <v/>
      </c>
      <c r="AL30" s="96" t="str">
        <f>IFERROR(
Assumptions!$D$11*(V30/(Assumptions!$AB$9*AK30/100)+AH30)+
Assumptions!$D$10*(Z30/(Assumptions!$AB$8*AK30/100)+AI30)+
Assumptions!$D$12*(AD30/(Assumptions!$AB$10*AK30/100)+AJ30),
"")</f>
        <v/>
      </c>
      <c r="AM30" s="67" t="str">
        <f>IFERROR(
U30*Assumptions!$D$11+
Y30*Assumptions!$D$10+
AC30*Assumptions!$D$12,
"")</f>
        <v/>
      </c>
      <c r="AN30" s="77" t="str">
        <f t="shared" si="13"/>
        <v/>
      </c>
      <c r="AO30" s="30" t="str">
        <f t="shared" si="14"/>
        <v/>
      </c>
    </row>
    <row r="31" spans="1:41" x14ac:dyDescent="0.25">
      <c r="A31" s="264"/>
      <c r="B31" s="265"/>
      <c r="C31" s="265"/>
      <c r="D31" s="265"/>
      <c r="E31" s="266"/>
      <c r="F31" s="270"/>
      <c r="G31" s="271"/>
      <c r="H31" s="272"/>
      <c r="I31" s="270"/>
      <c r="J31" s="308"/>
      <c r="K31" s="272"/>
      <c r="L31" s="270"/>
      <c r="M31" s="308"/>
      <c r="N31" s="310"/>
      <c r="O31" s="306"/>
      <c r="P31" s="84" t="str">
        <f t="shared" si="0"/>
        <v/>
      </c>
      <c r="Q31" s="84" t="str">
        <f t="shared" si="1"/>
        <v/>
      </c>
      <c r="R31" s="93" t="str">
        <f t="shared" si="2"/>
        <v/>
      </c>
      <c r="S31" s="100" t="str">
        <f t="shared" si="3"/>
        <v/>
      </c>
      <c r="T31" s="95" t="str">
        <f t="shared" si="4"/>
        <v/>
      </c>
      <c r="U31" s="95" t="str">
        <f t="shared" si="5"/>
        <v/>
      </c>
      <c r="V31" s="96" t="str">
        <f>IFERROR(S31*T31*Assumptions!$B$15/3956,"")</f>
        <v/>
      </c>
      <c r="W31" s="102" t="str">
        <f t="shared" si="6"/>
        <v/>
      </c>
      <c r="X31" s="95" t="str">
        <f t="shared" si="7"/>
        <v/>
      </c>
      <c r="Y31" s="95" t="str">
        <f t="shared" si="8"/>
        <v/>
      </c>
      <c r="Z31" s="96" t="str">
        <f>IFERROR(W31*X31*Assumptions!$B$15/3956,"")</f>
        <v/>
      </c>
      <c r="AA31" s="100" t="str">
        <f t="shared" si="9"/>
        <v/>
      </c>
      <c r="AB31" s="95" t="str">
        <f t="shared" si="10"/>
        <v/>
      </c>
      <c r="AC31" s="95" t="str">
        <f t="shared" si="11"/>
        <v/>
      </c>
      <c r="AD31" s="96" t="str">
        <f>IFERROR(AA31*AB31*Assumptions!$B$15/3956,"")</f>
        <v/>
      </c>
      <c r="AE31" s="244" t="str">
        <f>IFERROR(
IF(C31="VTS",
IF(O31&gt;=AVERAGE(
INDEX(Assumptions!$I$38:$I$57,MATCH(O31,Assumptions!$I$38:$I$57,-1)),
INDEX(Assumptions!$I$38:$I$57,MATCH(O31,Assumptions!$I$38:$I$57,-1)+1)),
INDEX(Assumptions!$I$38:$I$57,MATCH(O31,Assumptions!$I$38:$I$57,-1)),
INDEX(Assumptions!$I$38:$I$57,MATCH(O31,Assumptions!$I$38:$I$57,-1)+1)),
IF(O31&gt;=AVERAGE(
INDEX(Assumptions!$I$13:$I$32,MATCH(O31,Assumptions!$I$13:$I$32,-1)),
INDEX(Assumptions!$I$13:$I$32,MATCH(O31,Assumptions!$I$13:$I$32,-1)+1)),
INDEX(Assumptions!$I$13:$I$32,MATCH(O31,Assumptions!$I$13:$I$32,-1)),
INDEX(Assumptions!$I$13:$I$32,MATCH(O31,Assumptions!$I$13:$I$32,-1)+1))),
"")</f>
        <v/>
      </c>
      <c r="AF31" s="95" t="str">
        <f>IFERROR(
IF(C31="VTS",
VLOOKUP(AE31,Assumptions!$I$38:$K$57,MATCH(P31,Assumptions!$I$37:$K$37,0),FALSE),
VLOOKUP(AE31,Assumptions!$I$13:$K$32,MATCH(P31,Assumptions!$I$12:$K$12,0),FALSE)),
"")</f>
        <v/>
      </c>
      <c r="AG31" s="95" t="str">
        <f t="shared" si="12"/>
        <v/>
      </c>
      <c r="AH31" s="95" t="str">
        <f>IFERROR(AG31*
(Assumptions!$S$7*(V31/(AK31*Assumptions!$AB$9/100)/O31)^3+
Assumptions!$S$8*(V31/(AK31*Assumptions!$AB$9/100)/O31)^2+
Assumptions!$S$9*(V31/(AK31*Assumptions!$AB$9/100)/O31)+
Assumptions!$S$10),"")</f>
        <v/>
      </c>
      <c r="AI31" s="95" t="str">
        <f>IFERROR(AG31*
(Assumptions!$S$7*(Z31/(AK31*Assumptions!$AB$8/100)/O31)^3+
Assumptions!$S$8*(Z31/(AK31*Assumptions!$AB$8/100)/O31)^2+
Assumptions!$S$9*(Z31/(AK31*Assumptions!$AB$8/100)/O31)+
Assumptions!$S$10),"")</f>
        <v/>
      </c>
      <c r="AJ31" s="95" t="str">
        <f>IFERROR(AG31*
(Assumptions!$S$7*(AD31/(AK31*Assumptions!$AB$10/100)/O31)^3+
Assumptions!$S$8*(AD31/(AK31*Assumptions!$AB$10/100)/O31)^2+
Assumptions!$S$9*(AD31/(AK31*Assumptions!$AB$10/100)/O31)+
Assumptions!$S$10),"")</f>
        <v/>
      </c>
      <c r="AK31" s="95" t="str">
        <f>IFERROR(
Assumptions!$AD$8*LN(S31)^2+
Assumptions!$AE$8*LN(R31)*LN(S31)+
Assumptions!$AF$8*LN(R31)^2+
Assumptions!$AG$8*LN(S31)+
Assumptions!$AH$8*LN(R31)-
(IF(Q31=1800,
VLOOKUP(C31,Assumptions!$AA$13:$AC$17,3),
IF(Q31=3600,
VLOOKUP(C31,Assumptions!$AA$18:$AC$22,3),
""))+Assumptions!$AI$8),
"")</f>
        <v/>
      </c>
      <c r="AL31" s="96" t="str">
        <f>IFERROR(
Assumptions!$D$11*(V31/(Assumptions!$AB$9*AK31/100)+AH31)+
Assumptions!$D$10*(Z31/(Assumptions!$AB$8*AK31/100)+AI31)+
Assumptions!$D$12*(AD31/(Assumptions!$AB$10*AK31/100)+AJ31),
"")</f>
        <v/>
      </c>
      <c r="AM31" s="67" t="str">
        <f>IFERROR(
U31*Assumptions!$D$11+
Y31*Assumptions!$D$10+
AC31*Assumptions!$D$12,
"")</f>
        <v/>
      </c>
      <c r="AN31" s="77" t="str">
        <f t="shared" si="13"/>
        <v/>
      </c>
      <c r="AO31" s="30" t="str">
        <f t="shared" si="14"/>
        <v/>
      </c>
    </row>
    <row r="32" spans="1:41" x14ac:dyDescent="0.25">
      <c r="A32" s="264"/>
      <c r="B32" s="265"/>
      <c r="C32" s="265"/>
      <c r="D32" s="265"/>
      <c r="E32" s="266"/>
      <c r="F32" s="270"/>
      <c r="G32" s="271"/>
      <c r="H32" s="272"/>
      <c r="I32" s="270"/>
      <c r="J32" s="308"/>
      <c r="K32" s="272"/>
      <c r="L32" s="270"/>
      <c r="M32" s="308"/>
      <c r="N32" s="310"/>
      <c r="O32" s="306"/>
      <c r="P32" s="84" t="str">
        <f t="shared" si="0"/>
        <v/>
      </c>
      <c r="Q32" s="84" t="str">
        <f t="shared" si="1"/>
        <v/>
      </c>
      <c r="R32" s="93" t="str">
        <f t="shared" si="2"/>
        <v/>
      </c>
      <c r="S32" s="100" t="str">
        <f t="shared" si="3"/>
        <v/>
      </c>
      <c r="T32" s="95" t="str">
        <f t="shared" si="4"/>
        <v/>
      </c>
      <c r="U32" s="95" t="str">
        <f t="shared" si="5"/>
        <v/>
      </c>
      <c r="V32" s="96" t="str">
        <f>IFERROR(S32*T32*Assumptions!$B$15/3956,"")</f>
        <v/>
      </c>
      <c r="W32" s="102" t="str">
        <f t="shared" si="6"/>
        <v/>
      </c>
      <c r="X32" s="95" t="str">
        <f t="shared" si="7"/>
        <v/>
      </c>
      <c r="Y32" s="95" t="str">
        <f t="shared" si="8"/>
        <v/>
      </c>
      <c r="Z32" s="96" t="str">
        <f>IFERROR(W32*X32*Assumptions!$B$15/3956,"")</f>
        <v/>
      </c>
      <c r="AA32" s="100" t="str">
        <f t="shared" si="9"/>
        <v/>
      </c>
      <c r="AB32" s="95" t="str">
        <f t="shared" si="10"/>
        <v/>
      </c>
      <c r="AC32" s="95" t="str">
        <f t="shared" si="11"/>
        <v/>
      </c>
      <c r="AD32" s="96" t="str">
        <f>IFERROR(AA32*AB32*Assumptions!$B$15/3956,"")</f>
        <v/>
      </c>
      <c r="AE32" s="244" t="str">
        <f>IFERROR(
IF(C32="VTS",
IF(O32&gt;=AVERAGE(
INDEX(Assumptions!$I$38:$I$57,MATCH(O32,Assumptions!$I$38:$I$57,-1)),
INDEX(Assumptions!$I$38:$I$57,MATCH(O32,Assumptions!$I$38:$I$57,-1)+1)),
INDEX(Assumptions!$I$38:$I$57,MATCH(O32,Assumptions!$I$38:$I$57,-1)),
INDEX(Assumptions!$I$38:$I$57,MATCH(O32,Assumptions!$I$38:$I$57,-1)+1)),
IF(O32&gt;=AVERAGE(
INDEX(Assumptions!$I$13:$I$32,MATCH(O32,Assumptions!$I$13:$I$32,-1)),
INDEX(Assumptions!$I$13:$I$32,MATCH(O32,Assumptions!$I$13:$I$32,-1)+1)),
INDEX(Assumptions!$I$13:$I$32,MATCH(O32,Assumptions!$I$13:$I$32,-1)),
INDEX(Assumptions!$I$13:$I$32,MATCH(O32,Assumptions!$I$13:$I$32,-1)+1))),
"")</f>
        <v/>
      </c>
      <c r="AF32" s="95" t="str">
        <f>IFERROR(
IF(C32="VTS",
VLOOKUP(AE32,Assumptions!$I$38:$K$57,MATCH(P32,Assumptions!$I$37:$K$37,0),FALSE),
VLOOKUP(AE32,Assumptions!$I$13:$K$32,MATCH(P32,Assumptions!$I$12:$K$12,0),FALSE)),
"")</f>
        <v/>
      </c>
      <c r="AG32" s="95" t="str">
        <f t="shared" si="12"/>
        <v/>
      </c>
      <c r="AH32" s="95" t="str">
        <f>IFERROR(AG32*
(Assumptions!$S$7*(V32/(AK32*Assumptions!$AB$9/100)/O32)^3+
Assumptions!$S$8*(V32/(AK32*Assumptions!$AB$9/100)/O32)^2+
Assumptions!$S$9*(V32/(AK32*Assumptions!$AB$9/100)/O32)+
Assumptions!$S$10),"")</f>
        <v/>
      </c>
      <c r="AI32" s="95" t="str">
        <f>IFERROR(AG32*
(Assumptions!$S$7*(Z32/(AK32*Assumptions!$AB$8/100)/O32)^3+
Assumptions!$S$8*(Z32/(AK32*Assumptions!$AB$8/100)/O32)^2+
Assumptions!$S$9*(Z32/(AK32*Assumptions!$AB$8/100)/O32)+
Assumptions!$S$10),"")</f>
        <v/>
      </c>
      <c r="AJ32" s="95" t="str">
        <f>IFERROR(AG32*
(Assumptions!$S$7*(AD32/(AK32*Assumptions!$AB$10/100)/O32)^3+
Assumptions!$S$8*(AD32/(AK32*Assumptions!$AB$10/100)/O32)^2+
Assumptions!$S$9*(AD32/(AK32*Assumptions!$AB$10/100)/O32)+
Assumptions!$S$10),"")</f>
        <v/>
      </c>
      <c r="AK32" s="95" t="str">
        <f>IFERROR(
Assumptions!$AD$8*LN(S32)^2+
Assumptions!$AE$8*LN(R32)*LN(S32)+
Assumptions!$AF$8*LN(R32)^2+
Assumptions!$AG$8*LN(S32)+
Assumptions!$AH$8*LN(R32)-
(IF(Q32=1800,
VLOOKUP(C32,Assumptions!$AA$13:$AC$17,3),
IF(Q32=3600,
VLOOKUP(C32,Assumptions!$AA$18:$AC$22,3),
""))+Assumptions!$AI$8),
"")</f>
        <v/>
      </c>
      <c r="AL32" s="96" t="str">
        <f>IFERROR(
Assumptions!$D$11*(V32/(Assumptions!$AB$9*AK32/100)+AH32)+
Assumptions!$D$10*(Z32/(Assumptions!$AB$8*AK32/100)+AI32)+
Assumptions!$D$12*(AD32/(Assumptions!$AB$10*AK32/100)+AJ32),
"")</f>
        <v/>
      </c>
      <c r="AM32" s="67" t="str">
        <f>IFERROR(
U32*Assumptions!$D$11+
Y32*Assumptions!$D$10+
AC32*Assumptions!$D$12,
"")</f>
        <v/>
      </c>
      <c r="AN32" s="77" t="str">
        <f t="shared" si="13"/>
        <v/>
      </c>
      <c r="AO32" s="30" t="str">
        <f t="shared" si="14"/>
        <v/>
      </c>
    </row>
    <row r="33" spans="1:41" x14ac:dyDescent="0.25">
      <c r="A33" s="264"/>
      <c r="B33" s="265"/>
      <c r="C33" s="265"/>
      <c r="D33" s="265"/>
      <c r="E33" s="266"/>
      <c r="F33" s="270"/>
      <c r="G33" s="271"/>
      <c r="H33" s="272"/>
      <c r="I33" s="270"/>
      <c r="J33" s="308"/>
      <c r="K33" s="272"/>
      <c r="L33" s="270"/>
      <c r="M33" s="308"/>
      <c r="N33" s="310"/>
      <c r="O33" s="306"/>
      <c r="P33" s="84" t="str">
        <f t="shared" si="0"/>
        <v/>
      </c>
      <c r="Q33" s="84" t="str">
        <f t="shared" si="1"/>
        <v/>
      </c>
      <c r="R33" s="93" t="str">
        <f t="shared" si="2"/>
        <v/>
      </c>
      <c r="S33" s="100" t="str">
        <f t="shared" si="3"/>
        <v/>
      </c>
      <c r="T33" s="95" t="str">
        <f t="shared" si="4"/>
        <v/>
      </c>
      <c r="U33" s="95" t="str">
        <f t="shared" si="5"/>
        <v/>
      </c>
      <c r="V33" s="96" t="str">
        <f>IFERROR(S33*T33*Assumptions!$B$15/3956,"")</f>
        <v/>
      </c>
      <c r="W33" s="102" t="str">
        <f t="shared" si="6"/>
        <v/>
      </c>
      <c r="X33" s="95" t="str">
        <f t="shared" si="7"/>
        <v/>
      </c>
      <c r="Y33" s="95" t="str">
        <f t="shared" si="8"/>
        <v/>
      </c>
      <c r="Z33" s="96" t="str">
        <f>IFERROR(W33*X33*Assumptions!$B$15/3956,"")</f>
        <v/>
      </c>
      <c r="AA33" s="100" t="str">
        <f t="shared" si="9"/>
        <v/>
      </c>
      <c r="AB33" s="95" t="str">
        <f t="shared" si="10"/>
        <v/>
      </c>
      <c r="AC33" s="95" t="str">
        <f t="shared" si="11"/>
        <v/>
      </c>
      <c r="AD33" s="96" t="str">
        <f>IFERROR(AA33*AB33*Assumptions!$B$15/3956,"")</f>
        <v/>
      </c>
      <c r="AE33" s="244" t="str">
        <f>IFERROR(
IF(C33="VTS",
IF(O33&gt;=AVERAGE(
INDEX(Assumptions!$I$38:$I$57,MATCH(O33,Assumptions!$I$38:$I$57,-1)),
INDEX(Assumptions!$I$38:$I$57,MATCH(O33,Assumptions!$I$38:$I$57,-1)+1)),
INDEX(Assumptions!$I$38:$I$57,MATCH(O33,Assumptions!$I$38:$I$57,-1)),
INDEX(Assumptions!$I$38:$I$57,MATCH(O33,Assumptions!$I$38:$I$57,-1)+1)),
IF(O33&gt;=AVERAGE(
INDEX(Assumptions!$I$13:$I$32,MATCH(O33,Assumptions!$I$13:$I$32,-1)),
INDEX(Assumptions!$I$13:$I$32,MATCH(O33,Assumptions!$I$13:$I$32,-1)+1)),
INDEX(Assumptions!$I$13:$I$32,MATCH(O33,Assumptions!$I$13:$I$32,-1)),
INDEX(Assumptions!$I$13:$I$32,MATCH(O33,Assumptions!$I$13:$I$32,-1)+1))),
"")</f>
        <v/>
      </c>
      <c r="AF33" s="95" t="str">
        <f>IFERROR(
IF(C33="VTS",
VLOOKUP(AE33,Assumptions!$I$38:$K$57,MATCH(P33,Assumptions!$I$37:$K$37,0),FALSE),
VLOOKUP(AE33,Assumptions!$I$13:$K$32,MATCH(P33,Assumptions!$I$12:$K$12,0),FALSE)),
"")</f>
        <v/>
      </c>
      <c r="AG33" s="95" t="str">
        <f t="shared" si="12"/>
        <v/>
      </c>
      <c r="AH33" s="95" t="str">
        <f>IFERROR(AG33*
(Assumptions!$S$7*(V33/(AK33*Assumptions!$AB$9/100)/O33)^3+
Assumptions!$S$8*(V33/(AK33*Assumptions!$AB$9/100)/O33)^2+
Assumptions!$S$9*(V33/(AK33*Assumptions!$AB$9/100)/O33)+
Assumptions!$S$10),"")</f>
        <v/>
      </c>
      <c r="AI33" s="95" t="str">
        <f>IFERROR(AG33*
(Assumptions!$S$7*(Z33/(AK33*Assumptions!$AB$8/100)/O33)^3+
Assumptions!$S$8*(Z33/(AK33*Assumptions!$AB$8/100)/O33)^2+
Assumptions!$S$9*(Z33/(AK33*Assumptions!$AB$8/100)/O33)+
Assumptions!$S$10),"")</f>
        <v/>
      </c>
      <c r="AJ33" s="95" t="str">
        <f>IFERROR(AG33*
(Assumptions!$S$7*(AD33/(AK33*Assumptions!$AB$10/100)/O33)^3+
Assumptions!$S$8*(AD33/(AK33*Assumptions!$AB$10/100)/O33)^2+
Assumptions!$S$9*(AD33/(AK33*Assumptions!$AB$10/100)/O33)+
Assumptions!$S$10),"")</f>
        <v/>
      </c>
      <c r="AK33" s="95" t="str">
        <f>IFERROR(
Assumptions!$AD$8*LN(S33)^2+
Assumptions!$AE$8*LN(R33)*LN(S33)+
Assumptions!$AF$8*LN(R33)^2+
Assumptions!$AG$8*LN(S33)+
Assumptions!$AH$8*LN(R33)-
(IF(Q33=1800,
VLOOKUP(C33,Assumptions!$AA$13:$AC$17,3),
IF(Q33=3600,
VLOOKUP(C33,Assumptions!$AA$18:$AC$22,3),
""))+Assumptions!$AI$8),
"")</f>
        <v/>
      </c>
      <c r="AL33" s="96" t="str">
        <f>IFERROR(
Assumptions!$D$11*(V33/(Assumptions!$AB$9*AK33/100)+AH33)+
Assumptions!$D$10*(Z33/(Assumptions!$AB$8*AK33/100)+AI33)+
Assumptions!$D$12*(AD33/(Assumptions!$AB$10*AK33/100)+AJ33),
"")</f>
        <v/>
      </c>
      <c r="AM33" s="67" t="str">
        <f>IFERROR(
U33*Assumptions!$D$11+
Y33*Assumptions!$D$10+
AC33*Assumptions!$D$12,
"")</f>
        <v/>
      </c>
      <c r="AN33" s="77" t="str">
        <f t="shared" si="13"/>
        <v/>
      </c>
      <c r="AO33" s="30" t="str">
        <f t="shared" si="14"/>
        <v/>
      </c>
    </row>
    <row r="34" spans="1:41" x14ac:dyDescent="0.25">
      <c r="A34" s="264"/>
      <c r="B34" s="265"/>
      <c r="C34" s="265"/>
      <c r="D34" s="265"/>
      <c r="E34" s="266"/>
      <c r="F34" s="270"/>
      <c r="G34" s="271"/>
      <c r="H34" s="272"/>
      <c r="I34" s="270"/>
      <c r="J34" s="308"/>
      <c r="K34" s="272"/>
      <c r="L34" s="270"/>
      <c r="M34" s="308"/>
      <c r="N34" s="310"/>
      <c r="O34" s="306"/>
      <c r="P34" s="84" t="str">
        <f t="shared" si="0"/>
        <v/>
      </c>
      <c r="Q34" s="84" t="str">
        <f t="shared" si="1"/>
        <v/>
      </c>
      <c r="R34" s="93" t="str">
        <f t="shared" si="2"/>
        <v/>
      </c>
      <c r="S34" s="100" t="str">
        <f t="shared" si="3"/>
        <v/>
      </c>
      <c r="T34" s="95" t="str">
        <f t="shared" si="4"/>
        <v/>
      </c>
      <c r="U34" s="95" t="str">
        <f t="shared" si="5"/>
        <v/>
      </c>
      <c r="V34" s="96" t="str">
        <f>IFERROR(S34*T34*Assumptions!$B$15/3956,"")</f>
        <v/>
      </c>
      <c r="W34" s="102" t="str">
        <f t="shared" si="6"/>
        <v/>
      </c>
      <c r="X34" s="95" t="str">
        <f t="shared" si="7"/>
        <v/>
      </c>
      <c r="Y34" s="95" t="str">
        <f t="shared" si="8"/>
        <v/>
      </c>
      <c r="Z34" s="96" t="str">
        <f>IFERROR(W34*X34*Assumptions!$B$15/3956,"")</f>
        <v/>
      </c>
      <c r="AA34" s="100" t="str">
        <f t="shared" si="9"/>
        <v/>
      </c>
      <c r="AB34" s="95" t="str">
        <f t="shared" si="10"/>
        <v/>
      </c>
      <c r="AC34" s="95" t="str">
        <f t="shared" si="11"/>
        <v/>
      </c>
      <c r="AD34" s="96" t="str">
        <f>IFERROR(AA34*AB34*Assumptions!$B$15/3956,"")</f>
        <v/>
      </c>
      <c r="AE34" s="244" t="str">
        <f>IFERROR(
IF(C34="VTS",
IF(O34&gt;=AVERAGE(
INDEX(Assumptions!$I$38:$I$57,MATCH(O34,Assumptions!$I$38:$I$57,-1)),
INDEX(Assumptions!$I$38:$I$57,MATCH(O34,Assumptions!$I$38:$I$57,-1)+1)),
INDEX(Assumptions!$I$38:$I$57,MATCH(O34,Assumptions!$I$38:$I$57,-1)),
INDEX(Assumptions!$I$38:$I$57,MATCH(O34,Assumptions!$I$38:$I$57,-1)+1)),
IF(O34&gt;=AVERAGE(
INDEX(Assumptions!$I$13:$I$32,MATCH(O34,Assumptions!$I$13:$I$32,-1)),
INDEX(Assumptions!$I$13:$I$32,MATCH(O34,Assumptions!$I$13:$I$32,-1)+1)),
INDEX(Assumptions!$I$13:$I$32,MATCH(O34,Assumptions!$I$13:$I$32,-1)),
INDEX(Assumptions!$I$13:$I$32,MATCH(O34,Assumptions!$I$13:$I$32,-1)+1))),
"")</f>
        <v/>
      </c>
      <c r="AF34" s="95" t="str">
        <f>IFERROR(
IF(C34="VTS",
VLOOKUP(AE34,Assumptions!$I$38:$K$57,MATCH(P34,Assumptions!$I$37:$K$37,0),FALSE),
VLOOKUP(AE34,Assumptions!$I$13:$K$32,MATCH(P34,Assumptions!$I$12:$K$12,0),FALSE)),
"")</f>
        <v/>
      </c>
      <c r="AG34" s="95" t="str">
        <f t="shared" si="12"/>
        <v/>
      </c>
      <c r="AH34" s="95" t="str">
        <f>IFERROR(AG34*
(Assumptions!$S$7*(V34/(AK34*Assumptions!$AB$9/100)/O34)^3+
Assumptions!$S$8*(V34/(AK34*Assumptions!$AB$9/100)/O34)^2+
Assumptions!$S$9*(V34/(AK34*Assumptions!$AB$9/100)/O34)+
Assumptions!$S$10),"")</f>
        <v/>
      </c>
      <c r="AI34" s="95" t="str">
        <f>IFERROR(AG34*
(Assumptions!$S$7*(Z34/(AK34*Assumptions!$AB$8/100)/O34)^3+
Assumptions!$S$8*(Z34/(AK34*Assumptions!$AB$8/100)/O34)^2+
Assumptions!$S$9*(Z34/(AK34*Assumptions!$AB$8/100)/O34)+
Assumptions!$S$10),"")</f>
        <v/>
      </c>
      <c r="AJ34" s="95" t="str">
        <f>IFERROR(AG34*
(Assumptions!$S$7*(AD34/(AK34*Assumptions!$AB$10/100)/O34)^3+
Assumptions!$S$8*(AD34/(AK34*Assumptions!$AB$10/100)/O34)^2+
Assumptions!$S$9*(AD34/(AK34*Assumptions!$AB$10/100)/O34)+
Assumptions!$S$10),"")</f>
        <v/>
      </c>
      <c r="AK34" s="95" t="str">
        <f>IFERROR(
Assumptions!$AD$8*LN(S34)^2+
Assumptions!$AE$8*LN(R34)*LN(S34)+
Assumptions!$AF$8*LN(R34)^2+
Assumptions!$AG$8*LN(S34)+
Assumptions!$AH$8*LN(R34)-
(IF(Q34=1800,
VLOOKUP(C34,Assumptions!$AA$13:$AC$17,3),
IF(Q34=3600,
VLOOKUP(C34,Assumptions!$AA$18:$AC$22,3),
""))+Assumptions!$AI$8),
"")</f>
        <v/>
      </c>
      <c r="AL34" s="96" t="str">
        <f>IFERROR(
Assumptions!$D$11*(V34/(Assumptions!$AB$9*AK34/100)+AH34)+
Assumptions!$D$10*(Z34/(Assumptions!$AB$8*AK34/100)+AI34)+
Assumptions!$D$12*(AD34/(Assumptions!$AB$10*AK34/100)+AJ34),
"")</f>
        <v/>
      </c>
      <c r="AM34" s="67" t="str">
        <f>IFERROR(
U34*Assumptions!$D$11+
Y34*Assumptions!$D$10+
AC34*Assumptions!$D$12,
"")</f>
        <v/>
      </c>
      <c r="AN34" s="77" t="str">
        <f t="shared" si="13"/>
        <v/>
      </c>
      <c r="AO34" s="30" t="str">
        <f t="shared" si="14"/>
        <v/>
      </c>
    </row>
    <row r="35" spans="1:41" x14ac:dyDescent="0.25">
      <c r="A35" s="264"/>
      <c r="B35" s="265"/>
      <c r="C35" s="265"/>
      <c r="D35" s="265"/>
      <c r="E35" s="266"/>
      <c r="F35" s="270"/>
      <c r="G35" s="271"/>
      <c r="H35" s="272"/>
      <c r="I35" s="270"/>
      <c r="J35" s="308"/>
      <c r="K35" s="272"/>
      <c r="L35" s="270"/>
      <c r="M35" s="308"/>
      <c r="N35" s="310"/>
      <c r="O35" s="306"/>
      <c r="P35" s="84" t="str">
        <f t="shared" si="0"/>
        <v/>
      </c>
      <c r="Q35" s="84" t="str">
        <f t="shared" si="1"/>
        <v/>
      </c>
      <c r="R35" s="93" t="str">
        <f t="shared" si="2"/>
        <v/>
      </c>
      <c r="S35" s="100" t="str">
        <f t="shared" si="3"/>
        <v/>
      </c>
      <c r="T35" s="95" t="str">
        <f t="shared" si="4"/>
        <v/>
      </c>
      <c r="U35" s="95" t="str">
        <f t="shared" si="5"/>
        <v/>
      </c>
      <c r="V35" s="96" t="str">
        <f>IFERROR(S35*T35*Assumptions!$B$15/3956,"")</f>
        <v/>
      </c>
      <c r="W35" s="102" t="str">
        <f t="shared" si="6"/>
        <v/>
      </c>
      <c r="X35" s="95" t="str">
        <f t="shared" si="7"/>
        <v/>
      </c>
      <c r="Y35" s="95" t="str">
        <f t="shared" si="8"/>
        <v/>
      </c>
      <c r="Z35" s="96" t="str">
        <f>IFERROR(W35*X35*Assumptions!$B$15/3956,"")</f>
        <v/>
      </c>
      <c r="AA35" s="100" t="str">
        <f t="shared" si="9"/>
        <v/>
      </c>
      <c r="AB35" s="95" t="str">
        <f t="shared" si="10"/>
        <v/>
      </c>
      <c r="AC35" s="95" t="str">
        <f t="shared" si="11"/>
        <v/>
      </c>
      <c r="AD35" s="96" t="str">
        <f>IFERROR(AA35*AB35*Assumptions!$B$15/3956,"")</f>
        <v/>
      </c>
      <c r="AE35" s="244" t="str">
        <f>IFERROR(
IF(C35="VTS",
IF(O35&gt;=AVERAGE(
INDEX(Assumptions!$I$38:$I$57,MATCH(O35,Assumptions!$I$38:$I$57,-1)),
INDEX(Assumptions!$I$38:$I$57,MATCH(O35,Assumptions!$I$38:$I$57,-1)+1)),
INDEX(Assumptions!$I$38:$I$57,MATCH(O35,Assumptions!$I$38:$I$57,-1)),
INDEX(Assumptions!$I$38:$I$57,MATCH(O35,Assumptions!$I$38:$I$57,-1)+1)),
IF(O35&gt;=AVERAGE(
INDEX(Assumptions!$I$13:$I$32,MATCH(O35,Assumptions!$I$13:$I$32,-1)),
INDEX(Assumptions!$I$13:$I$32,MATCH(O35,Assumptions!$I$13:$I$32,-1)+1)),
INDEX(Assumptions!$I$13:$I$32,MATCH(O35,Assumptions!$I$13:$I$32,-1)),
INDEX(Assumptions!$I$13:$I$32,MATCH(O35,Assumptions!$I$13:$I$32,-1)+1))),
"")</f>
        <v/>
      </c>
      <c r="AF35" s="95" t="str">
        <f>IFERROR(
IF(C35="VTS",
VLOOKUP(AE35,Assumptions!$I$38:$K$57,MATCH(P35,Assumptions!$I$37:$K$37,0),FALSE),
VLOOKUP(AE35,Assumptions!$I$13:$K$32,MATCH(P35,Assumptions!$I$12:$K$12,0),FALSE)),
"")</f>
        <v/>
      </c>
      <c r="AG35" s="95" t="str">
        <f t="shared" si="12"/>
        <v/>
      </c>
      <c r="AH35" s="95" t="str">
        <f>IFERROR(AG35*
(Assumptions!$S$7*(V35/(AK35*Assumptions!$AB$9/100)/O35)^3+
Assumptions!$S$8*(V35/(AK35*Assumptions!$AB$9/100)/O35)^2+
Assumptions!$S$9*(V35/(AK35*Assumptions!$AB$9/100)/O35)+
Assumptions!$S$10),"")</f>
        <v/>
      </c>
      <c r="AI35" s="95" t="str">
        <f>IFERROR(AG35*
(Assumptions!$S$7*(Z35/(AK35*Assumptions!$AB$8/100)/O35)^3+
Assumptions!$S$8*(Z35/(AK35*Assumptions!$AB$8/100)/O35)^2+
Assumptions!$S$9*(Z35/(AK35*Assumptions!$AB$8/100)/O35)+
Assumptions!$S$10),"")</f>
        <v/>
      </c>
      <c r="AJ35" s="95" t="str">
        <f>IFERROR(AG35*
(Assumptions!$S$7*(AD35/(AK35*Assumptions!$AB$10/100)/O35)^3+
Assumptions!$S$8*(AD35/(AK35*Assumptions!$AB$10/100)/O35)^2+
Assumptions!$S$9*(AD35/(AK35*Assumptions!$AB$10/100)/O35)+
Assumptions!$S$10),"")</f>
        <v/>
      </c>
      <c r="AK35" s="95" t="str">
        <f>IFERROR(
Assumptions!$AD$8*LN(S35)^2+
Assumptions!$AE$8*LN(R35)*LN(S35)+
Assumptions!$AF$8*LN(R35)^2+
Assumptions!$AG$8*LN(S35)+
Assumptions!$AH$8*LN(R35)-
(IF(Q35=1800,
VLOOKUP(C35,Assumptions!$AA$13:$AC$17,3),
IF(Q35=3600,
VLOOKUP(C35,Assumptions!$AA$18:$AC$22,3),
""))+Assumptions!$AI$8),
"")</f>
        <v/>
      </c>
      <c r="AL35" s="96" t="str">
        <f>IFERROR(
Assumptions!$D$11*(V35/(Assumptions!$AB$9*AK35/100)+AH35)+
Assumptions!$D$10*(Z35/(Assumptions!$AB$8*AK35/100)+AI35)+
Assumptions!$D$12*(AD35/(Assumptions!$AB$10*AK35/100)+AJ35),
"")</f>
        <v/>
      </c>
      <c r="AM35" s="67" t="str">
        <f>IFERROR(
U35*Assumptions!$D$11+
Y35*Assumptions!$D$10+
AC35*Assumptions!$D$12,
"")</f>
        <v/>
      </c>
      <c r="AN35" s="77" t="str">
        <f t="shared" si="13"/>
        <v/>
      </c>
      <c r="AO35" s="30" t="str">
        <f t="shared" si="14"/>
        <v/>
      </c>
    </row>
    <row r="36" spans="1:41" x14ac:dyDescent="0.25">
      <c r="A36" s="264"/>
      <c r="B36" s="265"/>
      <c r="C36" s="265"/>
      <c r="D36" s="265"/>
      <c r="E36" s="266"/>
      <c r="F36" s="270"/>
      <c r="G36" s="271"/>
      <c r="H36" s="272"/>
      <c r="I36" s="270"/>
      <c r="J36" s="308"/>
      <c r="K36" s="272"/>
      <c r="L36" s="270"/>
      <c r="M36" s="308"/>
      <c r="N36" s="310"/>
      <c r="O36" s="306"/>
      <c r="P36" s="84" t="str">
        <f t="shared" si="0"/>
        <v/>
      </c>
      <c r="Q36" s="84" t="str">
        <f t="shared" si="1"/>
        <v/>
      </c>
      <c r="R36" s="93" t="str">
        <f t="shared" si="2"/>
        <v/>
      </c>
      <c r="S36" s="100" t="str">
        <f t="shared" si="3"/>
        <v/>
      </c>
      <c r="T36" s="95" t="str">
        <f t="shared" si="4"/>
        <v/>
      </c>
      <c r="U36" s="95" t="str">
        <f t="shared" si="5"/>
        <v/>
      </c>
      <c r="V36" s="96" t="str">
        <f>IFERROR(S36*T36*Assumptions!$B$15/3956,"")</f>
        <v/>
      </c>
      <c r="W36" s="102" t="str">
        <f t="shared" si="6"/>
        <v/>
      </c>
      <c r="X36" s="95" t="str">
        <f t="shared" si="7"/>
        <v/>
      </c>
      <c r="Y36" s="95" t="str">
        <f t="shared" si="8"/>
        <v/>
      </c>
      <c r="Z36" s="96" t="str">
        <f>IFERROR(W36*X36*Assumptions!$B$15/3956,"")</f>
        <v/>
      </c>
      <c r="AA36" s="100" t="str">
        <f t="shared" si="9"/>
        <v/>
      </c>
      <c r="AB36" s="95" t="str">
        <f t="shared" si="10"/>
        <v/>
      </c>
      <c r="AC36" s="95" t="str">
        <f t="shared" si="11"/>
        <v/>
      </c>
      <c r="AD36" s="96" t="str">
        <f>IFERROR(AA36*AB36*Assumptions!$B$15/3956,"")</f>
        <v/>
      </c>
      <c r="AE36" s="244" t="str">
        <f>IFERROR(
IF(C36="VTS",
IF(O36&gt;=AVERAGE(
INDEX(Assumptions!$I$38:$I$57,MATCH(O36,Assumptions!$I$38:$I$57,-1)),
INDEX(Assumptions!$I$38:$I$57,MATCH(O36,Assumptions!$I$38:$I$57,-1)+1)),
INDEX(Assumptions!$I$38:$I$57,MATCH(O36,Assumptions!$I$38:$I$57,-1)),
INDEX(Assumptions!$I$38:$I$57,MATCH(O36,Assumptions!$I$38:$I$57,-1)+1)),
IF(O36&gt;=AVERAGE(
INDEX(Assumptions!$I$13:$I$32,MATCH(O36,Assumptions!$I$13:$I$32,-1)),
INDEX(Assumptions!$I$13:$I$32,MATCH(O36,Assumptions!$I$13:$I$32,-1)+1)),
INDEX(Assumptions!$I$13:$I$32,MATCH(O36,Assumptions!$I$13:$I$32,-1)),
INDEX(Assumptions!$I$13:$I$32,MATCH(O36,Assumptions!$I$13:$I$32,-1)+1))),
"")</f>
        <v/>
      </c>
      <c r="AF36" s="95" t="str">
        <f>IFERROR(
IF(C36="VTS",
VLOOKUP(AE36,Assumptions!$I$38:$K$57,MATCH(P36,Assumptions!$I$37:$K$37,0),FALSE),
VLOOKUP(AE36,Assumptions!$I$13:$K$32,MATCH(P36,Assumptions!$I$12:$K$12,0),FALSE)),
"")</f>
        <v/>
      </c>
      <c r="AG36" s="95" t="str">
        <f t="shared" si="12"/>
        <v/>
      </c>
      <c r="AH36" s="95" t="str">
        <f>IFERROR(AG36*
(Assumptions!$S$7*(V36/(AK36*Assumptions!$AB$9/100)/O36)^3+
Assumptions!$S$8*(V36/(AK36*Assumptions!$AB$9/100)/O36)^2+
Assumptions!$S$9*(V36/(AK36*Assumptions!$AB$9/100)/O36)+
Assumptions!$S$10),"")</f>
        <v/>
      </c>
      <c r="AI36" s="95" t="str">
        <f>IFERROR(AG36*
(Assumptions!$S$7*(Z36/(AK36*Assumptions!$AB$8/100)/O36)^3+
Assumptions!$S$8*(Z36/(AK36*Assumptions!$AB$8/100)/O36)^2+
Assumptions!$S$9*(Z36/(AK36*Assumptions!$AB$8/100)/O36)+
Assumptions!$S$10),"")</f>
        <v/>
      </c>
      <c r="AJ36" s="95" t="str">
        <f>IFERROR(AG36*
(Assumptions!$S$7*(AD36/(AK36*Assumptions!$AB$10/100)/O36)^3+
Assumptions!$S$8*(AD36/(AK36*Assumptions!$AB$10/100)/O36)^2+
Assumptions!$S$9*(AD36/(AK36*Assumptions!$AB$10/100)/O36)+
Assumptions!$S$10),"")</f>
        <v/>
      </c>
      <c r="AK36" s="95" t="str">
        <f>IFERROR(
Assumptions!$AD$8*LN(S36)^2+
Assumptions!$AE$8*LN(R36)*LN(S36)+
Assumptions!$AF$8*LN(R36)^2+
Assumptions!$AG$8*LN(S36)+
Assumptions!$AH$8*LN(R36)-
(IF(Q36=1800,
VLOOKUP(C36,Assumptions!$AA$13:$AC$17,3),
IF(Q36=3600,
VLOOKUP(C36,Assumptions!$AA$18:$AC$22,3),
""))+Assumptions!$AI$8),
"")</f>
        <v/>
      </c>
      <c r="AL36" s="96" t="str">
        <f>IFERROR(
Assumptions!$D$11*(V36/(Assumptions!$AB$9*AK36/100)+AH36)+
Assumptions!$D$10*(Z36/(Assumptions!$AB$8*AK36/100)+AI36)+
Assumptions!$D$12*(AD36/(Assumptions!$AB$10*AK36/100)+AJ36),
"")</f>
        <v/>
      </c>
      <c r="AM36" s="67" t="str">
        <f>IFERROR(
U36*Assumptions!$D$11+
Y36*Assumptions!$D$10+
AC36*Assumptions!$D$12,
"")</f>
        <v/>
      </c>
      <c r="AN36" s="77" t="str">
        <f t="shared" si="13"/>
        <v/>
      </c>
      <c r="AO36" s="30" t="str">
        <f t="shared" si="14"/>
        <v/>
      </c>
    </row>
    <row r="37" spans="1:41" x14ac:dyDescent="0.25">
      <c r="A37" s="264"/>
      <c r="B37" s="265"/>
      <c r="C37" s="265"/>
      <c r="D37" s="265"/>
      <c r="E37" s="266"/>
      <c r="F37" s="270"/>
      <c r="G37" s="271"/>
      <c r="H37" s="272"/>
      <c r="I37" s="270"/>
      <c r="J37" s="308"/>
      <c r="K37" s="272"/>
      <c r="L37" s="270"/>
      <c r="M37" s="308"/>
      <c r="N37" s="310"/>
      <c r="O37" s="306"/>
      <c r="P37" s="84" t="str">
        <f t="shared" si="0"/>
        <v/>
      </c>
      <c r="Q37" s="84" t="str">
        <f t="shared" si="1"/>
        <v/>
      </c>
      <c r="R37" s="93" t="str">
        <f t="shared" si="2"/>
        <v/>
      </c>
      <c r="S37" s="100" t="str">
        <f t="shared" si="3"/>
        <v/>
      </c>
      <c r="T37" s="95" t="str">
        <f t="shared" si="4"/>
        <v/>
      </c>
      <c r="U37" s="95" t="str">
        <f t="shared" si="5"/>
        <v/>
      </c>
      <c r="V37" s="96" t="str">
        <f>IFERROR(S37*T37*Assumptions!$B$15/3956,"")</f>
        <v/>
      </c>
      <c r="W37" s="102" t="str">
        <f t="shared" si="6"/>
        <v/>
      </c>
      <c r="X37" s="95" t="str">
        <f t="shared" si="7"/>
        <v/>
      </c>
      <c r="Y37" s="95" t="str">
        <f t="shared" si="8"/>
        <v/>
      </c>
      <c r="Z37" s="96" t="str">
        <f>IFERROR(W37*X37*Assumptions!$B$15/3956,"")</f>
        <v/>
      </c>
      <c r="AA37" s="100" t="str">
        <f t="shared" si="9"/>
        <v/>
      </c>
      <c r="AB37" s="95" t="str">
        <f t="shared" si="10"/>
        <v/>
      </c>
      <c r="AC37" s="95" t="str">
        <f t="shared" si="11"/>
        <v/>
      </c>
      <c r="AD37" s="96" t="str">
        <f>IFERROR(AA37*AB37*Assumptions!$B$15/3956,"")</f>
        <v/>
      </c>
      <c r="AE37" s="244" t="str">
        <f>IFERROR(
IF(C37="VTS",
IF(O37&gt;=AVERAGE(
INDEX(Assumptions!$I$38:$I$57,MATCH(O37,Assumptions!$I$38:$I$57,-1)),
INDEX(Assumptions!$I$38:$I$57,MATCH(O37,Assumptions!$I$38:$I$57,-1)+1)),
INDEX(Assumptions!$I$38:$I$57,MATCH(O37,Assumptions!$I$38:$I$57,-1)),
INDEX(Assumptions!$I$38:$I$57,MATCH(O37,Assumptions!$I$38:$I$57,-1)+1)),
IF(O37&gt;=AVERAGE(
INDEX(Assumptions!$I$13:$I$32,MATCH(O37,Assumptions!$I$13:$I$32,-1)),
INDEX(Assumptions!$I$13:$I$32,MATCH(O37,Assumptions!$I$13:$I$32,-1)+1)),
INDEX(Assumptions!$I$13:$I$32,MATCH(O37,Assumptions!$I$13:$I$32,-1)),
INDEX(Assumptions!$I$13:$I$32,MATCH(O37,Assumptions!$I$13:$I$32,-1)+1))),
"")</f>
        <v/>
      </c>
      <c r="AF37" s="95" t="str">
        <f>IFERROR(
IF(C37="VTS",
VLOOKUP(AE37,Assumptions!$I$38:$K$57,MATCH(P37,Assumptions!$I$37:$K$37,0),FALSE),
VLOOKUP(AE37,Assumptions!$I$13:$K$32,MATCH(P37,Assumptions!$I$12:$K$12,0),FALSE)),
"")</f>
        <v/>
      </c>
      <c r="AG37" s="95" t="str">
        <f t="shared" si="12"/>
        <v/>
      </c>
      <c r="AH37" s="95" t="str">
        <f>IFERROR(AG37*
(Assumptions!$S$7*(V37/(AK37*Assumptions!$AB$9/100)/O37)^3+
Assumptions!$S$8*(V37/(AK37*Assumptions!$AB$9/100)/O37)^2+
Assumptions!$S$9*(V37/(AK37*Assumptions!$AB$9/100)/O37)+
Assumptions!$S$10),"")</f>
        <v/>
      </c>
      <c r="AI37" s="95" t="str">
        <f>IFERROR(AG37*
(Assumptions!$S$7*(Z37/(AK37*Assumptions!$AB$8/100)/O37)^3+
Assumptions!$S$8*(Z37/(AK37*Assumptions!$AB$8/100)/O37)^2+
Assumptions!$S$9*(Z37/(AK37*Assumptions!$AB$8/100)/O37)+
Assumptions!$S$10),"")</f>
        <v/>
      </c>
      <c r="AJ37" s="95" t="str">
        <f>IFERROR(AG37*
(Assumptions!$S$7*(AD37/(AK37*Assumptions!$AB$10/100)/O37)^3+
Assumptions!$S$8*(AD37/(AK37*Assumptions!$AB$10/100)/O37)^2+
Assumptions!$S$9*(AD37/(AK37*Assumptions!$AB$10/100)/O37)+
Assumptions!$S$10),"")</f>
        <v/>
      </c>
      <c r="AK37" s="95" t="str">
        <f>IFERROR(
Assumptions!$AD$8*LN(S37)^2+
Assumptions!$AE$8*LN(R37)*LN(S37)+
Assumptions!$AF$8*LN(R37)^2+
Assumptions!$AG$8*LN(S37)+
Assumptions!$AH$8*LN(R37)-
(IF(Q37=1800,
VLOOKUP(C37,Assumptions!$AA$13:$AC$17,3),
IF(Q37=3600,
VLOOKUP(C37,Assumptions!$AA$18:$AC$22,3),
""))+Assumptions!$AI$8),
"")</f>
        <v/>
      </c>
      <c r="AL37" s="96" t="str">
        <f>IFERROR(
Assumptions!$D$11*(V37/(Assumptions!$AB$9*AK37/100)+AH37)+
Assumptions!$D$10*(Z37/(Assumptions!$AB$8*AK37/100)+AI37)+
Assumptions!$D$12*(AD37/(Assumptions!$AB$10*AK37/100)+AJ37),
"")</f>
        <v/>
      </c>
      <c r="AM37" s="67" t="str">
        <f>IFERROR(
U37*Assumptions!$D$11+
Y37*Assumptions!$D$10+
AC37*Assumptions!$D$12,
"")</f>
        <v/>
      </c>
      <c r="AN37" s="77" t="str">
        <f t="shared" si="13"/>
        <v/>
      </c>
      <c r="AO37" s="30" t="str">
        <f t="shared" si="14"/>
        <v/>
      </c>
    </row>
    <row r="38" spans="1:41" x14ac:dyDescent="0.25">
      <c r="A38" s="264"/>
      <c r="B38" s="265"/>
      <c r="C38" s="265"/>
      <c r="D38" s="265"/>
      <c r="E38" s="266"/>
      <c r="F38" s="270"/>
      <c r="G38" s="271"/>
      <c r="H38" s="272"/>
      <c r="I38" s="270"/>
      <c r="J38" s="308"/>
      <c r="K38" s="272"/>
      <c r="L38" s="270"/>
      <c r="M38" s="308"/>
      <c r="N38" s="310"/>
      <c r="O38" s="306"/>
      <c r="P38" s="84" t="str">
        <f t="shared" si="0"/>
        <v/>
      </c>
      <c r="Q38" s="84" t="str">
        <f t="shared" si="1"/>
        <v/>
      </c>
      <c r="R38" s="93" t="str">
        <f t="shared" si="2"/>
        <v/>
      </c>
      <c r="S38" s="100" t="str">
        <f t="shared" si="3"/>
        <v/>
      </c>
      <c r="T38" s="95" t="str">
        <f t="shared" si="4"/>
        <v/>
      </c>
      <c r="U38" s="95" t="str">
        <f t="shared" si="5"/>
        <v/>
      </c>
      <c r="V38" s="96" t="str">
        <f>IFERROR(S38*T38*Assumptions!$B$15/3956,"")</f>
        <v/>
      </c>
      <c r="W38" s="102" t="str">
        <f t="shared" si="6"/>
        <v/>
      </c>
      <c r="X38" s="95" t="str">
        <f t="shared" si="7"/>
        <v/>
      </c>
      <c r="Y38" s="95" t="str">
        <f t="shared" si="8"/>
        <v/>
      </c>
      <c r="Z38" s="96" t="str">
        <f>IFERROR(W38*X38*Assumptions!$B$15/3956,"")</f>
        <v/>
      </c>
      <c r="AA38" s="100" t="str">
        <f t="shared" si="9"/>
        <v/>
      </c>
      <c r="AB38" s="95" t="str">
        <f t="shared" si="10"/>
        <v/>
      </c>
      <c r="AC38" s="95" t="str">
        <f t="shared" si="11"/>
        <v/>
      </c>
      <c r="AD38" s="96" t="str">
        <f>IFERROR(AA38*AB38*Assumptions!$B$15/3956,"")</f>
        <v/>
      </c>
      <c r="AE38" s="244" t="str">
        <f>IFERROR(
IF(C38="VTS",
IF(O38&gt;=AVERAGE(
INDEX(Assumptions!$I$38:$I$57,MATCH(O38,Assumptions!$I$38:$I$57,-1)),
INDEX(Assumptions!$I$38:$I$57,MATCH(O38,Assumptions!$I$38:$I$57,-1)+1)),
INDEX(Assumptions!$I$38:$I$57,MATCH(O38,Assumptions!$I$38:$I$57,-1)),
INDEX(Assumptions!$I$38:$I$57,MATCH(O38,Assumptions!$I$38:$I$57,-1)+1)),
IF(O38&gt;=AVERAGE(
INDEX(Assumptions!$I$13:$I$32,MATCH(O38,Assumptions!$I$13:$I$32,-1)),
INDEX(Assumptions!$I$13:$I$32,MATCH(O38,Assumptions!$I$13:$I$32,-1)+1)),
INDEX(Assumptions!$I$13:$I$32,MATCH(O38,Assumptions!$I$13:$I$32,-1)),
INDEX(Assumptions!$I$13:$I$32,MATCH(O38,Assumptions!$I$13:$I$32,-1)+1))),
"")</f>
        <v/>
      </c>
      <c r="AF38" s="95" t="str">
        <f>IFERROR(
IF(C38="VTS",
VLOOKUP(AE38,Assumptions!$I$38:$K$57,MATCH(P38,Assumptions!$I$37:$K$37,0),FALSE),
VLOOKUP(AE38,Assumptions!$I$13:$K$32,MATCH(P38,Assumptions!$I$12:$K$12,0),FALSE)),
"")</f>
        <v/>
      </c>
      <c r="AG38" s="95" t="str">
        <f t="shared" si="12"/>
        <v/>
      </c>
      <c r="AH38" s="95" t="str">
        <f>IFERROR(AG38*
(Assumptions!$S$7*(V38/(AK38*Assumptions!$AB$9/100)/O38)^3+
Assumptions!$S$8*(V38/(AK38*Assumptions!$AB$9/100)/O38)^2+
Assumptions!$S$9*(V38/(AK38*Assumptions!$AB$9/100)/O38)+
Assumptions!$S$10),"")</f>
        <v/>
      </c>
      <c r="AI38" s="95" t="str">
        <f>IFERROR(AG38*
(Assumptions!$S$7*(Z38/(AK38*Assumptions!$AB$8/100)/O38)^3+
Assumptions!$S$8*(Z38/(AK38*Assumptions!$AB$8/100)/O38)^2+
Assumptions!$S$9*(Z38/(AK38*Assumptions!$AB$8/100)/O38)+
Assumptions!$S$10),"")</f>
        <v/>
      </c>
      <c r="AJ38" s="95" t="str">
        <f>IFERROR(AG38*
(Assumptions!$S$7*(AD38/(AK38*Assumptions!$AB$10/100)/O38)^3+
Assumptions!$S$8*(AD38/(AK38*Assumptions!$AB$10/100)/O38)^2+
Assumptions!$S$9*(AD38/(AK38*Assumptions!$AB$10/100)/O38)+
Assumptions!$S$10),"")</f>
        <v/>
      </c>
      <c r="AK38" s="95" t="str">
        <f>IFERROR(
Assumptions!$AD$8*LN(S38)^2+
Assumptions!$AE$8*LN(R38)*LN(S38)+
Assumptions!$AF$8*LN(R38)^2+
Assumptions!$AG$8*LN(S38)+
Assumptions!$AH$8*LN(R38)-
(IF(Q38=1800,
VLOOKUP(C38,Assumptions!$AA$13:$AC$17,3),
IF(Q38=3600,
VLOOKUP(C38,Assumptions!$AA$18:$AC$22,3),
""))+Assumptions!$AI$8),
"")</f>
        <v/>
      </c>
      <c r="AL38" s="96" t="str">
        <f>IFERROR(
Assumptions!$D$11*(V38/(Assumptions!$AB$9*AK38/100)+AH38)+
Assumptions!$D$10*(Z38/(Assumptions!$AB$8*AK38/100)+AI38)+
Assumptions!$D$12*(AD38/(Assumptions!$AB$10*AK38/100)+AJ38),
"")</f>
        <v/>
      </c>
      <c r="AM38" s="67" t="str">
        <f>IFERROR(
U38*Assumptions!$D$11+
Y38*Assumptions!$D$10+
AC38*Assumptions!$D$12,
"")</f>
        <v/>
      </c>
      <c r="AN38" s="77" t="str">
        <f t="shared" si="13"/>
        <v/>
      </c>
      <c r="AO38" s="30" t="str">
        <f t="shared" si="14"/>
        <v/>
      </c>
    </row>
    <row r="39" spans="1:41" x14ac:dyDescent="0.25">
      <c r="A39" s="264"/>
      <c r="B39" s="265"/>
      <c r="C39" s="265"/>
      <c r="D39" s="265"/>
      <c r="E39" s="266"/>
      <c r="F39" s="270"/>
      <c r="G39" s="271"/>
      <c r="H39" s="272"/>
      <c r="I39" s="270"/>
      <c r="J39" s="308"/>
      <c r="K39" s="272"/>
      <c r="L39" s="270"/>
      <c r="M39" s="308"/>
      <c r="N39" s="310"/>
      <c r="O39" s="306"/>
      <c r="P39" s="84" t="str">
        <f t="shared" si="0"/>
        <v/>
      </c>
      <c r="Q39" s="84" t="str">
        <f t="shared" si="1"/>
        <v/>
      </c>
      <c r="R39" s="93" t="str">
        <f t="shared" si="2"/>
        <v/>
      </c>
      <c r="S39" s="100" t="str">
        <f t="shared" si="3"/>
        <v/>
      </c>
      <c r="T39" s="95" t="str">
        <f t="shared" si="4"/>
        <v/>
      </c>
      <c r="U39" s="95" t="str">
        <f t="shared" si="5"/>
        <v/>
      </c>
      <c r="V39" s="96" t="str">
        <f>IFERROR(S39*T39*Assumptions!$B$15/3956,"")</f>
        <v/>
      </c>
      <c r="W39" s="102" t="str">
        <f t="shared" si="6"/>
        <v/>
      </c>
      <c r="X39" s="95" t="str">
        <f t="shared" si="7"/>
        <v/>
      </c>
      <c r="Y39" s="95" t="str">
        <f t="shared" si="8"/>
        <v/>
      </c>
      <c r="Z39" s="96" t="str">
        <f>IFERROR(W39*X39*Assumptions!$B$15/3956,"")</f>
        <v/>
      </c>
      <c r="AA39" s="100" t="str">
        <f t="shared" si="9"/>
        <v/>
      </c>
      <c r="AB39" s="95" t="str">
        <f t="shared" si="10"/>
        <v/>
      </c>
      <c r="AC39" s="95" t="str">
        <f t="shared" si="11"/>
        <v/>
      </c>
      <c r="AD39" s="96" t="str">
        <f>IFERROR(AA39*AB39*Assumptions!$B$15/3956,"")</f>
        <v/>
      </c>
      <c r="AE39" s="244" t="str">
        <f>IFERROR(
IF(C39="VTS",
IF(O39&gt;=AVERAGE(
INDEX(Assumptions!$I$38:$I$57,MATCH(O39,Assumptions!$I$38:$I$57,-1)),
INDEX(Assumptions!$I$38:$I$57,MATCH(O39,Assumptions!$I$38:$I$57,-1)+1)),
INDEX(Assumptions!$I$38:$I$57,MATCH(O39,Assumptions!$I$38:$I$57,-1)),
INDEX(Assumptions!$I$38:$I$57,MATCH(O39,Assumptions!$I$38:$I$57,-1)+1)),
IF(O39&gt;=AVERAGE(
INDEX(Assumptions!$I$13:$I$32,MATCH(O39,Assumptions!$I$13:$I$32,-1)),
INDEX(Assumptions!$I$13:$I$32,MATCH(O39,Assumptions!$I$13:$I$32,-1)+1)),
INDEX(Assumptions!$I$13:$I$32,MATCH(O39,Assumptions!$I$13:$I$32,-1)),
INDEX(Assumptions!$I$13:$I$32,MATCH(O39,Assumptions!$I$13:$I$32,-1)+1))),
"")</f>
        <v/>
      </c>
      <c r="AF39" s="95" t="str">
        <f>IFERROR(
IF(C39="VTS",
VLOOKUP(AE39,Assumptions!$I$38:$K$57,MATCH(P39,Assumptions!$I$37:$K$37,0),FALSE),
VLOOKUP(AE39,Assumptions!$I$13:$K$32,MATCH(P39,Assumptions!$I$12:$K$12,0),FALSE)),
"")</f>
        <v/>
      </c>
      <c r="AG39" s="95" t="str">
        <f t="shared" si="12"/>
        <v/>
      </c>
      <c r="AH39" s="95" t="str">
        <f>IFERROR(AG39*
(Assumptions!$S$7*(V39/(AK39*Assumptions!$AB$9/100)/O39)^3+
Assumptions!$S$8*(V39/(AK39*Assumptions!$AB$9/100)/O39)^2+
Assumptions!$S$9*(V39/(AK39*Assumptions!$AB$9/100)/O39)+
Assumptions!$S$10),"")</f>
        <v/>
      </c>
      <c r="AI39" s="95" t="str">
        <f>IFERROR(AG39*
(Assumptions!$S$7*(Z39/(AK39*Assumptions!$AB$8/100)/O39)^3+
Assumptions!$S$8*(Z39/(AK39*Assumptions!$AB$8/100)/O39)^2+
Assumptions!$S$9*(Z39/(AK39*Assumptions!$AB$8/100)/O39)+
Assumptions!$S$10),"")</f>
        <v/>
      </c>
      <c r="AJ39" s="95" t="str">
        <f>IFERROR(AG39*
(Assumptions!$S$7*(AD39/(AK39*Assumptions!$AB$10/100)/O39)^3+
Assumptions!$S$8*(AD39/(AK39*Assumptions!$AB$10/100)/O39)^2+
Assumptions!$S$9*(AD39/(AK39*Assumptions!$AB$10/100)/O39)+
Assumptions!$S$10),"")</f>
        <v/>
      </c>
      <c r="AK39" s="95" t="str">
        <f>IFERROR(
Assumptions!$AD$8*LN(S39)^2+
Assumptions!$AE$8*LN(R39)*LN(S39)+
Assumptions!$AF$8*LN(R39)^2+
Assumptions!$AG$8*LN(S39)+
Assumptions!$AH$8*LN(R39)-
(IF(Q39=1800,
VLOOKUP(C39,Assumptions!$AA$13:$AC$17,3),
IF(Q39=3600,
VLOOKUP(C39,Assumptions!$AA$18:$AC$22,3),
""))+Assumptions!$AI$8),
"")</f>
        <v/>
      </c>
      <c r="AL39" s="96" t="str">
        <f>IFERROR(
Assumptions!$D$11*(V39/(Assumptions!$AB$9*AK39/100)+AH39)+
Assumptions!$D$10*(Z39/(Assumptions!$AB$8*AK39/100)+AI39)+
Assumptions!$D$12*(AD39/(Assumptions!$AB$10*AK39/100)+AJ39),
"")</f>
        <v/>
      </c>
      <c r="AM39" s="67" t="str">
        <f>IFERROR(
U39*Assumptions!$D$11+
Y39*Assumptions!$D$10+
AC39*Assumptions!$D$12,
"")</f>
        <v/>
      </c>
      <c r="AN39" s="77" t="str">
        <f t="shared" si="13"/>
        <v/>
      </c>
      <c r="AO39" s="30" t="str">
        <f t="shared" si="14"/>
        <v/>
      </c>
    </row>
    <row r="40" spans="1:41" x14ac:dyDescent="0.25">
      <c r="A40" s="264"/>
      <c r="B40" s="265"/>
      <c r="C40" s="265"/>
      <c r="D40" s="265"/>
      <c r="E40" s="266"/>
      <c r="F40" s="270"/>
      <c r="G40" s="271"/>
      <c r="H40" s="272"/>
      <c r="I40" s="270"/>
      <c r="J40" s="308"/>
      <c r="K40" s="272"/>
      <c r="L40" s="270"/>
      <c r="M40" s="308"/>
      <c r="N40" s="310"/>
      <c r="O40" s="306"/>
      <c r="P40" s="84" t="str">
        <f t="shared" si="0"/>
        <v/>
      </c>
      <c r="Q40" s="84" t="str">
        <f t="shared" si="1"/>
        <v/>
      </c>
      <c r="R40" s="93" t="str">
        <f t="shared" si="2"/>
        <v/>
      </c>
      <c r="S40" s="100" t="str">
        <f t="shared" si="3"/>
        <v/>
      </c>
      <c r="T40" s="95" t="str">
        <f t="shared" si="4"/>
        <v/>
      </c>
      <c r="U40" s="95" t="str">
        <f t="shared" si="5"/>
        <v/>
      </c>
      <c r="V40" s="96" t="str">
        <f>IFERROR(S40*T40*Assumptions!$B$15/3956,"")</f>
        <v/>
      </c>
      <c r="W40" s="102" t="str">
        <f t="shared" si="6"/>
        <v/>
      </c>
      <c r="X40" s="95" t="str">
        <f t="shared" si="7"/>
        <v/>
      </c>
      <c r="Y40" s="95" t="str">
        <f t="shared" si="8"/>
        <v/>
      </c>
      <c r="Z40" s="96" t="str">
        <f>IFERROR(W40*X40*Assumptions!$B$15/3956,"")</f>
        <v/>
      </c>
      <c r="AA40" s="100" t="str">
        <f t="shared" si="9"/>
        <v/>
      </c>
      <c r="AB40" s="95" t="str">
        <f t="shared" si="10"/>
        <v/>
      </c>
      <c r="AC40" s="95" t="str">
        <f t="shared" si="11"/>
        <v/>
      </c>
      <c r="AD40" s="96" t="str">
        <f>IFERROR(AA40*AB40*Assumptions!$B$15/3956,"")</f>
        <v/>
      </c>
      <c r="AE40" s="244" t="str">
        <f>IFERROR(
IF(C40="VTS",
IF(O40&gt;=AVERAGE(
INDEX(Assumptions!$I$38:$I$57,MATCH(O40,Assumptions!$I$38:$I$57,-1)),
INDEX(Assumptions!$I$38:$I$57,MATCH(O40,Assumptions!$I$38:$I$57,-1)+1)),
INDEX(Assumptions!$I$38:$I$57,MATCH(O40,Assumptions!$I$38:$I$57,-1)),
INDEX(Assumptions!$I$38:$I$57,MATCH(O40,Assumptions!$I$38:$I$57,-1)+1)),
IF(O40&gt;=AVERAGE(
INDEX(Assumptions!$I$13:$I$32,MATCH(O40,Assumptions!$I$13:$I$32,-1)),
INDEX(Assumptions!$I$13:$I$32,MATCH(O40,Assumptions!$I$13:$I$32,-1)+1)),
INDEX(Assumptions!$I$13:$I$32,MATCH(O40,Assumptions!$I$13:$I$32,-1)),
INDEX(Assumptions!$I$13:$I$32,MATCH(O40,Assumptions!$I$13:$I$32,-1)+1))),
"")</f>
        <v/>
      </c>
      <c r="AF40" s="95" t="str">
        <f>IFERROR(
IF(C40="VTS",
VLOOKUP(AE40,Assumptions!$I$38:$K$57,MATCH(P40,Assumptions!$I$37:$K$37,0),FALSE),
VLOOKUP(AE40,Assumptions!$I$13:$K$32,MATCH(P40,Assumptions!$I$12:$K$12,0),FALSE)),
"")</f>
        <v/>
      </c>
      <c r="AG40" s="95" t="str">
        <f t="shared" si="12"/>
        <v/>
      </c>
      <c r="AH40" s="95" t="str">
        <f>IFERROR(AG40*
(Assumptions!$S$7*(V40/(AK40*Assumptions!$AB$9/100)/O40)^3+
Assumptions!$S$8*(V40/(AK40*Assumptions!$AB$9/100)/O40)^2+
Assumptions!$S$9*(V40/(AK40*Assumptions!$AB$9/100)/O40)+
Assumptions!$S$10),"")</f>
        <v/>
      </c>
      <c r="AI40" s="95" t="str">
        <f>IFERROR(AG40*
(Assumptions!$S$7*(Z40/(AK40*Assumptions!$AB$8/100)/O40)^3+
Assumptions!$S$8*(Z40/(AK40*Assumptions!$AB$8/100)/O40)^2+
Assumptions!$S$9*(Z40/(AK40*Assumptions!$AB$8/100)/O40)+
Assumptions!$S$10),"")</f>
        <v/>
      </c>
      <c r="AJ40" s="95" t="str">
        <f>IFERROR(AG40*
(Assumptions!$S$7*(AD40/(AK40*Assumptions!$AB$10/100)/O40)^3+
Assumptions!$S$8*(AD40/(AK40*Assumptions!$AB$10/100)/O40)^2+
Assumptions!$S$9*(AD40/(AK40*Assumptions!$AB$10/100)/O40)+
Assumptions!$S$10),"")</f>
        <v/>
      </c>
      <c r="AK40" s="95" t="str">
        <f>IFERROR(
Assumptions!$AD$8*LN(S40)^2+
Assumptions!$AE$8*LN(R40)*LN(S40)+
Assumptions!$AF$8*LN(R40)^2+
Assumptions!$AG$8*LN(S40)+
Assumptions!$AH$8*LN(R40)-
(IF(Q40=1800,
VLOOKUP(C40,Assumptions!$AA$13:$AC$17,3),
IF(Q40=3600,
VLOOKUP(C40,Assumptions!$AA$18:$AC$22,3),
""))+Assumptions!$AI$8),
"")</f>
        <v/>
      </c>
      <c r="AL40" s="96" t="str">
        <f>IFERROR(
Assumptions!$D$11*(V40/(Assumptions!$AB$9*AK40/100)+AH40)+
Assumptions!$D$10*(Z40/(Assumptions!$AB$8*AK40/100)+AI40)+
Assumptions!$D$12*(AD40/(Assumptions!$AB$10*AK40/100)+AJ40),
"")</f>
        <v/>
      </c>
      <c r="AM40" s="67" t="str">
        <f>IFERROR(
U40*Assumptions!$D$11+
Y40*Assumptions!$D$10+
AC40*Assumptions!$D$12,
"")</f>
        <v/>
      </c>
      <c r="AN40" s="77" t="str">
        <f t="shared" si="13"/>
        <v/>
      </c>
      <c r="AO40" s="30" t="str">
        <f t="shared" si="14"/>
        <v/>
      </c>
    </row>
    <row r="41" spans="1:41" x14ac:dyDescent="0.25">
      <c r="A41" s="264"/>
      <c r="B41" s="265"/>
      <c r="C41" s="265"/>
      <c r="D41" s="265"/>
      <c r="E41" s="266"/>
      <c r="F41" s="270"/>
      <c r="G41" s="271"/>
      <c r="H41" s="272"/>
      <c r="I41" s="270"/>
      <c r="J41" s="308"/>
      <c r="K41" s="272"/>
      <c r="L41" s="270"/>
      <c r="M41" s="308"/>
      <c r="N41" s="310"/>
      <c r="O41" s="306"/>
      <c r="P41" s="84" t="str">
        <f t="shared" si="0"/>
        <v/>
      </c>
      <c r="Q41" s="84" t="str">
        <f t="shared" si="1"/>
        <v/>
      </c>
      <c r="R41" s="93" t="str">
        <f t="shared" si="2"/>
        <v/>
      </c>
      <c r="S41" s="100" t="str">
        <f t="shared" si="3"/>
        <v/>
      </c>
      <c r="T41" s="95" t="str">
        <f t="shared" si="4"/>
        <v/>
      </c>
      <c r="U41" s="95" t="str">
        <f t="shared" si="5"/>
        <v/>
      </c>
      <c r="V41" s="96" t="str">
        <f>IFERROR(S41*T41*Assumptions!$B$15/3956,"")</f>
        <v/>
      </c>
      <c r="W41" s="102" t="str">
        <f t="shared" si="6"/>
        <v/>
      </c>
      <c r="X41" s="95" t="str">
        <f t="shared" si="7"/>
        <v/>
      </c>
      <c r="Y41" s="95" t="str">
        <f t="shared" si="8"/>
        <v/>
      </c>
      <c r="Z41" s="96" t="str">
        <f>IFERROR(W41*X41*Assumptions!$B$15/3956,"")</f>
        <v/>
      </c>
      <c r="AA41" s="100" t="str">
        <f t="shared" si="9"/>
        <v/>
      </c>
      <c r="AB41" s="95" t="str">
        <f t="shared" si="10"/>
        <v/>
      </c>
      <c r="AC41" s="95" t="str">
        <f t="shared" si="11"/>
        <v/>
      </c>
      <c r="AD41" s="96" t="str">
        <f>IFERROR(AA41*AB41*Assumptions!$B$15/3956,"")</f>
        <v/>
      </c>
      <c r="AE41" s="244" t="str">
        <f>IFERROR(
IF(C41="VTS",
IF(O41&gt;=AVERAGE(
INDEX(Assumptions!$I$38:$I$57,MATCH(O41,Assumptions!$I$38:$I$57,-1)),
INDEX(Assumptions!$I$38:$I$57,MATCH(O41,Assumptions!$I$38:$I$57,-1)+1)),
INDEX(Assumptions!$I$38:$I$57,MATCH(O41,Assumptions!$I$38:$I$57,-1)),
INDEX(Assumptions!$I$38:$I$57,MATCH(O41,Assumptions!$I$38:$I$57,-1)+1)),
IF(O41&gt;=AVERAGE(
INDEX(Assumptions!$I$13:$I$32,MATCH(O41,Assumptions!$I$13:$I$32,-1)),
INDEX(Assumptions!$I$13:$I$32,MATCH(O41,Assumptions!$I$13:$I$32,-1)+1)),
INDEX(Assumptions!$I$13:$I$32,MATCH(O41,Assumptions!$I$13:$I$32,-1)),
INDEX(Assumptions!$I$13:$I$32,MATCH(O41,Assumptions!$I$13:$I$32,-1)+1))),
"")</f>
        <v/>
      </c>
      <c r="AF41" s="95" t="str">
        <f>IFERROR(
IF(C41="VTS",
VLOOKUP(AE41,Assumptions!$I$38:$K$57,MATCH(P41,Assumptions!$I$37:$K$37,0),FALSE),
VLOOKUP(AE41,Assumptions!$I$13:$K$32,MATCH(P41,Assumptions!$I$12:$K$12,0),FALSE)),
"")</f>
        <v/>
      </c>
      <c r="AG41" s="95" t="str">
        <f t="shared" si="12"/>
        <v/>
      </c>
      <c r="AH41" s="95" t="str">
        <f>IFERROR(AG41*
(Assumptions!$S$7*(V41/(AK41*Assumptions!$AB$9/100)/O41)^3+
Assumptions!$S$8*(V41/(AK41*Assumptions!$AB$9/100)/O41)^2+
Assumptions!$S$9*(V41/(AK41*Assumptions!$AB$9/100)/O41)+
Assumptions!$S$10),"")</f>
        <v/>
      </c>
      <c r="AI41" s="95" t="str">
        <f>IFERROR(AG41*
(Assumptions!$S$7*(Z41/(AK41*Assumptions!$AB$8/100)/O41)^3+
Assumptions!$S$8*(Z41/(AK41*Assumptions!$AB$8/100)/O41)^2+
Assumptions!$S$9*(Z41/(AK41*Assumptions!$AB$8/100)/O41)+
Assumptions!$S$10),"")</f>
        <v/>
      </c>
      <c r="AJ41" s="95" t="str">
        <f>IFERROR(AG41*
(Assumptions!$S$7*(AD41/(AK41*Assumptions!$AB$10/100)/O41)^3+
Assumptions!$S$8*(AD41/(AK41*Assumptions!$AB$10/100)/O41)^2+
Assumptions!$S$9*(AD41/(AK41*Assumptions!$AB$10/100)/O41)+
Assumptions!$S$10),"")</f>
        <v/>
      </c>
      <c r="AK41" s="95" t="str">
        <f>IFERROR(
Assumptions!$AD$8*LN(S41)^2+
Assumptions!$AE$8*LN(R41)*LN(S41)+
Assumptions!$AF$8*LN(R41)^2+
Assumptions!$AG$8*LN(S41)+
Assumptions!$AH$8*LN(R41)-
(IF(Q41=1800,
VLOOKUP(C41,Assumptions!$AA$13:$AC$17,3),
IF(Q41=3600,
VLOOKUP(C41,Assumptions!$AA$18:$AC$22,3),
""))+Assumptions!$AI$8),
"")</f>
        <v/>
      </c>
      <c r="AL41" s="96" t="str">
        <f>IFERROR(
Assumptions!$D$11*(V41/(Assumptions!$AB$9*AK41/100)+AH41)+
Assumptions!$D$10*(Z41/(Assumptions!$AB$8*AK41/100)+AI41)+
Assumptions!$D$12*(AD41/(Assumptions!$AB$10*AK41/100)+AJ41),
"")</f>
        <v/>
      </c>
      <c r="AM41" s="67" t="str">
        <f>IFERROR(
U41*Assumptions!$D$11+
Y41*Assumptions!$D$10+
AC41*Assumptions!$D$12,
"")</f>
        <v/>
      </c>
      <c r="AN41" s="77" t="str">
        <f t="shared" si="13"/>
        <v/>
      </c>
      <c r="AO41" s="30" t="str">
        <f t="shared" si="14"/>
        <v/>
      </c>
    </row>
    <row r="42" spans="1:41" x14ac:dyDescent="0.25">
      <c r="A42" s="264"/>
      <c r="B42" s="265"/>
      <c r="C42" s="265"/>
      <c r="D42" s="265"/>
      <c r="E42" s="266"/>
      <c r="F42" s="270"/>
      <c r="G42" s="271"/>
      <c r="H42" s="272"/>
      <c r="I42" s="270"/>
      <c r="J42" s="308"/>
      <c r="K42" s="272"/>
      <c r="L42" s="270"/>
      <c r="M42" s="308"/>
      <c r="N42" s="310"/>
      <c r="O42" s="306"/>
      <c r="P42" s="84" t="str">
        <f t="shared" ref="P42:P73" si="15">IF(AND(E42&gt;=1440,E42&lt;=2160),4,IF(AND(E42&gt;=2880,E42&lt;=4320),2,""))</f>
        <v/>
      </c>
      <c r="Q42" s="84" t="str">
        <f t="shared" si="1"/>
        <v/>
      </c>
      <c r="R42" s="93" t="str">
        <f t="shared" si="2"/>
        <v/>
      </c>
      <c r="S42" s="100" t="str">
        <f t="shared" si="3"/>
        <v/>
      </c>
      <c r="T42" s="95" t="str">
        <f t="shared" si="4"/>
        <v/>
      </c>
      <c r="U42" s="95" t="str">
        <f t="shared" si="5"/>
        <v/>
      </c>
      <c r="V42" s="96" t="str">
        <f>IFERROR(S42*T42*Assumptions!$B$15/3956,"")</f>
        <v/>
      </c>
      <c r="W42" s="102" t="str">
        <f t="shared" si="6"/>
        <v/>
      </c>
      <c r="X42" s="95" t="str">
        <f t="shared" si="7"/>
        <v/>
      </c>
      <c r="Y42" s="95" t="str">
        <f t="shared" si="8"/>
        <v/>
      </c>
      <c r="Z42" s="96" t="str">
        <f>IFERROR(W42*X42*Assumptions!$B$15/3956,"")</f>
        <v/>
      </c>
      <c r="AA42" s="100" t="str">
        <f t="shared" si="9"/>
        <v/>
      </c>
      <c r="AB42" s="95" t="str">
        <f t="shared" si="10"/>
        <v/>
      </c>
      <c r="AC42" s="95" t="str">
        <f t="shared" si="11"/>
        <v/>
      </c>
      <c r="AD42" s="96" t="str">
        <f>IFERROR(AA42*AB42*Assumptions!$B$15/3956,"")</f>
        <v/>
      </c>
      <c r="AE42" s="244" t="str">
        <f>IFERROR(
IF(C42="VTS",
IF(O42&gt;=AVERAGE(
INDEX(Assumptions!$I$38:$I$57,MATCH(O42,Assumptions!$I$38:$I$57,-1)),
INDEX(Assumptions!$I$38:$I$57,MATCH(O42,Assumptions!$I$38:$I$57,-1)+1)),
INDEX(Assumptions!$I$38:$I$57,MATCH(O42,Assumptions!$I$38:$I$57,-1)),
INDEX(Assumptions!$I$38:$I$57,MATCH(O42,Assumptions!$I$38:$I$57,-1)+1)),
IF(O42&gt;=AVERAGE(
INDEX(Assumptions!$I$13:$I$32,MATCH(O42,Assumptions!$I$13:$I$32,-1)),
INDEX(Assumptions!$I$13:$I$32,MATCH(O42,Assumptions!$I$13:$I$32,-1)+1)),
INDEX(Assumptions!$I$13:$I$32,MATCH(O42,Assumptions!$I$13:$I$32,-1)),
INDEX(Assumptions!$I$13:$I$32,MATCH(O42,Assumptions!$I$13:$I$32,-1)+1))),
"")</f>
        <v/>
      </c>
      <c r="AF42" s="95" t="str">
        <f>IFERROR(
IF(C42="VTS",
VLOOKUP(AE42,Assumptions!$I$38:$K$57,MATCH(P42,Assumptions!$I$37:$K$37,0),FALSE),
VLOOKUP(AE42,Assumptions!$I$13:$K$32,MATCH(P42,Assumptions!$I$12:$K$12,0),FALSE)),
"")</f>
        <v/>
      </c>
      <c r="AG42" s="95" t="str">
        <f t="shared" si="12"/>
        <v/>
      </c>
      <c r="AH42" s="95" t="str">
        <f>IFERROR(AG42*
(Assumptions!$S$7*(V42/(AK42*Assumptions!$AB$9/100)/O42)^3+
Assumptions!$S$8*(V42/(AK42*Assumptions!$AB$9/100)/O42)^2+
Assumptions!$S$9*(V42/(AK42*Assumptions!$AB$9/100)/O42)+
Assumptions!$S$10),"")</f>
        <v/>
      </c>
      <c r="AI42" s="95" t="str">
        <f>IFERROR(AG42*
(Assumptions!$S$7*(Z42/(AK42*Assumptions!$AB$8/100)/O42)^3+
Assumptions!$S$8*(Z42/(AK42*Assumptions!$AB$8/100)/O42)^2+
Assumptions!$S$9*(Z42/(AK42*Assumptions!$AB$8/100)/O42)+
Assumptions!$S$10),"")</f>
        <v/>
      </c>
      <c r="AJ42" s="95" t="str">
        <f>IFERROR(AG42*
(Assumptions!$S$7*(AD42/(AK42*Assumptions!$AB$10/100)/O42)^3+
Assumptions!$S$8*(AD42/(AK42*Assumptions!$AB$10/100)/O42)^2+
Assumptions!$S$9*(AD42/(AK42*Assumptions!$AB$10/100)/O42)+
Assumptions!$S$10),"")</f>
        <v/>
      </c>
      <c r="AK42" s="95" t="str">
        <f>IFERROR(
Assumptions!$AD$8*LN(S42)^2+
Assumptions!$AE$8*LN(R42)*LN(S42)+
Assumptions!$AF$8*LN(R42)^2+
Assumptions!$AG$8*LN(S42)+
Assumptions!$AH$8*LN(R42)-
(IF(Q42=1800,
VLOOKUP(C42,Assumptions!$AA$13:$AC$17,3),
IF(Q42=3600,
VLOOKUP(C42,Assumptions!$AA$18:$AC$22,3),
""))+Assumptions!$AI$8),
"")</f>
        <v/>
      </c>
      <c r="AL42" s="96" t="str">
        <f>IFERROR(
Assumptions!$D$11*(V42/(Assumptions!$AB$9*AK42/100)+AH42)+
Assumptions!$D$10*(Z42/(Assumptions!$AB$8*AK42/100)+AI42)+
Assumptions!$D$12*(AD42/(Assumptions!$AB$10*AK42/100)+AJ42),
"")</f>
        <v/>
      </c>
      <c r="AM42" s="67" t="str">
        <f>IFERROR(
U42*Assumptions!$D$11+
Y42*Assumptions!$D$10+
AC42*Assumptions!$D$12,
"")</f>
        <v/>
      </c>
      <c r="AN42" s="77" t="str">
        <f t="shared" si="13"/>
        <v/>
      </c>
      <c r="AO42" s="30" t="str">
        <f t="shared" si="14"/>
        <v/>
      </c>
    </row>
    <row r="43" spans="1:41" x14ac:dyDescent="0.25">
      <c r="A43" s="264"/>
      <c r="B43" s="265"/>
      <c r="C43" s="265"/>
      <c r="D43" s="265"/>
      <c r="E43" s="266"/>
      <c r="F43" s="270"/>
      <c r="G43" s="271"/>
      <c r="H43" s="272"/>
      <c r="I43" s="270"/>
      <c r="J43" s="308"/>
      <c r="K43" s="272"/>
      <c r="L43" s="270"/>
      <c r="M43" s="308"/>
      <c r="N43" s="310"/>
      <c r="O43" s="306"/>
      <c r="P43" s="84" t="str">
        <f t="shared" si="15"/>
        <v/>
      </c>
      <c r="Q43" s="84" t="str">
        <f t="shared" si="1"/>
        <v/>
      </c>
      <c r="R43" s="93" t="str">
        <f t="shared" si="2"/>
        <v/>
      </c>
      <c r="S43" s="100" t="str">
        <f t="shared" si="3"/>
        <v/>
      </c>
      <c r="T43" s="95" t="str">
        <f t="shared" si="4"/>
        <v/>
      </c>
      <c r="U43" s="95" t="str">
        <f t="shared" si="5"/>
        <v/>
      </c>
      <c r="V43" s="96" t="str">
        <f>IFERROR(S43*T43*Assumptions!$B$15/3956,"")</f>
        <v/>
      </c>
      <c r="W43" s="102" t="str">
        <f t="shared" si="6"/>
        <v/>
      </c>
      <c r="X43" s="95" t="str">
        <f t="shared" si="7"/>
        <v/>
      </c>
      <c r="Y43" s="95" t="str">
        <f t="shared" si="8"/>
        <v/>
      </c>
      <c r="Z43" s="96" t="str">
        <f>IFERROR(W43*X43*Assumptions!$B$15/3956,"")</f>
        <v/>
      </c>
      <c r="AA43" s="100" t="str">
        <f t="shared" si="9"/>
        <v/>
      </c>
      <c r="AB43" s="95" t="str">
        <f t="shared" si="10"/>
        <v/>
      </c>
      <c r="AC43" s="95" t="str">
        <f t="shared" si="11"/>
        <v/>
      </c>
      <c r="AD43" s="96" t="str">
        <f>IFERROR(AA43*AB43*Assumptions!$B$15/3956,"")</f>
        <v/>
      </c>
      <c r="AE43" s="244" t="str">
        <f>IFERROR(
IF(C43="VTS",
IF(O43&gt;=AVERAGE(
INDEX(Assumptions!$I$38:$I$57,MATCH(O43,Assumptions!$I$38:$I$57,-1)),
INDEX(Assumptions!$I$38:$I$57,MATCH(O43,Assumptions!$I$38:$I$57,-1)+1)),
INDEX(Assumptions!$I$38:$I$57,MATCH(O43,Assumptions!$I$38:$I$57,-1)),
INDEX(Assumptions!$I$38:$I$57,MATCH(O43,Assumptions!$I$38:$I$57,-1)+1)),
IF(O43&gt;=AVERAGE(
INDEX(Assumptions!$I$13:$I$32,MATCH(O43,Assumptions!$I$13:$I$32,-1)),
INDEX(Assumptions!$I$13:$I$32,MATCH(O43,Assumptions!$I$13:$I$32,-1)+1)),
INDEX(Assumptions!$I$13:$I$32,MATCH(O43,Assumptions!$I$13:$I$32,-1)),
INDEX(Assumptions!$I$13:$I$32,MATCH(O43,Assumptions!$I$13:$I$32,-1)+1))),
"")</f>
        <v/>
      </c>
      <c r="AF43" s="95" t="str">
        <f>IFERROR(
IF(C43="VTS",
VLOOKUP(AE43,Assumptions!$I$38:$K$57,MATCH(P43,Assumptions!$I$37:$K$37,0),FALSE),
VLOOKUP(AE43,Assumptions!$I$13:$K$32,MATCH(P43,Assumptions!$I$12:$K$12,0),FALSE)),
"")</f>
        <v/>
      </c>
      <c r="AG43" s="95" t="str">
        <f t="shared" si="12"/>
        <v/>
      </c>
      <c r="AH43" s="95" t="str">
        <f>IFERROR(AG43*
(Assumptions!$S$7*(V43/(AK43*Assumptions!$AB$9/100)/O43)^3+
Assumptions!$S$8*(V43/(AK43*Assumptions!$AB$9/100)/O43)^2+
Assumptions!$S$9*(V43/(AK43*Assumptions!$AB$9/100)/O43)+
Assumptions!$S$10),"")</f>
        <v/>
      </c>
      <c r="AI43" s="95" t="str">
        <f>IFERROR(AG43*
(Assumptions!$S$7*(Z43/(AK43*Assumptions!$AB$8/100)/O43)^3+
Assumptions!$S$8*(Z43/(AK43*Assumptions!$AB$8/100)/O43)^2+
Assumptions!$S$9*(Z43/(AK43*Assumptions!$AB$8/100)/O43)+
Assumptions!$S$10),"")</f>
        <v/>
      </c>
      <c r="AJ43" s="95" t="str">
        <f>IFERROR(AG43*
(Assumptions!$S$7*(AD43/(AK43*Assumptions!$AB$10/100)/O43)^3+
Assumptions!$S$8*(AD43/(AK43*Assumptions!$AB$10/100)/O43)^2+
Assumptions!$S$9*(AD43/(AK43*Assumptions!$AB$10/100)/O43)+
Assumptions!$S$10),"")</f>
        <v/>
      </c>
      <c r="AK43" s="95" t="str">
        <f>IFERROR(
Assumptions!$AD$8*LN(S43)^2+
Assumptions!$AE$8*LN(R43)*LN(S43)+
Assumptions!$AF$8*LN(R43)^2+
Assumptions!$AG$8*LN(S43)+
Assumptions!$AH$8*LN(R43)-
(IF(Q43=1800,
VLOOKUP(C43,Assumptions!$AA$13:$AC$17,3),
IF(Q43=3600,
VLOOKUP(C43,Assumptions!$AA$18:$AC$22,3),
""))+Assumptions!$AI$8),
"")</f>
        <v/>
      </c>
      <c r="AL43" s="96" t="str">
        <f>IFERROR(
Assumptions!$D$11*(V43/(Assumptions!$AB$9*AK43/100)+AH43)+
Assumptions!$D$10*(Z43/(Assumptions!$AB$8*AK43/100)+AI43)+
Assumptions!$D$12*(AD43/(Assumptions!$AB$10*AK43/100)+AJ43),
"")</f>
        <v/>
      </c>
      <c r="AM43" s="67" t="str">
        <f>IFERROR(
U43*Assumptions!$D$11+
Y43*Assumptions!$D$10+
AC43*Assumptions!$D$12,
"")</f>
        <v/>
      </c>
      <c r="AN43" s="77" t="str">
        <f t="shared" si="13"/>
        <v/>
      </c>
      <c r="AO43" s="30" t="str">
        <f t="shared" si="14"/>
        <v/>
      </c>
    </row>
    <row r="44" spans="1:41" x14ac:dyDescent="0.25">
      <c r="A44" s="264"/>
      <c r="B44" s="265"/>
      <c r="C44" s="265"/>
      <c r="D44" s="265"/>
      <c r="E44" s="266"/>
      <c r="F44" s="270"/>
      <c r="G44" s="271"/>
      <c r="H44" s="272"/>
      <c r="I44" s="270"/>
      <c r="J44" s="308"/>
      <c r="K44" s="272"/>
      <c r="L44" s="270"/>
      <c r="M44" s="308"/>
      <c r="N44" s="310"/>
      <c r="O44" s="306"/>
      <c r="P44" s="84" t="str">
        <f t="shared" si="15"/>
        <v/>
      </c>
      <c r="Q44" s="84" t="str">
        <f t="shared" si="1"/>
        <v/>
      </c>
      <c r="R44" s="93" t="str">
        <f t="shared" si="2"/>
        <v/>
      </c>
      <c r="S44" s="100" t="str">
        <f t="shared" si="3"/>
        <v/>
      </c>
      <c r="T44" s="95" t="str">
        <f t="shared" si="4"/>
        <v/>
      </c>
      <c r="U44" s="95" t="str">
        <f t="shared" si="5"/>
        <v/>
      </c>
      <c r="V44" s="96" t="str">
        <f>IFERROR(S44*T44*Assumptions!$B$15/3956,"")</f>
        <v/>
      </c>
      <c r="W44" s="102" t="str">
        <f t="shared" si="6"/>
        <v/>
      </c>
      <c r="X44" s="95" t="str">
        <f t="shared" si="7"/>
        <v/>
      </c>
      <c r="Y44" s="95" t="str">
        <f t="shared" si="8"/>
        <v/>
      </c>
      <c r="Z44" s="96" t="str">
        <f>IFERROR(W44*X44*Assumptions!$B$15/3956,"")</f>
        <v/>
      </c>
      <c r="AA44" s="100" t="str">
        <f t="shared" si="9"/>
        <v/>
      </c>
      <c r="AB44" s="95" t="str">
        <f t="shared" si="10"/>
        <v/>
      </c>
      <c r="AC44" s="95" t="str">
        <f t="shared" si="11"/>
        <v/>
      </c>
      <c r="AD44" s="96" t="str">
        <f>IFERROR(AA44*AB44*Assumptions!$B$15/3956,"")</f>
        <v/>
      </c>
      <c r="AE44" s="244" t="str">
        <f>IFERROR(
IF(C44="VTS",
IF(O44&gt;=AVERAGE(
INDEX(Assumptions!$I$38:$I$57,MATCH(O44,Assumptions!$I$38:$I$57,-1)),
INDEX(Assumptions!$I$38:$I$57,MATCH(O44,Assumptions!$I$38:$I$57,-1)+1)),
INDEX(Assumptions!$I$38:$I$57,MATCH(O44,Assumptions!$I$38:$I$57,-1)),
INDEX(Assumptions!$I$38:$I$57,MATCH(O44,Assumptions!$I$38:$I$57,-1)+1)),
IF(O44&gt;=AVERAGE(
INDEX(Assumptions!$I$13:$I$32,MATCH(O44,Assumptions!$I$13:$I$32,-1)),
INDEX(Assumptions!$I$13:$I$32,MATCH(O44,Assumptions!$I$13:$I$32,-1)+1)),
INDEX(Assumptions!$I$13:$I$32,MATCH(O44,Assumptions!$I$13:$I$32,-1)),
INDEX(Assumptions!$I$13:$I$32,MATCH(O44,Assumptions!$I$13:$I$32,-1)+1))),
"")</f>
        <v/>
      </c>
      <c r="AF44" s="95" t="str">
        <f>IFERROR(
IF(C44="VTS",
VLOOKUP(AE44,Assumptions!$I$38:$K$57,MATCH(P44,Assumptions!$I$37:$K$37,0),FALSE),
VLOOKUP(AE44,Assumptions!$I$13:$K$32,MATCH(P44,Assumptions!$I$12:$K$12,0),FALSE)),
"")</f>
        <v/>
      </c>
      <c r="AG44" s="95" t="str">
        <f t="shared" si="12"/>
        <v/>
      </c>
      <c r="AH44" s="95" t="str">
        <f>IFERROR(AG44*
(Assumptions!$S$7*(V44/(AK44*Assumptions!$AB$9/100)/O44)^3+
Assumptions!$S$8*(V44/(AK44*Assumptions!$AB$9/100)/O44)^2+
Assumptions!$S$9*(V44/(AK44*Assumptions!$AB$9/100)/O44)+
Assumptions!$S$10),"")</f>
        <v/>
      </c>
      <c r="AI44" s="95" t="str">
        <f>IFERROR(AG44*
(Assumptions!$S$7*(Z44/(AK44*Assumptions!$AB$8/100)/O44)^3+
Assumptions!$S$8*(Z44/(AK44*Assumptions!$AB$8/100)/O44)^2+
Assumptions!$S$9*(Z44/(AK44*Assumptions!$AB$8/100)/O44)+
Assumptions!$S$10),"")</f>
        <v/>
      </c>
      <c r="AJ44" s="95" t="str">
        <f>IFERROR(AG44*
(Assumptions!$S$7*(AD44/(AK44*Assumptions!$AB$10/100)/O44)^3+
Assumptions!$S$8*(AD44/(AK44*Assumptions!$AB$10/100)/O44)^2+
Assumptions!$S$9*(AD44/(AK44*Assumptions!$AB$10/100)/O44)+
Assumptions!$S$10),"")</f>
        <v/>
      </c>
      <c r="AK44" s="95" t="str">
        <f>IFERROR(
Assumptions!$AD$8*LN(S44)^2+
Assumptions!$AE$8*LN(R44)*LN(S44)+
Assumptions!$AF$8*LN(R44)^2+
Assumptions!$AG$8*LN(S44)+
Assumptions!$AH$8*LN(R44)-
(IF(Q44=1800,
VLOOKUP(C44,Assumptions!$AA$13:$AC$17,3),
IF(Q44=3600,
VLOOKUP(C44,Assumptions!$AA$18:$AC$22,3),
""))+Assumptions!$AI$8),
"")</f>
        <v/>
      </c>
      <c r="AL44" s="96" t="str">
        <f>IFERROR(
Assumptions!$D$11*(V44/(Assumptions!$AB$9*AK44/100)+AH44)+
Assumptions!$D$10*(Z44/(Assumptions!$AB$8*AK44/100)+AI44)+
Assumptions!$D$12*(AD44/(Assumptions!$AB$10*AK44/100)+AJ44),
"")</f>
        <v/>
      </c>
      <c r="AM44" s="67" t="str">
        <f>IFERROR(
U44*Assumptions!$D$11+
Y44*Assumptions!$D$10+
AC44*Assumptions!$D$12,
"")</f>
        <v/>
      </c>
      <c r="AN44" s="77" t="str">
        <f t="shared" si="13"/>
        <v/>
      </c>
      <c r="AO44" s="30" t="str">
        <f t="shared" si="14"/>
        <v/>
      </c>
    </row>
    <row r="45" spans="1:41" x14ac:dyDescent="0.25">
      <c r="A45" s="264"/>
      <c r="B45" s="265"/>
      <c r="C45" s="265"/>
      <c r="D45" s="265"/>
      <c r="E45" s="266"/>
      <c r="F45" s="270"/>
      <c r="G45" s="271"/>
      <c r="H45" s="272"/>
      <c r="I45" s="270"/>
      <c r="J45" s="308"/>
      <c r="K45" s="272"/>
      <c r="L45" s="270"/>
      <c r="M45" s="308"/>
      <c r="N45" s="310"/>
      <c r="O45" s="306"/>
      <c r="P45" s="84" t="str">
        <f t="shared" si="15"/>
        <v/>
      </c>
      <c r="Q45" s="84" t="str">
        <f t="shared" si="1"/>
        <v/>
      </c>
      <c r="R45" s="93" t="str">
        <f t="shared" si="2"/>
        <v/>
      </c>
      <c r="S45" s="100" t="str">
        <f t="shared" si="3"/>
        <v/>
      </c>
      <c r="T45" s="95" t="str">
        <f t="shared" si="4"/>
        <v/>
      </c>
      <c r="U45" s="95" t="str">
        <f t="shared" si="5"/>
        <v/>
      </c>
      <c r="V45" s="96" t="str">
        <f>IFERROR(S45*T45*Assumptions!$B$15/3956,"")</f>
        <v/>
      </c>
      <c r="W45" s="102" t="str">
        <f t="shared" si="6"/>
        <v/>
      </c>
      <c r="X45" s="95" t="str">
        <f t="shared" si="7"/>
        <v/>
      </c>
      <c r="Y45" s="95" t="str">
        <f t="shared" si="8"/>
        <v/>
      </c>
      <c r="Z45" s="96" t="str">
        <f>IFERROR(W45*X45*Assumptions!$B$15/3956,"")</f>
        <v/>
      </c>
      <c r="AA45" s="100" t="str">
        <f t="shared" si="9"/>
        <v/>
      </c>
      <c r="AB45" s="95" t="str">
        <f t="shared" si="10"/>
        <v/>
      </c>
      <c r="AC45" s="95" t="str">
        <f t="shared" si="11"/>
        <v/>
      </c>
      <c r="AD45" s="96" t="str">
        <f>IFERROR(AA45*AB45*Assumptions!$B$15/3956,"")</f>
        <v/>
      </c>
      <c r="AE45" s="244" t="str">
        <f>IFERROR(
IF(C45="VTS",
IF(O45&gt;=AVERAGE(
INDEX(Assumptions!$I$38:$I$57,MATCH(O45,Assumptions!$I$38:$I$57,-1)),
INDEX(Assumptions!$I$38:$I$57,MATCH(O45,Assumptions!$I$38:$I$57,-1)+1)),
INDEX(Assumptions!$I$38:$I$57,MATCH(O45,Assumptions!$I$38:$I$57,-1)),
INDEX(Assumptions!$I$38:$I$57,MATCH(O45,Assumptions!$I$38:$I$57,-1)+1)),
IF(O45&gt;=AVERAGE(
INDEX(Assumptions!$I$13:$I$32,MATCH(O45,Assumptions!$I$13:$I$32,-1)),
INDEX(Assumptions!$I$13:$I$32,MATCH(O45,Assumptions!$I$13:$I$32,-1)+1)),
INDEX(Assumptions!$I$13:$I$32,MATCH(O45,Assumptions!$I$13:$I$32,-1)),
INDEX(Assumptions!$I$13:$I$32,MATCH(O45,Assumptions!$I$13:$I$32,-1)+1))),
"")</f>
        <v/>
      </c>
      <c r="AF45" s="95" t="str">
        <f>IFERROR(
IF(C45="VTS",
VLOOKUP(AE45,Assumptions!$I$38:$K$57,MATCH(P45,Assumptions!$I$37:$K$37,0),FALSE),
VLOOKUP(AE45,Assumptions!$I$13:$K$32,MATCH(P45,Assumptions!$I$12:$K$12,0),FALSE)),
"")</f>
        <v/>
      </c>
      <c r="AG45" s="95" t="str">
        <f t="shared" si="12"/>
        <v/>
      </c>
      <c r="AH45" s="95" t="str">
        <f>IFERROR(AG45*
(Assumptions!$S$7*(V45/(AK45*Assumptions!$AB$9/100)/O45)^3+
Assumptions!$S$8*(V45/(AK45*Assumptions!$AB$9/100)/O45)^2+
Assumptions!$S$9*(V45/(AK45*Assumptions!$AB$9/100)/O45)+
Assumptions!$S$10),"")</f>
        <v/>
      </c>
      <c r="AI45" s="95" t="str">
        <f>IFERROR(AG45*
(Assumptions!$S$7*(Z45/(AK45*Assumptions!$AB$8/100)/O45)^3+
Assumptions!$S$8*(Z45/(AK45*Assumptions!$AB$8/100)/O45)^2+
Assumptions!$S$9*(Z45/(AK45*Assumptions!$AB$8/100)/O45)+
Assumptions!$S$10),"")</f>
        <v/>
      </c>
      <c r="AJ45" s="95" t="str">
        <f>IFERROR(AG45*
(Assumptions!$S$7*(AD45/(AK45*Assumptions!$AB$10/100)/O45)^3+
Assumptions!$S$8*(AD45/(AK45*Assumptions!$AB$10/100)/O45)^2+
Assumptions!$S$9*(AD45/(AK45*Assumptions!$AB$10/100)/O45)+
Assumptions!$S$10),"")</f>
        <v/>
      </c>
      <c r="AK45" s="95" t="str">
        <f>IFERROR(
Assumptions!$AD$8*LN(S45)^2+
Assumptions!$AE$8*LN(R45)*LN(S45)+
Assumptions!$AF$8*LN(R45)^2+
Assumptions!$AG$8*LN(S45)+
Assumptions!$AH$8*LN(R45)-
(IF(Q45=1800,
VLOOKUP(C45,Assumptions!$AA$13:$AC$17,3),
IF(Q45=3600,
VLOOKUP(C45,Assumptions!$AA$18:$AC$22,3),
""))+Assumptions!$AI$8),
"")</f>
        <v/>
      </c>
      <c r="AL45" s="96" t="str">
        <f>IFERROR(
Assumptions!$D$11*(V45/(Assumptions!$AB$9*AK45/100)+AH45)+
Assumptions!$D$10*(Z45/(Assumptions!$AB$8*AK45/100)+AI45)+
Assumptions!$D$12*(AD45/(Assumptions!$AB$10*AK45/100)+AJ45),
"")</f>
        <v/>
      </c>
      <c r="AM45" s="67" t="str">
        <f>IFERROR(
U45*Assumptions!$D$11+
Y45*Assumptions!$D$10+
AC45*Assumptions!$D$12,
"")</f>
        <v/>
      </c>
      <c r="AN45" s="77" t="str">
        <f t="shared" si="13"/>
        <v/>
      </c>
      <c r="AO45" s="30" t="str">
        <f t="shared" si="14"/>
        <v/>
      </c>
    </row>
    <row r="46" spans="1:41" x14ac:dyDescent="0.25">
      <c r="A46" s="264"/>
      <c r="B46" s="265"/>
      <c r="C46" s="265"/>
      <c r="D46" s="265"/>
      <c r="E46" s="266"/>
      <c r="F46" s="270"/>
      <c r="G46" s="271"/>
      <c r="H46" s="272"/>
      <c r="I46" s="270"/>
      <c r="J46" s="308"/>
      <c r="K46" s="272"/>
      <c r="L46" s="270"/>
      <c r="M46" s="308"/>
      <c r="N46" s="310"/>
      <c r="O46" s="306"/>
      <c r="P46" s="84" t="str">
        <f t="shared" si="15"/>
        <v/>
      </c>
      <c r="Q46" s="84" t="str">
        <f t="shared" si="1"/>
        <v/>
      </c>
      <c r="R46" s="93" t="str">
        <f t="shared" si="2"/>
        <v/>
      </c>
      <c r="S46" s="100" t="str">
        <f t="shared" si="3"/>
        <v/>
      </c>
      <c r="T46" s="95" t="str">
        <f t="shared" si="4"/>
        <v/>
      </c>
      <c r="U46" s="95" t="str">
        <f t="shared" si="5"/>
        <v/>
      </c>
      <c r="V46" s="96" t="str">
        <f>IFERROR(S46*T46*Assumptions!$B$15/3956,"")</f>
        <v/>
      </c>
      <c r="W46" s="102" t="str">
        <f t="shared" si="6"/>
        <v/>
      </c>
      <c r="X46" s="95" t="str">
        <f t="shared" si="7"/>
        <v/>
      </c>
      <c r="Y46" s="95" t="str">
        <f t="shared" si="8"/>
        <v/>
      </c>
      <c r="Z46" s="96" t="str">
        <f>IFERROR(W46*X46*Assumptions!$B$15/3956,"")</f>
        <v/>
      </c>
      <c r="AA46" s="100" t="str">
        <f t="shared" si="9"/>
        <v/>
      </c>
      <c r="AB46" s="95" t="str">
        <f t="shared" si="10"/>
        <v/>
      </c>
      <c r="AC46" s="95" t="str">
        <f t="shared" si="11"/>
        <v/>
      </c>
      <c r="AD46" s="96" t="str">
        <f>IFERROR(AA46*AB46*Assumptions!$B$15/3956,"")</f>
        <v/>
      </c>
      <c r="AE46" s="244" t="str">
        <f>IFERROR(
IF(C46="VTS",
IF(O46&gt;=AVERAGE(
INDEX(Assumptions!$I$38:$I$57,MATCH(O46,Assumptions!$I$38:$I$57,-1)),
INDEX(Assumptions!$I$38:$I$57,MATCH(O46,Assumptions!$I$38:$I$57,-1)+1)),
INDEX(Assumptions!$I$38:$I$57,MATCH(O46,Assumptions!$I$38:$I$57,-1)),
INDEX(Assumptions!$I$38:$I$57,MATCH(O46,Assumptions!$I$38:$I$57,-1)+1)),
IF(O46&gt;=AVERAGE(
INDEX(Assumptions!$I$13:$I$32,MATCH(O46,Assumptions!$I$13:$I$32,-1)),
INDEX(Assumptions!$I$13:$I$32,MATCH(O46,Assumptions!$I$13:$I$32,-1)+1)),
INDEX(Assumptions!$I$13:$I$32,MATCH(O46,Assumptions!$I$13:$I$32,-1)),
INDEX(Assumptions!$I$13:$I$32,MATCH(O46,Assumptions!$I$13:$I$32,-1)+1))),
"")</f>
        <v/>
      </c>
      <c r="AF46" s="95" t="str">
        <f>IFERROR(
IF(C46="VTS",
VLOOKUP(AE46,Assumptions!$I$38:$K$57,MATCH(P46,Assumptions!$I$37:$K$37,0),FALSE),
VLOOKUP(AE46,Assumptions!$I$13:$K$32,MATCH(P46,Assumptions!$I$12:$K$12,0),FALSE)),
"")</f>
        <v/>
      </c>
      <c r="AG46" s="95" t="str">
        <f t="shared" si="12"/>
        <v/>
      </c>
      <c r="AH46" s="95" t="str">
        <f>IFERROR(AG46*
(Assumptions!$S$7*(V46/(AK46*Assumptions!$AB$9/100)/O46)^3+
Assumptions!$S$8*(V46/(AK46*Assumptions!$AB$9/100)/O46)^2+
Assumptions!$S$9*(V46/(AK46*Assumptions!$AB$9/100)/O46)+
Assumptions!$S$10),"")</f>
        <v/>
      </c>
      <c r="AI46" s="95" t="str">
        <f>IFERROR(AG46*
(Assumptions!$S$7*(Z46/(AK46*Assumptions!$AB$8/100)/O46)^3+
Assumptions!$S$8*(Z46/(AK46*Assumptions!$AB$8/100)/O46)^2+
Assumptions!$S$9*(Z46/(AK46*Assumptions!$AB$8/100)/O46)+
Assumptions!$S$10),"")</f>
        <v/>
      </c>
      <c r="AJ46" s="95" t="str">
        <f>IFERROR(AG46*
(Assumptions!$S$7*(AD46/(AK46*Assumptions!$AB$10/100)/O46)^3+
Assumptions!$S$8*(AD46/(AK46*Assumptions!$AB$10/100)/O46)^2+
Assumptions!$S$9*(AD46/(AK46*Assumptions!$AB$10/100)/O46)+
Assumptions!$S$10),"")</f>
        <v/>
      </c>
      <c r="AK46" s="95" t="str">
        <f>IFERROR(
Assumptions!$AD$8*LN(S46)^2+
Assumptions!$AE$8*LN(R46)*LN(S46)+
Assumptions!$AF$8*LN(R46)^2+
Assumptions!$AG$8*LN(S46)+
Assumptions!$AH$8*LN(R46)-
(IF(Q46=1800,
VLOOKUP(C46,Assumptions!$AA$13:$AC$17,3),
IF(Q46=3600,
VLOOKUP(C46,Assumptions!$AA$18:$AC$22,3),
""))+Assumptions!$AI$8),
"")</f>
        <v/>
      </c>
      <c r="AL46" s="96" t="str">
        <f>IFERROR(
Assumptions!$D$11*(V46/(Assumptions!$AB$9*AK46/100)+AH46)+
Assumptions!$D$10*(Z46/(Assumptions!$AB$8*AK46/100)+AI46)+
Assumptions!$D$12*(AD46/(Assumptions!$AB$10*AK46/100)+AJ46),
"")</f>
        <v/>
      </c>
      <c r="AM46" s="67" t="str">
        <f>IFERROR(
U46*Assumptions!$D$11+
Y46*Assumptions!$D$10+
AC46*Assumptions!$D$12,
"")</f>
        <v/>
      </c>
      <c r="AN46" s="77" t="str">
        <f t="shared" si="13"/>
        <v/>
      </c>
      <c r="AO46" s="30" t="str">
        <f t="shared" si="14"/>
        <v/>
      </c>
    </row>
    <row r="47" spans="1:41" x14ac:dyDescent="0.25">
      <c r="A47" s="264"/>
      <c r="B47" s="265"/>
      <c r="C47" s="265"/>
      <c r="D47" s="265"/>
      <c r="E47" s="266"/>
      <c r="F47" s="270"/>
      <c r="G47" s="271"/>
      <c r="H47" s="272"/>
      <c r="I47" s="270"/>
      <c r="J47" s="308"/>
      <c r="K47" s="272"/>
      <c r="L47" s="270"/>
      <c r="M47" s="308"/>
      <c r="N47" s="310"/>
      <c r="O47" s="306"/>
      <c r="P47" s="84" t="str">
        <f t="shared" si="15"/>
        <v/>
      </c>
      <c r="Q47" s="84" t="str">
        <f t="shared" si="1"/>
        <v/>
      </c>
      <c r="R47" s="93" t="str">
        <f t="shared" si="2"/>
        <v/>
      </c>
      <c r="S47" s="100" t="str">
        <f t="shared" si="3"/>
        <v/>
      </c>
      <c r="T47" s="95" t="str">
        <f t="shared" si="4"/>
        <v/>
      </c>
      <c r="U47" s="95" t="str">
        <f t="shared" si="5"/>
        <v/>
      </c>
      <c r="V47" s="96" t="str">
        <f>IFERROR(S47*T47*Assumptions!$B$15/3956,"")</f>
        <v/>
      </c>
      <c r="W47" s="102" t="str">
        <f t="shared" si="6"/>
        <v/>
      </c>
      <c r="X47" s="95" t="str">
        <f t="shared" si="7"/>
        <v/>
      </c>
      <c r="Y47" s="95" t="str">
        <f t="shared" si="8"/>
        <v/>
      </c>
      <c r="Z47" s="96" t="str">
        <f>IFERROR(W47*X47*Assumptions!$B$15/3956,"")</f>
        <v/>
      </c>
      <c r="AA47" s="100" t="str">
        <f t="shared" si="9"/>
        <v/>
      </c>
      <c r="AB47" s="95" t="str">
        <f t="shared" si="10"/>
        <v/>
      </c>
      <c r="AC47" s="95" t="str">
        <f t="shared" si="11"/>
        <v/>
      </c>
      <c r="AD47" s="96" t="str">
        <f>IFERROR(AA47*AB47*Assumptions!$B$15/3956,"")</f>
        <v/>
      </c>
      <c r="AE47" s="244" t="str">
        <f>IFERROR(
IF(C47="VTS",
IF(O47&gt;=AVERAGE(
INDEX(Assumptions!$I$38:$I$57,MATCH(O47,Assumptions!$I$38:$I$57,-1)),
INDEX(Assumptions!$I$38:$I$57,MATCH(O47,Assumptions!$I$38:$I$57,-1)+1)),
INDEX(Assumptions!$I$38:$I$57,MATCH(O47,Assumptions!$I$38:$I$57,-1)),
INDEX(Assumptions!$I$38:$I$57,MATCH(O47,Assumptions!$I$38:$I$57,-1)+1)),
IF(O47&gt;=AVERAGE(
INDEX(Assumptions!$I$13:$I$32,MATCH(O47,Assumptions!$I$13:$I$32,-1)),
INDEX(Assumptions!$I$13:$I$32,MATCH(O47,Assumptions!$I$13:$I$32,-1)+1)),
INDEX(Assumptions!$I$13:$I$32,MATCH(O47,Assumptions!$I$13:$I$32,-1)),
INDEX(Assumptions!$I$13:$I$32,MATCH(O47,Assumptions!$I$13:$I$32,-1)+1))),
"")</f>
        <v/>
      </c>
      <c r="AF47" s="95" t="str">
        <f>IFERROR(
IF(C47="VTS",
VLOOKUP(AE47,Assumptions!$I$38:$K$57,MATCH(P47,Assumptions!$I$37:$K$37,0),FALSE),
VLOOKUP(AE47,Assumptions!$I$13:$K$32,MATCH(P47,Assumptions!$I$12:$K$12,0),FALSE)),
"")</f>
        <v/>
      </c>
      <c r="AG47" s="95" t="str">
        <f t="shared" si="12"/>
        <v/>
      </c>
      <c r="AH47" s="95" t="str">
        <f>IFERROR(AG47*
(Assumptions!$S$7*(V47/(AK47*Assumptions!$AB$9/100)/O47)^3+
Assumptions!$S$8*(V47/(AK47*Assumptions!$AB$9/100)/O47)^2+
Assumptions!$S$9*(V47/(AK47*Assumptions!$AB$9/100)/O47)+
Assumptions!$S$10),"")</f>
        <v/>
      </c>
      <c r="AI47" s="95" t="str">
        <f>IFERROR(AG47*
(Assumptions!$S$7*(Z47/(AK47*Assumptions!$AB$8/100)/O47)^3+
Assumptions!$S$8*(Z47/(AK47*Assumptions!$AB$8/100)/O47)^2+
Assumptions!$S$9*(Z47/(AK47*Assumptions!$AB$8/100)/O47)+
Assumptions!$S$10),"")</f>
        <v/>
      </c>
      <c r="AJ47" s="95" t="str">
        <f>IFERROR(AG47*
(Assumptions!$S$7*(AD47/(AK47*Assumptions!$AB$10/100)/O47)^3+
Assumptions!$S$8*(AD47/(AK47*Assumptions!$AB$10/100)/O47)^2+
Assumptions!$S$9*(AD47/(AK47*Assumptions!$AB$10/100)/O47)+
Assumptions!$S$10),"")</f>
        <v/>
      </c>
      <c r="AK47" s="95" t="str">
        <f>IFERROR(
Assumptions!$AD$8*LN(S47)^2+
Assumptions!$AE$8*LN(R47)*LN(S47)+
Assumptions!$AF$8*LN(R47)^2+
Assumptions!$AG$8*LN(S47)+
Assumptions!$AH$8*LN(R47)-
(IF(Q47=1800,
VLOOKUP(C47,Assumptions!$AA$13:$AC$17,3),
IF(Q47=3600,
VLOOKUP(C47,Assumptions!$AA$18:$AC$22,3),
""))+Assumptions!$AI$8),
"")</f>
        <v/>
      </c>
      <c r="AL47" s="96" t="str">
        <f>IFERROR(
Assumptions!$D$11*(V47/(Assumptions!$AB$9*AK47/100)+AH47)+
Assumptions!$D$10*(Z47/(Assumptions!$AB$8*AK47/100)+AI47)+
Assumptions!$D$12*(AD47/(Assumptions!$AB$10*AK47/100)+AJ47),
"")</f>
        <v/>
      </c>
      <c r="AM47" s="67" t="str">
        <f>IFERROR(
U47*Assumptions!$D$11+
Y47*Assumptions!$D$10+
AC47*Assumptions!$D$12,
"")</f>
        <v/>
      </c>
      <c r="AN47" s="77" t="str">
        <f t="shared" si="13"/>
        <v/>
      </c>
      <c r="AO47" s="30" t="str">
        <f t="shared" si="14"/>
        <v/>
      </c>
    </row>
    <row r="48" spans="1:41" x14ac:dyDescent="0.25">
      <c r="A48" s="264"/>
      <c r="B48" s="265"/>
      <c r="C48" s="265"/>
      <c r="D48" s="265"/>
      <c r="E48" s="266"/>
      <c r="F48" s="270"/>
      <c r="G48" s="271"/>
      <c r="H48" s="272"/>
      <c r="I48" s="270"/>
      <c r="J48" s="308"/>
      <c r="K48" s="272"/>
      <c r="L48" s="270"/>
      <c r="M48" s="308"/>
      <c r="N48" s="310"/>
      <c r="O48" s="306"/>
      <c r="P48" s="84" t="str">
        <f t="shared" si="15"/>
        <v/>
      </c>
      <c r="Q48" s="84" t="str">
        <f t="shared" si="1"/>
        <v/>
      </c>
      <c r="R48" s="93" t="str">
        <f t="shared" si="2"/>
        <v/>
      </c>
      <c r="S48" s="100" t="str">
        <f t="shared" si="3"/>
        <v/>
      </c>
      <c r="T48" s="95" t="str">
        <f t="shared" si="4"/>
        <v/>
      </c>
      <c r="U48" s="95" t="str">
        <f t="shared" si="5"/>
        <v/>
      </c>
      <c r="V48" s="96" t="str">
        <f>IFERROR(S48*T48*Assumptions!$B$15/3956,"")</f>
        <v/>
      </c>
      <c r="W48" s="102" t="str">
        <f t="shared" si="6"/>
        <v/>
      </c>
      <c r="X48" s="95" t="str">
        <f t="shared" si="7"/>
        <v/>
      </c>
      <c r="Y48" s="95" t="str">
        <f t="shared" si="8"/>
        <v/>
      </c>
      <c r="Z48" s="96" t="str">
        <f>IFERROR(W48*X48*Assumptions!$B$15/3956,"")</f>
        <v/>
      </c>
      <c r="AA48" s="100" t="str">
        <f t="shared" si="9"/>
        <v/>
      </c>
      <c r="AB48" s="95" t="str">
        <f t="shared" si="10"/>
        <v/>
      </c>
      <c r="AC48" s="95" t="str">
        <f t="shared" si="11"/>
        <v/>
      </c>
      <c r="AD48" s="96" t="str">
        <f>IFERROR(AA48*AB48*Assumptions!$B$15/3956,"")</f>
        <v/>
      </c>
      <c r="AE48" s="244" t="str">
        <f>IFERROR(
IF(C48="VTS",
IF(O48&gt;=AVERAGE(
INDEX(Assumptions!$I$38:$I$57,MATCH(O48,Assumptions!$I$38:$I$57,-1)),
INDEX(Assumptions!$I$38:$I$57,MATCH(O48,Assumptions!$I$38:$I$57,-1)+1)),
INDEX(Assumptions!$I$38:$I$57,MATCH(O48,Assumptions!$I$38:$I$57,-1)),
INDEX(Assumptions!$I$38:$I$57,MATCH(O48,Assumptions!$I$38:$I$57,-1)+1)),
IF(O48&gt;=AVERAGE(
INDEX(Assumptions!$I$13:$I$32,MATCH(O48,Assumptions!$I$13:$I$32,-1)),
INDEX(Assumptions!$I$13:$I$32,MATCH(O48,Assumptions!$I$13:$I$32,-1)+1)),
INDEX(Assumptions!$I$13:$I$32,MATCH(O48,Assumptions!$I$13:$I$32,-1)),
INDEX(Assumptions!$I$13:$I$32,MATCH(O48,Assumptions!$I$13:$I$32,-1)+1))),
"")</f>
        <v/>
      </c>
      <c r="AF48" s="95" t="str">
        <f>IFERROR(
IF(C48="VTS",
VLOOKUP(AE48,Assumptions!$I$38:$K$57,MATCH(P48,Assumptions!$I$37:$K$37,0),FALSE),
VLOOKUP(AE48,Assumptions!$I$13:$K$32,MATCH(P48,Assumptions!$I$12:$K$12,0),FALSE)),
"")</f>
        <v/>
      </c>
      <c r="AG48" s="95" t="str">
        <f t="shared" si="12"/>
        <v/>
      </c>
      <c r="AH48" s="95" t="str">
        <f>IFERROR(AG48*
(Assumptions!$S$7*(V48/(AK48*Assumptions!$AB$9/100)/O48)^3+
Assumptions!$S$8*(V48/(AK48*Assumptions!$AB$9/100)/O48)^2+
Assumptions!$S$9*(V48/(AK48*Assumptions!$AB$9/100)/O48)+
Assumptions!$S$10),"")</f>
        <v/>
      </c>
      <c r="AI48" s="95" t="str">
        <f>IFERROR(AG48*
(Assumptions!$S$7*(Z48/(AK48*Assumptions!$AB$8/100)/O48)^3+
Assumptions!$S$8*(Z48/(AK48*Assumptions!$AB$8/100)/O48)^2+
Assumptions!$S$9*(Z48/(AK48*Assumptions!$AB$8/100)/O48)+
Assumptions!$S$10),"")</f>
        <v/>
      </c>
      <c r="AJ48" s="95" t="str">
        <f>IFERROR(AG48*
(Assumptions!$S$7*(AD48/(AK48*Assumptions!$AB$10/100)/O48)^3+
Assumptions!$S$8*(AD48/(AK48*Assumptions!$AB$10/100)/O48)^2+
Assumptions!$S$9*(AD48/(AK48*Assumptions!$AB$10/100)/O48)+
Assumptions!$S$10),"")</f>
        <v/>
      </c>
      <c r="AK48" s="95" t="str">
        <f>IFERROR(
Assumptions!$AD$8*LN(S48)^2+
Assumptions!$AE$8*LN(R48)*LN(S48)+
Assumptions!$AF$8*LN(R48)^2+
Assumptions!$AG$8*LN(S48)+
Assumptions!$AH$8*LN(R48)-
(IF(Q48=1800,
VLOOKUP(C48,Assumptions!$AA$13:$AC$17,3),
IF(Q48=3600,
VLOOKUP(C48,Assumptions!$AA$18:$AC$22,3),
""))+Assumptions!$AI$8),
"")</f>
        <v/>
      </c>
      <c r="AL48" s="96" t="str">
        <f>IFERROR(
Assumptions!$D$11*(V48/(Assumptions!$AB$9*AK48/100)+AH48)+
Assumptions!$D$10*(Z48/(Assumptions!$AB$8*AK48/100)+AI48)+
Assumptions!$D$12*(AD48/(Assumptions!$AB$10*AK48/100)+AJ48),
"")</f>
        <v/>
      </c>
      <c r="AM48" s="67" t="str">
        <f>IFERROR(
U48*Assumptions!$D$11+
Y48*Assumptions!$D$10+
AC48*Assumptions!$D$12,
"")</f>
        <v/>
      </c>
      <c r="AN48" s="77" t="str">
        <f t="shared" si="13"/>
        <v/>
      </c>
      <c r="AO48" s="30" t="str">
        <f t="shared" si="14"/>
        <v/>
      </c>
    </row>
    <row r="49" spans="1:41" x14ac:dyDescent="0.25">
      <c r="A49" s="264"/>
      <c r="B49" s="265"/>
      <c r="C49" s="265"/>
      <c r="D49" s="265"/>
      <c r="E49" s="266"/>
      <c r="F49" s="270"/>
      <c r="G49" s="271"/>
      <c r="H49" s="272"/>
      <c r="I49" s="270"/>
      <c r="J49" s="308"/>
      <c r="K49" s="272"/>
      <c r="L49" s="270"/>
      <c r="M49" s="308"/>
      <c r="N49" s="310"/>
      <c r="O49" s="306"/>
      <c r="P49" s="84" t="str">
        <f t="shared" si="15"/>
        <v/>
      </c>
      <c r="Q49" s="84" t="str">
        <f t="shared" si="1"/>
        <v/>
      </c>
      <c r="R49" s="93" t="str">
        <f t="shared" si="2"/>
        <v/>
      </c>
      <c r="S49" s="100" t="str">
        <f t="shared" si="3"/>
        <v/>
      </c>
      <c r="T49" s="95" t="str">
        <f t="shared" si="4"/>
        <v/>
      </c>
      <c r="U49" s="95" t="str">
        <f t="shared" si="5"/>
        <v/>
      </c>
      <c r="V49" s="96" t="str">
        <f>IFERROR(S49*T49*Assumptions!$B$15/3956,"")</f>
        <v/>
      </c>
      <c r="W49" s="102" t="str">
        <f t="shared" si="6"/>
        <v/>
      </c>
      <c r="X49" s="95" t="str">
        <f t="shared" si="7"/>
        <v/>
      </c>
      <c r="Y49" s="95" t="str">
        <f t="shared" si="8"/>
        <v/>
      </c>
      <c r="Z49" s="96" t="str">
        <f>IFERROR(W49*X49*Assumptions!$B$15/3956,"")</f>
        <v/>
      </c>
      <c r="AA49" s="100" t="str">
        <f t="shared" si="9"/>
        <v/>
      </c>
      <c r="AB49" s="95" t="str">
        <f t="shared" si="10"/>
        <v/>
      </c>
      <c r="AC49" s="95" t="str">
        <f t="shared" si="11"/>
        <v/>
      </c>
      <c r="AD49" s="96" t="str">
        <f>IFERROR(AA49*AB49*Assumptions!$B$15/3956,"")</f>
        <v/>
      </c>
      <c r="AE49" s="244" t="str">
        <f>IFERROR(
IF(C49="VTS",
IF(O49&gt;=AVERAGE(
INDEX(Assumptions!$I$38:$I$57,MATCH(O49,Assumptions!$I$38:$I$57,-1)),
INDEX(Assumptions!$I$38:$I$57,MATCH(O49,Assumptions!$I$38:$I$57,-1)+1)),
INDEX(Assumptions!$I$38:$I$57,MATCH(O49,Assumptions!$I$38:$I$57,-1)),
INDEX(Assumptions!$I$38:$I$57,MATCH(O49,Assumptions!$I$38:$I$57,-1)+1)),
IF(O49&gt;=AVERAGE(
INDEX(Assumptions!$I$13:$I$32,MATCH(O49,Assumptions!$I$13:$I$32,-1)),
INDEX(Assumptions!$I$13:$I$32,MATCH(O49,Assumptions!$I$13:$I$32,-1)+1)),
INDEX(Assumptions!$I$13:$I$32,MATCH(O49,Assumptions!$I$13:$I$32,-1)),
INDEX(Assumptions!$I$13:$I$32,MATCH(O49,Assumptions!$I$13:$I$32,-1)+1))),
"")</f>
        <v/>
      </c>
      <c r="AF49" s="95" t="str">
        <f>IFERROR(
IF(C49="VTS",
VLOOKUP(AE49,Assumptions!$I$38:$K$57,MATCH(P49,Assumptions!$I$37:$K$37,0),FALSE),
VLOOKUP(AE49,Assumptions!$I$13:$K$32,MATCH(P49,Assumptions!$I$12:$K$12,0),FALSE)),
"")</f>
        <v/>
      </c>
      <c r="AG49" s="95" t="str">
        <f t="shared" si="12"/>
        <v/>
      </c>
      <c r="AH49" s="95" t="str">
        <f>IFERROR(AG49*
(Assumptions!$S$7*(V49/(AK49*Assumptions!$AB$9/100)/O49)^3+
Assumptions!$S$8*(V49/(AK49*Assumptions!$AB$9/100)/O49)^2+
Assumptions!$S$9*(V49/(AK49*Assumptions!$AB$9/100)/O49)+
Assumptions!$S$10),"")</f>
        <v/>
      </c>
      <c r="AI49" s="95" t="str">
        <f>IFERROR(AG49*
(Assumptions!$S$7*(Z49/(AK49*Assumptions!$AB$8/100)/O49)^3+
Assumptions!$S$8*(Z49/(AK49*Assumptions!$AB$8/100)/O49)^2+
Assumptions!$S$9*(Z49/(AK49*Assumptions!$AB$8/100)/O49)+
Assumptions!$S$10),"")</f>
        <v/>
      </c>
      <c r="AJ49" s="95" t="str">
        <f>IFERROR(AG49*
(Assumptions!$S$7*(AD49/(AK49*Assumptions!$AB$10/100)/O49)^3+
Assumptions!$S$8*(AD49/(AK49*Assumptions!$AB$10/100)/O49)^2+
Assumptions!$S$9*(AD49/(AK49*Assumptions!$AB$10/100)/O49)+
Assumptions!$S$10),"")</f>
        <v/>
      </c>
      <c r="AK49" s="95" t="str">
        <f>IFERROR(
Assumptions!$AD$8*LN(S49)^2+
Assumptions!$AE$8*LN(R49)*LN(S49)+
Assumptions!$AF$8*LN(R49)^2+
Assumptions!$AG$8*LN(S49)+
Assumptions!$AH$8*LN(R49)-
(IF(Q49=1800,
VLOOKUP(C49,Assumptions!$AA$13:$AC$17,3),
IF(Q49=3600,
VLOOKUP(C49,Assumptions!$AA$18:$AC$22,3),
""))+Assumptions!$AI$8),
"")</f>
        <v/>
      </c>
      <c r="AL49" s="96" t="str">
        <f>IFERROR(
Assumptions!$D$11*(V49/(Assumptions!$AB$9*AK49/100)+AH49)+
Assumptions!$D$10*(Z49/(Assumptions!$AB$8*AK49/100)+AI49)+
Assumptions!$D$12*(AD49/(Assumptions!$AB$10*AK49/100)+AJ49),
"")</f>
        <v/>
      </c>
      <c r="AM49" s="67" t="str">
        <f>IFERROR(
U49*Assumptions!$D$11+
Y49*Assumptions!$D$10+
AC49*Assumptions!$D$12,
"")</f>
        <v/>
      </c>
      <c r="AN49" s="77" t="str">
        <f t="shared" si="13"/>
        <v/>
      </c>
      <c r="AO49" s="30" t="str">
        <f t="shared" si="14"/>
        <v/>
      </c>
    </row>
    <row r="50" spans="1:41" x14ac:dyDescent="0.25">
      <c r="A50" s="264"/>
      <c r="B50" s="265"/>
      <c r="C50" s="265"/>
      <c r="D50" s="265"/>
      <c r="E50" s="266"/>
      <c r="F50" s="270"/>
      <c r="G50" s="271"/>
      <c r="H50" s="272"/>
      <c r="I50" s="270"/>
      <c r="J50" s="308"/>
      <c r="K50" s="272"/>
      <c r="L50" s="270"/>
      <c r="M50" s="308"/>
      <c r="N50" s="310"/>
      <c r="O50" s="306"/>
      <c r="P50" s="84" t="str">
        <f t="shared" si="15"/>
        <v/>
      </c>
      <c r="Q50" s="84" t="str">
        <f t="shared" si="1"/>
        <v/>
      </c>
      <c r="R50" s="93" t="str">
        <f t="shared" si="2"/>
        <v/>
      </c>
      <c r="S50" s="100" t="str">
        <f t="shared" si="3"/>
        <v/>
      </c>
      <c r="T50" s="95" t="str">
        <f t="shared" si="4"/>
        <v/>
      </c>
      <c r="U50" s="95" t="str">
        <f t="shared" si="5"/>
        <v/>
      </c>
      <c r="V50" s="96" t="str">
        <f>IFERROR(S50*T50*Assumptions!$B$15/3956,"")</f>
        <v/>
      </c>
      <c r="W50" s="102" t="str">
        <f t="shared" si="6"/>
        <v/>
      </c>
      <c r="X50" s="95" t="str">
        <f t="shared" si="7"/>
        <v/>
      </c>
      <c r="Y50" s="95" t="str">
        <f t="shared" si="8"/>
        <v/>
      </c>
      <c r="Z50" s="96" t="str">
        <f>IFERROR(W50*X50*Assumptions!$B$15/3956,"")</f>
        <v/>
      </c>
      <c r="AA50" s="100" t="str">
        <f t="shared" si="9"/>
        <v/>
      </c>
      <c r="AB50" s="95" t="str">
        <f t="shared" si="10"/>
        <v/>
      </c>
      <c r="AC50" s="95" t="str">
        <f t="shared" si="11"/>
        <v/>
      </c>
      <c r="AD50" s="96" t="str">
        <f>IFERROR(AA50*AB50*Assumptions!$B$15/3956,"")</f>
        <v/>
      </c>
      <c r="AE50" s="244" t="str">
        <f>IFERROR(
IF(C50="VTS",
IF(O50&gt;=AVERAGE(
INDEX(Assumptions!$I$38:$I$57,MATCH(O50,Assumptions!$I$38:$I$57,-1)),
INDEX(Assumptions!$I$38:$I$57,MATCH(O50,Assumptions!$I$38:$I$57,-1)+1)),
INDEX(Assumptions!$I$38:$I$57,MATCH(O50,Assumptions!$I$38:$I$57,-1)),
INDEX(Assumptions!$I$38:$I$57,MATCH(O50,Assumptions!$I$38:$I$57,-1)+1)),
IF(O50&gt;=AVERAGE(
INDEX(Assumptions!$I$13:$I$32,MATCH(O50,Assumptions!$I$13:$I$32,-1)),
INDEX(Assumptions!$I$13:$I$32,MATCH(O50,Assumptions!$I$13:$I$32,-1)+1)),
INDEX(Assumptions!$I$13:$I$32,MATCH(O50,Assumptions!$I$13:$I$32,-1)),
INDEX(Assumptions!$I$13:$I$32,MATCH(O50,Assumptions!$I$13:$I$32,-1)+1))),
"")</f>
        <v/>
      </c>
      <c r="AF50" s="95" t="str">
        <f>IFERROR(
IF(C50="VTS",
VLOOKUP(AE50,Assumptions!$I$38:$K$57,MATCH(P50,Assumptions!$I$37:$K$37,0),FALSE),
VLOOKUP(AE50,Assumptions!$I$13:$K$32,MATCH(P50,Assumptions!$I$12:$K$12,0),FALSE)),
"")</f>
        <v/>
      </c>
      <c r="AG50" s="95" t="str">
        <f t="shared" si="12"/>
        <v/>
      </c>
      <c r="AH50" s="95" t="str">
        <f>IFERROR(AG50*
(Assumptions!$S$7*(V50/(AK50*Assumptions!$AB$9/100)/O50)^3+
Assumptions!$S$8*(V50/(AK50*Assumptions!$AB$9/100)/O50)^2+
Assumptions!$S$9*(V50/(AK50*Assumptions!$AB$9/100)/O50)+
Assumptions!$S$10),"")</f>
        <v/>
      </c>
      <c r="AI50" s="95" t="str">
        <f>IFERROR(AG50*
(Assumptions!$S$7*(Z50/(AK50*Assumptions!$AB$8/100)/O50)^3+
Assumptions!$S$8*(Z50/(AK50*Assumptions!$AB$8/100)/O50)^2+
Assumptions!$S$9*(Z50/(AK50*Assumptions!$AB$8/100)/O50)+
Assumptions!$S$10),"")</f>
        <v/>
      </c>
      <c r="AJ50" s="95" t="str">
        <f>IFERROR(AG50*
(Assumptions!$S$7*(AD50/(AK50*Assumptions!$AB$10/100)/O50)^3+
Assumptions!$S$8*(AD50/(AK50*Assumptions!$AB$10/100)/O50)^2+
Assumptions!$S$9*(AD50/(AK50*Assumptions!$AB$10/100)/O50)+
Assumptions!$S$10),"")</f>
        <v/>
      </c>
      <c r="AK50" s="95" t="str">
        <f>IFERROR(
Assumptions!$AD$8*LN(S50)^2+
Assumptions!$AE$8*LN(R50)*LN(S50)+
Assumptions!$AF$8*LN(R50)^2+
Assumptions!$AG$8*LN(S50)+
Assumptions!$AH$8*LN(R50)-
(IF(Q50=1800,
VLOOKUP(C50,Assumptions!$AA$13:$AC$17,3),
IF(Q50=3600,
VLOOKUP(C50,Assumptions!$AA$18:$AC$22,3),
""))+Assumptions!$AI$8),
"")</f>
        <v/>
      </c>
      <c r="AL50" s="96" t="str">
        <f>IFERROR(
Assumptions!$D$11*(V50/(Assumptions!$AB$9*AK50/100)+AH50)+
Assumptions!$D$10*(Z50/(Assumptions!$AB$8*AK50/100)+AI50)+
Assumptions!$D$12*(AD50/(Assumptions!$AB$10*AK50/100)+AJ50),
"")</f>
        <v/>
      </c>
      <c r="AM50" s="67" t="str">
        <f>IFERROR(
U50*Assumptions!$D$11+
Y50*Assumptions!$D$10+
AC50*Assumptions!$D$12,
"")</f>
        <v/>
      </c>
      <c r="AN50" s="77" t="str">
        <f t="shared" si="13"/>
        <v/>
      </c>
      <c r="AO50" s="30" t="str">
        <f t="shared" si="14"/>
        <v/>
      </c>
    </row>
    <row r="51" spans="1:41" x14ac:dyDescent="0.25">
      <c r="A51" s="264"/>
      <c r="B51" s="265"/>
      <c r="C51" s="265"/>
      <c r="D51" s="265"/>
      <c r="E51" s="266"/>
      <c r="F51" s="270"/>
      <c r="G51" s="271"/>
      <c r="H51" s="272"/>
      <c r="I51" s="270"/>
      <c r="J51" s="308"/>
      <c r="K51" s="272"/>
      <c r="L51" s="270"/>
      <c r="M51" s="308"/>
      <c r="N51" s="310"/>
      <c r="O51" s="306"/>
      <c r="P51" s="84" t="str">
        <f t="shared" si="15"/>
        <v/>
      </c>
      <c r="Q51" s="84" t="str">
        <f t="shared" si="1"/>
        <v/>
      </c>
      <c r="R51" s="93" t="str">
        <f t="shared" si="2"/>
        <v/>
      </c>
      <c r="S51" s="100" t="str">
        <f t="shared" si="3"/>
        <v/>
      </c>
      <c r="T51" s="95" t="str">
        <f t="shared" si="4"/>
        <v/>
      </c>
      <c r="U51" s="95" t="str">
        <f t="shared" si="5"/>
        <v/>
      </c>
      <c r="V51" s="96" t="str">
        <f>IFERROR(S51*T51*Assumptions!$B$15/3956,"")</f>
        <v/>
      </c>
      <c r="W51" s="102" t="str">
        <f t="shared" si="6"/>
        <v/>
      </c>
      <c r="X51" s="95" t="str">
        <f t="shared" si="7"/>
        <v/>
      </c>
      <c r="Y51" s="95" t="str">
        <f t="shared" si="8"/>
        <v/>
      </c>
      <c r="Z51" s="96" t="str">
        <f>IFERROR(W51*X51*Assumptions!$B$15/3956,"")</f>
        <v/>
      </c>
      <c r="AA51" s="100" t="str">
        <f t="shared" si="9"/>
        <v/>
      </c>
      <c r="AB51" s="95" t="str">
        <f t="shared" si="10"/>
        <v/>
      </c>
      <c r="AC51" s="95" t="str">
        <f t="shared" si="11"/>
        <v/>
      </c>
      <c r="AD51" s="96" t="str">
        <f>IFERROR(AA51*AB51*Assumptions!$B$15/3956,"")</f>
        <v/>
      </c>
      <c r="AE51" s="244" t="str">
        <f>IFERROR(
IF(C51="VTS",
IF(O51&gt;=AVERAGE(
INDEX(Assumptions!$I$38:$I$57,MATCH(O51,Assumptions!$I$38:$I$57,-1)),
INDEX(Assumptions!$I$38:$I$57,MATCH(O51,Assumptions!$I$38:$I$57,-1)+1)),
INDEX(Assumptions!$I$38:$I$57,MATCH(O51,Assumptions!$I$38:$I$57,-1)),
INDEX(Assumptions!$I$38:$I$57,MATCH(O51,Assumptions!$I$38:$I$57,-1)+1)),
IF(O51&gt;=AVERAGE(
INDEX(Assumptions!$I$13:$I$32,MATCH(O51,Assumptions!$I$13:$I$32,-1)),
INDEX(Assumptions!$I$13:$I$32,MATCH(O51,Assumptions!$I$13:$I$32,-1)+1)),
INDEX(Assumptions!$I$13:$I$32,MATCH(O51,Assumptions!$I$13:$I$32,-1)),
INDEX(Assumptions!$I$13:$I$32,MATCH(O51,Assumptions!$I$13:$I$32,-1)+1))),
"")</f>
        <v/>
      </c>
      <c r="AF51" s="95" t="str">
        <f>IFERROR(
IF(C51="VTS",
VLOOKUP(AE51,Assumptions!$I$38:$K$57,MATCH(P51,Assumptions!$I$37:$K$37,0),FALSE),
VLOOKUP(AE51,Assumptions!$I$13:$K$32,MATCH(P51,Assumptions!$I$12:$K$12,0),FALSE)),
"")</f>
        <v/>
      </c>
      <c r="AG51" s="95" t="str">
        <f t="shared" si="12"/>
        <v/>
      </c>
      <c r="AH51" s="95" t="str">
        <f>IFERROR(AG51*
(Assumptions!$S$7*(V51/(AK51*Assumptions!$AB$9/100)/O51)^3+
Assumptions!$S$8*(V51/(AK51*Assumptions!$AB$9/100)/O51)^2+
Assumptions!$S$9*(V51/(AK51*Assumptions!$AB$9/100)/O51)+
Assumptions!$S$10),"")</f>
        <v/>
      </c>
      <c r="AI51" s="95" t="str">
        <f>IFERROR(AG51*
(Assumptions!$S$7*(Z51/(AK51*Assumptions!$AB$8/100)/O51)^3+
Assumptions!$S$8*(Z51/(AK51*Assumptions!$AB$8/100)/O51)^2+
Assumptions!$S$9*(Z51/(AK51*Assumptions!$AB$8/100)/O51)+
Assumptions!$S$10),"")</f>
        <v/>
      </c>
      <c r="AJ51" s="95" t="str">
        <f>IFERROR(AG51*
(Assumptions!$S$7*(AD51/(AK51*Assumptions!$AB$10/100)/O51)^3+
Assumptions!$S$8*(AD51/(AK51*Assumptions!$AB$10/100)/O51)^2+
Assumptions!$S$9*(AD51/(AK51*Assumptions!$AB$10/100)/O51)+
Assumptions!$S$10),"")</f>
        <v/>
      </c>
      <c r="AK51" s="95" t="str">
        <f>IFERROR(
Assumptions!$AD$8*LN(S51)^2+
Assumptions!$AE$8*LN(R51)*LN(S51)+
Assumptions!$AF$8*LN(R51)^2+
Assumptions!$AG$8*LN(S51)+
Assumptions!$AH$8*LN(R51)-
(IF(Q51=1800,
VLOOKUP(C51,Assumptions!$AA$13:$AC$17,3),
IF(Q51=3600,
VLOOKUP(C51,Assumptions!$AA$18:$AC$22,3),
""))+Assumptions!$AI$8),
"")</f>
        <v/>
      </c>
      <c r="AL51" s="96" t="str">
        <f>IFERROR(
Assumptions!$D$11*(V51/(Assumptions!$AB$9*AK51/100)+AH51)+
Assumptions!$D$10*(Z51/(Assumptions!$AB$8*AK51/100)+AI51)+
Assumptions!$D$12*(AD51/(Assumptions!$AB$10*AK51/100)+AJ51),
"")</f>
        <v/>
      </c>
      <c r="AM51" s="67" t="str">
        <f>IFERROR(
U51*Assumptions!$D$11+
Y51*Assumptions!$D$10+
AC51*Assumptions!$D$12,
"")</f>
        <v/>
      </c>
      <c r="AN51" s="77" t="str">
        <f t="shared" si="13"/>
        <v/>
      </c>
      <c r="AO51" s="30" t="str">
        <f t="shared" si="14"/>
        <v/>
      </c>
    </row>
    <row r="52" spans="1:41" x14ac:dyDescent="0.25">
      <c r="A52" s="264"/>
      <c r="B52" s="265"/>
      <c r="C52" s="265"/>
      <c r="D52" s="265"/>
      <c r="E52" s="266"/>
      <c r="F52" s="270"/>
      <c r="G52" s="271"/>
      <c r="H52" s="272"/>
      <c r="I52" s="270"/>
      <c r="J52" s="308"/>
      <c r="K52" s="272"/>
      <c r="L52" s="270"/>
      <c r="M52" s="308"/>
      <c r="N52" s="310"/>
      <c r="O52" s="306"/>
      <c r="P52" s="84" t="str">
        <f t="shared" si="15"/>
        <v/>
      </c>
      <c r="Q52" s="84" t="str">
        <f t="shared" si="1"/>
        <v/>
      </c>
      <c r="R52" s="93" t="str">
        <f t="shared" si="2"/>
        <v/>
      </c>
      <c r="S52" s="100" t="str">
        <f t="shared" si="3"/>
        <v/>
      </c>
      <c r="T52" s="95" t="str">
        <f t="shared" si="4"/>
        <v/>
      </c>
      <c r="U52" s="95" t="str">
        <f t="shared" si="5"/>
        <v/>
      </c>
      <c r="V52" s="96" t="str">
        <f>IFERROR(S52*T52*Assumptions!$B$15/3956,"")</f>
        <v/>
      </c>
      <c r="W52" s="102" t="str">
        <f t="shared" si="6"/>
        <v/>
      </c>
      <c r="X52" s="95" t="str">
        <f t="shared" si="7"/>
        <v/>
      </c>
      <c r="Y52" s="95" t="str">
        <f t="shared" si="8"/>
        <v/>
      </c>
      <c r="Z52" s="96" t="str">
        <f>IFERROR(W52*X52*Assumptions!$B$15/3956,"")</f>
        <v/>
      </c>
      <c r="AA52" s="100" t="str">
        <f t="shared" si="9"/>
        <v/>
      </c>
      <c r="AB52" s="95" t="str">
        <f t="shared" si="10"/>
        <v/>
      </c>
      <c r="AC52" s="95" t="str">
        <f t="shared" si="11"/>
        <v/>
      </c>
      <c r="AD52" s="96" t="str">
        <f>IFERROR(AA52*AB52*Assumptions!$B$15/3956,"")</f>
        <v/>
      </c>
      <c r="AE52" s="244" t="str">
        <f>IFERROR(
IF(C52="VTS",
IF(O52&gt;=AVERAGE(
INDEX(Assumptions!$I$38:$I$57,MATCH(O52,Assumptions!$I$38:$I$57,-1)),
INDEX(Assumptions!$I$38:$I$57,MATCH(O52,Assumptions!$I$38:$I$57,-1)+1)),
INDEX(Assumptions!$I$38:$I$57,MATCH(O52,Assumptions!$I$38:$I$57,-1)),
INDEX(Assumptions!$I$38:$I$57,MATCH(O52,Assumptions!$I$38:$I$57,-1)+1)),
IF(O52&gt;=AVERAGE(
INDEX(Assumptions!$I$13:$I$32,MATCH(O52,Assumptions!$I$13:$I$32,-1)),
INDEX(Assumptions!$I$13:$I$32,MATCH(O52,Assumptions!$I$13:$I$32,-1)+1)),
INDEX(Assumptions!$I$13:$I$32,MATCH(O52,Assumptions!$I$13:$I$32,-1)),
INDEX(Assumptions!$I$13:$I$32,MATCH(O52,Assumptions!$I$13:$I$32,-1)+1))),
"")</f>
        <v/>
      </c>
      <c r="AF52" s="95" t="str">
        <f>IFERROR(
IF(C52="VTS",
VLOOKUP(AE52,Assumptions!$I$38:$K$57,MATCH(P52,Assumptions!$I$37:$K$37,0),FALSE),
VLOOKUP(AE52,Assumptions!$I$13:$K$32,MATCH(P52,Assumptions!$I$12:$K$12,0),FALSE)),
"")</f>
        <v/>
      </c>
      <c r="AG52" s="95" t="str">
        <f t="shared" si="12"/>
        <v/>
      </c>
      <c r="AH52" s="95" t="str">
        <f>IFERROR(AG52*
(Assumptions!$S$7*(V52/(AK52*Assumptions!$AB$9/100)/O52)^3+
Assumptions!$S$8*(V52/(AK52*Assumptions!$AB$9/100)/O52)^2+
Assumptions!$S$9*(V52/(AK52*Assumptions!$AB$9/100)/O52)+
Assumptions!$S$10),"")</f>
        <v/>
      </c>
      <c r="AI52" s="95" t="str">
        <f>IFERROR(AG52*
(Assumptions!$S$7*(Z52/(AK52*Assumptions!$AB$8/100)/O52)^3+
Assumptions!$S$8*(Z52/(AK52*Assumptions!$AB$8/100)/O52)^2+
Assumptions!$S$9*(Z52/(AK52*Assumptions!$AB$8/100)/O52)+
Assumptions!$S$10),"")</f>
        <v/>
      </c>
      <c r="AJ52" s="95" t="str">
        <f>IFERROR(AG52*
(Assumptions!$S$7*(AD52/(AK52*Assumptions!$AB$10/100)/O52)^3+
Assumptions!$S$8*(AD52/(AK52*Assumptions!$AB$10/100)/O52)^2+
Assumptions!$S$9*(AD52/(AK52*Assumptions!$AB$10/100)/O52)+
Assumptions!$S$10),"")</f>
        <v/>
      </c>
      <c r="AK52" s="95" t="str">
        <f>IFERROR(
Assumptions!$AD$8*LN(S52)^2+
Assumptions!$AE$8*LN(R52)*LN(S52)+
Assumptions!$AF$8*LN(R52)^2+
Assumptions!$AG$8*LN(S52)+
Assumptions!$AH$8*LN(R52)-
(IF(Q52=1800,
VLOOKUP(C52,Assumptions!$AA$13:$AC$17,3),
IF(Q52=3600,
VLOOKUP(C52,Assumptions!$AA$18:$AC$22,3),
""))+Assumptions!$AI$8),
"")</f>
        <v/>
      </c>
      <c r="AL52" s="96" t="str">
        <f>IFERROR(
Assumptions!$D$11*(V52/(Assumptions!$AB$9*AK52/100)+AH52)+
Assumptions!$D$10*(Z52/(Assumptions!$AB$8*AK52/100)+AI52)+
Assumptions!$D$12*(AD52/(Assumptions!$AB$10*AK52/100)+AJ52),
"")</f>
        <v/>
      </c>
      <c r="AM52" s="67" t="str">
        <f>IFERROR(
U52*Assumptions!$D$11+
Y52*Assumptions!$D$10+
AC52*Assumptions!$D$12,
"")</f>
        <v/>
      </c>
      <c r="AN52" s="77" t="str">
        <f t="shared" si="13"/>
        <v/>
      </c>
      <c r="AO52" s="30" t="str">
        <f t="shared" si="14"/>
        <v/>
      </c>
    </row>
    <row r="53" spans="1:41" x14ac:dyDescent="0.25">
      <c r="A53" s="264"/>
      <c r="B53" s="265"/>
      <c r="C53" s="265"/>
      <c r="D53" s="265"/>
      <c r="E53" s="266"/>
      <c r="F53" s="270"/>
      <c r="G53" s="271"/>
      <c r="H53" s="272"/>
      <c r="I53" s="270"/>
      <c r="J53" s="308"/>
      <c r="K53" s="272"/>
      <c r="L53" s="270"/>
      <c r="M53" s="308"/>
      <c r="N53" s="310"/>
      <c r="O53" s="306"/>
      <c r="P53" s="84" t="str">
        <f t="shared" si="15"/>
        <v/>
      </c>
      <c r="Q53" s="84" t="str">
        <f t="shared" si="1"/>
        <v/>
      </c>
      <c r="R53" s="93" t="str">
        <f t="shared" si="2"/>
        <v/>
      </c>
      <c r="S53" s="100" t="str">
        <f t="shared" si="3"/>
        <v/>
      </c>
      <c r="T53" s="95" t="str">
        <f t="shared" si="4"/>
        <v/>
      </c>
      <c r="U53" s="95" t="str">
        <f t="shared" si="5"/>
        <v/>
      </c>
      <c r="V53" s="96" t="str">
        <f>IFERROR(S53*T53*Assumptions!$B$15/3956,"")</f>
        <v/>
      </c>
      <c r="W53" s="102" t="str">
        <f t="shared" si="6"/>
        <v/>
      </c>
      <c r="X53" s="95" t="str">
        <f t="shared" si="7"/>
        <v/>
      </c>
      <c r="Y53" s="95" t="str">
        <f t="shared" si="8"/>
        <v/>
      </c>
      <c r="Z53" s="96" t="str">
        <f>IFERROR(W53*X53*Assumptions!$B$15/3956,"")</f>
        <v/>
      </c>
      <c r="AA53" s="100" t="str">
        <f t="shared" si="9"/>
        <v/>
      </c>
      <c r="AB53" s="95" t="str">
        <f t="shared" si="10"/>
        <v/>
      </c>
      <c r="AC53" s="95" t="str">
        <f t="shared" si="11"/>
        <v/>
      </c>
      <c r="AD53" s="96" t="str">
        <f>IFERROR(AA53*AB53*Assumptions!$B$15/3956,"")</f>
        <v/>
      </c>
      <c r="AE53" s="244" t="str">
        <f>IFERROR(
IF(C53="VTS",
IF(O53&gt;=AVERAGE(
INDEX(Assumptions!$I$38:$I$57,MATCH(O53,Assumptions!$I$38:$I$57,-1)),
INDEX(Assumptions!$I$38:$I$57,MATCH(O53,Assumptions!$I$38:$I$57,-1)+1)),
INDEX(Assumptions!$I$38:$I$57,MATCH(O53,Assumptions!$I$38:$I$57,-1)),
INDEX(Assumptions!$I$38:$I$57,MATCH(O53,Assumptions!$I$38:$I$57,-1)+1)),
IF(O53&gt;=AVERAGE(
INDEX(Assumptions!$I$13:$I$32,MATCH(O53,Assumptions!$I$13:$I$32,-1)),
INDEX(Assumptions!$I$13:$I$32,MATCH(O53,Assumptions!$I$13:$I$32,-1)+1)),
INDEX(Assumptions!$I$13:$I$32,MATCH(O53,Assumptions!$I$13:$I$32,-1)),
INDEX(Assumptions!$I$13:$I$32,MATCH(O53,Assumptions!$I$13:$I$32,-1)+1))),
"")</f>
        <v/>
      </c>
      <c r="AF53" s="95" t="str">
        <f>IFERROR(
IF(C53="VTS",
VLOOKUP(AE53,Assumptions!$I$38:$K$57,MATCH(P53,Assumptions!$I$37:$K$37,0),FALSE),
VLOOKUP(AE53,Assumptions!$I$13:$K$32,MATCH(P53,Assumptions!$I$12:$K$12,0),FALSE)),
"")</f>
        <v/>
      </c>
      <c r="AG53" s="95" t="str">
        <f t="shared" si="12"/>
        <v/>
      </c>
      <c r="AH53" s="95" t="str">
        <f>IFERROR(AG53*
(Assumptions!$S$7*(V53/(AK53*Assumptions!$AB$9/100)/O53)^3+
Assumptions!$S$8*(V53/(AK53*Assumptions!$AB$9/100)/O53)^2+
Assumptions!$S$9*(V53/(AK53*Assumptions!$AB$9/100)/O53)+
Assumptions!$S$10),"")</f>
        <v/>
      </c>
      <c r="AI53" s="95" t="str">
        <f>IFERROR(AG53*
(Assumptions!$S$7*(Z53/(AK53*Assumptions!$AB$8/100)/O53)^3+
Assumptions!$S$8*(Z53/(AK53*Assumptions!$AB$8/100)/O53)^2+
Assumptions!$S$9*(Z53/(AK53*Assumptions!$AB$8/100)/O53)+
Assumptions!$S$10),"")</f>
        <v/>
      </c>
      <c r="AJ53" s="95" t="str">
        <f>IFERROR(AG53*
(Assumptions!$S$7*(AD53/(AK53*Assumptions!$AB$10/100)/O53)^3+
Assumptions!$S$8*(AD53/(AK53*Assumptions!$AB$10/100)/O53)^2+
Assumptions!$S$9*(AD53/(AK53*Assumptions!$AB$10/100)/O53)+
Assumptions!$S$10),"")</f>
        <v/>
      </c>
      <c r="AK53" s="95" t="str">
        <f>IFERROR(
Assumptions!$AD$8*LN(S53)^2+
Assumptions!$AE$8*LN(R53)*LN(S53)+
Assumptions!$AF$8*LN(R53)^2+
Assumptions!$AG$8*LN(S53)+
Assumptions!$AH$8*LN(R53)-
(IF(Q53=1800,
VLOOKUP(C53,Assumptions!$AA$13:$AC$17,3),
IF(Q53=3600,
VLOOKUP(C53,Assumptions!$AA$18:$AC$22,3),
""))+Assumptions!$AI$8),
"")</f>
        <v/>
      </c>
      <c r="AL53" s="96" t="str">
        <f>IFERROR(
Assumptions!$D$11*(V53/(Assumptions!$AB$9*AK53/100)+AH53)+
Assumptions!$D$10*(Z53/(Assumptions!$AB$8*AK53/100)+AI53)+
Assumptions!$D$12*(AD53/(Assumptions!$AB$10*AK53/100)+AJ53),
"")</f>
        <v/>
      </c>
      <c r="AM53" s="67" t="str">
        <f>IFERROR(
U53*Assumptions!$D$11+
Y53*Assumptions!$D$10+
AC53*Assumptions!$D$12,
"")</f>
        <v/>
      </c>
      <c r="AN53" s="77" t="str">
        <f t="shared" si="13"/>
        <v/>
      </c>
      <c r="AO53" s="30" t="str">
        <f t="shared" si="14"/>
        <v/>
      </c>
    </row>
    <row r="54" spans="1:41" x14ac:dyDescent="0.25">
      <c r="A54" s="264"/>
      <c r="B54" s="265"/>
      <c r="C54" s="265"/>
      <c r="D54" s="265"/>
      <c r="E54" s="266"/>
      <c r="F54" s="270"/>
      <c r="G54" s="271"/>
      <c r="H54" s="272"/>
      <c r="I54" s="270"/>
      <c r="J54" s="308"/>
      <c r="K54" s="272"/>
      <c r="L54" s="270"/>
      <c r="M54" s="308"/>
      <c r="N54" s="310"/>
      <c r="O54" s="306"/>
      <c r="P54" s="84" t="str">
        <f t="shared" si="15"/>
        <v/>
      </c>
      <c r="Q54" s="84" t="str">
        <f t="shared" si="1"/>
        <v/>
      </c>
      <c r="R54" s="93" t="str">
        <f t="shared" si="2"/>
        <v/>
      </c>
      <c r="S54" s="100" t="str">
        <f t="shared" si="3"/>
        <v/>
      </c>
      <c r="T54" s="95" t="str">
        <f t="shared" si="4"/>
        <v/>
      </c>
      <c r="U54" s="95" t="str">
        <f t="shared" si="5"/>
        <v/>
      </c>
      <c r="V54" s="96" t="str">
        <f>IFERROR(S54*T54*Assumptions!$B$15/3956,"")</f>
        <v/>
      </c>
      <c r="W54" s="102" t="str">
        <f t="shared" si="6"/>
        <v/>
      </c>
      <c r="X54" s="95" t="str">
        <f t="shared" si="7"/>
        <v/>
      </c>
      <c r="Y54" s="95" t="str">
        <f t="shared" si="8"/>
        <v/>
      </c>
      <c r="Z54" s="96" t="str">
        <f>IFERROR(W54*X54*Assumptions!$B$15/3956,"")</f>
        <v/>
      </c>
      <c r="AA54" s="100" t="str">
        <f t="shared" si="9"/>
        <v/>
      </c>
      <c r="AB54" s="95" t="str">
        <f t="shared" si="10"/>
        <v/>
      </c>
      <c r="AC54" s="95" t="str">
        <f t="shared" si="11"/>
        <v/>
      </c>
      <c r="AD54" s="96" t="str">
        <f>IFERROR(AA54*AB54*Assumptions!$B$15/3956,"")</f>
        <v/>
      </c>
      <c r="AE54" s="244" t="str">
        <f>IFERROR(
IF(C54="VTS",
IF(O54&gt;=AVERAGE(
INDEX(Assumptions!$I$38:$I$57,MATCH(O54,Assumptions!$I$38:$I$57,-1)),
INDEX(Assumptions!$I$38:$I$57,MATCH(O54,Assumptions!$I$38:$I$57,-1)+1)),
INDEX(Assumptions!$I$38:$I$57,MATCH(O54,Assumptions!$I$38:$I$57,-1)),
INDEX(Assumptions!$I$38:$I$57,MATCH(O54,Assumptions!$I$38:$I$57,-1)+1)),
IF(O54&gt;=AVERAGE(
INDEX(Assumptions!$I$13:$I$32,MATCH(O54,Assumptions!$I$13:$I$32,-1)),
INDEX(Assumptions!$I$13:$I$32,MATCH(O54,Assumptions!$I$13:$I$32,-1)+1)),
INDEX(Assumptions!$I$13:$I$32,MATCH(O54,Assumptions!$I$13:$I$32,-1)),
INDEX(Assumptions!$I$13:$I$32,MATCH(O54,Assumptions!$I$13:$I$32,-1)+1))),
"")</f>
        <v/>
      </c>
      <c r="AF54" s="95" t="str">
        <f>IFERROR(
IF(C54="VTS",
VLOOKUP(AE54,Assumptions!$I$38:$K$57,MATCH(P54,Assumptions!$I$37:$K$37,0),FALSE),
VLOOKUP(AE54,Assumptions!$I$13:$K$32,MATCH(P54,Assumptions!$I$12:$K$12,0),FALSE)),
"")</f>
        <v/>
      </c>
      <c r="AG54" s="95" t="str">
        <f t="shared" si="12"/>
        <v/>
      </c>
      <c r="AH54" s="95" t="str">
        <f>IFERROR(AG54*
(Assumptions!$S$7*(V54/(AK54*Assumptions!$AB$9/100)/O54)^3+
Assumptions!$S$8*(V54/(AK54*Assumptions!$AB$9/100)/O54)^2+
Assumptions!$S$9*(V54/(AK54*Assumptions!$AB$9/100)/O54)+
Assumptions!$S$10),"")</f>
        <v/>
      </c>
      <c r="AI54" s="95" t="str">
        <f>IFERROR(AG54*
(Assumptions!$S$7*(Z54/(AK54*Assumptions!$AB$8/100)/O54)^3+
Assumptions!$S$8*(Z54/(AK54*Assumptions!$AB$8/100)/O54)^2+
Assumptions!$S$9*(Z54/(AK54*Assumptions!$AB$8/100)/O54)+
Assumptions!$S$10),"")</f>
        <v/>
      </c>
      <c r="AJ54" s="95" t="str">
        <f>IFERROR(AG54*
(Assumptions!$S$7*(AD54/(AK54*Assumptions!$AB$10/100)/O54)^3+
Assumptions!$S$8*(AD54/(AK54*Assumptions!$AB$10/100)/O54)^2+
Assumptions!$S$9*(AD54/(AK54*Assumptions!$AB$10/100)/O54)+
Assumptions!$S$10),"")</f>
        <v/>
      </c>
      <c r="AK54" s="95" t="str">
        <f>IFERROR(
Assumptions!$AD$8*LN(S54)^2+
Assumptions!$AE$8*LN(R54)*LN(S54)+
Assumptions!$AF$8*LN(R54)^2+
Assumptions!$AG$8*LN(S54)+
Assumptions!$AH$8*LN(R54)-
(IF(Q54=1800,
VLOOKUP(C54,Assumptions!$AA$13:$AC$17,3),
IF(Q54=3600,
VLOOKUP(C54,Assumptions!$AA$18:$AC$22,3),
""))+Assumptions!$AI$8),
"")</f>
        <v/>
      </c>
      <c r="AL54" s="96" t="str">
        <f>IFERROR(
Assumptions!$D$11*(V54/(Assumptions!$AB$9*AK54/100)+AH54)+
Assumptions!$D$10*(Z54/(Assumptions!$AB$8*AK54/100)+AI54)+
Assumptions!$D$12*(AD54/(Assumptions!$AB$10*AK54/100)+AJ54),
"")</f>
        <v/>
      </c>
      <c r="AM54" s="67" t="str">
        <f>IFERROR(
U54*Assumptions!$D$11+
Y54*Assumptions!$D$10+
AC54*Assumptions!$D$12,
"")</f>
        <v/>
      </c>
      <c r="AN54" s="77" t="str">
        <f t="shared" si="13"/>
        <v/>
      </c>
      <c r="AO54" s="30" t="str">
        <f t="shared" si="14"/>
        <v/>
      </c>
    </row>
    <row r="55" spans="1:41" x14ac:dyDescent="0.25">
      <c r="A55" s="264"/>
      <c r="B55" s="265"/>
      <c r="C55" s="265"/>
      <c r="D55" s="265"/>
      <c r="E55" s="266"/>
      <c r="F55" s="270"/>
      <c r="G55" s="271"/>
      <c r="H55" s="272"/>
      <c r="I55" s="270"/>
      <c r="J55" s="308"/>
      <c r="K55" s="272"/>
      <c r="L55" s="270"/>
      <c r="M55" s="308"/>
      <c r="N55" s="310"/>
      <c r="O55" s="306"/>
      <c r="P55" s="84" t="str">
        <f t="shared" si="15"/>
        <v/>
      </c>
      <c r="Q55" s="84" t="str">
        <f t="shared" si="1"/>
        <v/>
      </c>
      <c r="R55" s="93" t="str">
        <f t="shared" si="2"/>
        <v/>
      </c>
      <c r="S55" s="100" t="str">
        <f t="shared" si="3"/>
        <v/>
      </c>
      <c r="T55" s="95" t="str">
        <f t="shared" si="4"/>
        <v/>
      </c>
      <c r="U55" s="95" t="str">
        <f t="shared" si="5"/>
        <v/>
      </c>
      <c r="V55" s="96" t="str">
        <f>IFERROR(S55*T55*Assumptions!$B$15/3956,"")</f>
        <v/>
      </c>
      <c r="W55" s="102" t="str">
        <f t="shared" si="6"/>
        <v/>
      </c>
      <c r="X55" s="95" t="str">
        <f t="shared" si="7"/>
        <v/>
      </c>
      <c r="Y55" s="95" t="str">
        <f t="shared" si="8"/>
        <v/>
      </c>
      <c r="Z55" s="96" t="str">
        <f>IFERROR(W55*X55*Assumptions!$B$15/3956,"")</f>
        <v/>
      </c>
      <c r="AA55" s="100" t="str">
        <f t="shared" si="9"/>
        <v/>
      </c>
      <c r="AB55" s="95" t="str">
        <f t="shared" si="10"/>
        <v/>
      </c>
      <c r="AC55" s="95" t="str">
        <f t="shared" si="11"/>
        <v/>
      </c>
      <c r="AD55" s="96" t="str">
        <f>IFERROR(AA55*AB55*Assumptions!$B$15/3956,"")</f>
        <v/>
      </c>
      <c r="AE55" s="244" t="str">
        <f>IFERROR(
IF(C55="VTS",
IF(O55&gt;=AVERAGE(
INDEX(Assumptions!$I$38:$I$57,MATCH(O55,Assumptions!$I$38:$I$57,-1)),
INDEX(Assumptions!$I$38:$I$57,MATCH(O55,Assumptions!$I$38:$I$57,-1)+1)),
INDEX(Assumptions!$I$38:$I$57,MATCH(O55,Assumptions!$I$38:$I$57,-1)),
INDEX(Assumptions!$I$38:$I$57,MATCH(O55,Assumptions!$I$38:$I$57,-1)+1)),
IF(O55&gt;=AVERAGE(
INDEX(Assumptions!$I$13:$I$32,MATCH(O55,Assumptions!$I$13:$I$32,-1)),
INDEX(Assumptions!$I$13:$I$32,MATCH(O55,Assumptions!$I$13:$I$32,-1)+1)),
INDEX(Assumptions!$I$13:$I$32,MATCH(O55,Assumptions!$I$13:$I$32,-1)),
INDEX(Assumptions!$I$13:$I$32,MATCH(O55,Assumptions!$I$13:$I$32,-1)+1))),
"")</f>
        <v/>
      </c>
      <c r="AF55" s="95" t="str">
        <f>IFERROR(
IF(C55="VTS",
VLOOKUP(AE55,Assumptions!$I$38:$K$57,MATCH(P55,Assumptions!$I$37:$K$37,0),FALSE),
VLOOKUP(AE55,Assumptions!$I$13:$K$32,MATCH(P55,Assumptions!$I$12:$K$12,0),FALSE)),
"")</f>
        <v/>
      </c>
      <c r="AG55" s="95" t="str">
        <f t="shared" si="12"/>
        <v/>
      </c>
      <c r="AH55" s="95" t="str">
        <f>IFERROR(AG55*
(Assumptions!$S$7*(V55/(AK55*Assumptions!$AB$9/100)/O55)^3+
Assumptions!$S$8*(V55/(AK55*Assumptions!$AB$9/100)/O55)^2+
Assumptions!$S$9*(V55/(AK55*Assumptions!$AB$9/100)/O55)+
Assumptions!$S$10),"")</f>
        <v/>
      </c>
      <c r="AI55" s="95" t="str">
        <f>IFERROR(AG55*
(Assumptions!$S$7*(Z55/(AK55*Assumptions!$AB$8/100)/O55)^3+
Assumptions!$S$8*(Z55/(AK55*Assumptions!$AB$8/100)/O55)^2+
Assumptions!$S$9*(Z55/(AK55*Assumptions!$AB$8/100)/O55)+
Assumptions!$S$10),"")</f>
        <v/>
      </c>
      <c r="AJ55" s="95" t="str">
        <f>IFERROR(AG55*
(Assumptions!$S$7*(AD55/(AK55*Assumptions!$AB$10/100)/O55)^3+
Assumptions!$S$8*(AD55/(AK55*Assumptions!$AB$10/100)/O55)^2+
Assumptions!$S$9*(AD55/(AK55*Assumptions!$AB$10/100)/O55)+
Assumptions!$S$10),"")</f>
        <v/>
      </c>
      <c r="AK55" s="95" t="str">
        <f>IFERROR(
Assumptions!$AD$8*LN(S55)^2+
Assumptions!$AE$8*LN(R55)*LN(S55)+
Assumptions!$AF$8*LN(R55)^2+
Assumptions!$AG$8*LN(S55)+
Assumptions!$AH$8*LN(R55)-
(IF(Q55=1800,
VLOOKUP(C55,Assumptions!$AA$13:$AC$17,3),
IF(Q55=3600,
VLOOKUP(C55,Assumptions!$AA$18:$AC$22,3),
""))+Assumptions!$AI$8),
"")</f>
        <v/>
      </c>
      <c r="AL55" s="96" t="str">
        <f>IFERROR(
Assumptions!$D$11*(V55/(Assumptions!$AB$9*AK55/100)+AH55)+
Assumptions!$D$10*(Z55/(Assumptions!$AB$8*AK55/100)+AI55)+
Assumptions!$D$12*(AD55/(Assumptions!$AB$10*AK55/100)+AJ55),
"")</f>
        <v/>
      </c>
      <c r="AM55" s="67" t="str">
        <f>IFERROR(
U55*Assumptions!$D$11+
Y55*Assumptions!$D$10+
AC55*Assumptions!$D$12,
"")</f>
        <v/>
      </c>
      <c r="AN55" s="77" t="str">
        <f t="shared" si="13"/>
        <v/>
      </c>
      <c r="AO55" s="30" t="str">
        <f t="shared" si="14"/>
        <v/>
      </c>
    </row>
    <row r="56" spans="1:41" x14ac:dyDescent="0.25">
      <c r="A56" s="264"/>
      <c r="B56" s="265"/>
      <c r="C56" s="265"/>
      <c r="D56" s="265"/>
      <c r="E56" s="266"/>
      <c r="F56" s="270"/>
      <c r="G56" s="271"/>
      <c r="H56" s="272"/>
      <c r="I56" s="270"/>
      <c r="J56" s="308"/>
      <c r="K56" s="272"/>
      <c r="L56" s="270"/>
      <c r="M56" s="308"/>
      <c r="N56" s="310"/>
      <c r="O56" s="306"/>
      <c r="P56" s="84" t="str">
        <f t="shared" si="15"/>
        <v/>
      </c>
      <c r="Q56" s="84" t="str">
        <f t="shared" si="1"/>
        <v/>
      </c>
      <c r="R56" s="93" t="str">
        <f t="shared" si="2"/>
        <v/>
      </c>
      <c r="S56" s="100" t="str">
        <f t="shared" si="3"/>
        <v/>
      </c>
      <c r="T56" s="95" t="str">
        <f t="shared" si="4"/>
        <v/>
      </c>
      <c r="U56" s="95" t="str">
        <f t="shared" si="5"/>
        <v/>
      </c>
      <c r="V56" s="96" t="str">
        <f>IFERROR(S56*T56*Assumptions!$B$15/3956,"")</f>
        <v/>
      </c>
      <c r="W56" s="102" t="str">
        <f t="shared" si="6"/>
        <v/>
      </c>
      <c r="X56" s="95" t="str">
        <f t="shared" si="7"/>
        <v/>
      </c>
      <c r="Y56" s="95" t="str">
        <f t="shared" si="8"/>
        <v/>
      </c>
      <c r="Z56" s="96" t="str">
        <f>IFERROR(W56*X56*Assumptions!$B$15/3956,"")</f>
        <v/>
      </c>
      <c r="AA56" s="100" t="str">
        <f t="shared" si="9"/>
        <v/>
      </c>
      <c r="AB56" s="95" t="str">
        <f t="shared" si="10"/>
        <v/>
      </c>
      <c r="AC56" s="95" t="str">
        <f t="shared" si="11"/>
        <v/>
      </c>
      <c r="AD56" s="96" t="str">
        <f>IFERROR(AA56*AB56*Assumptions!$B$15/3956,"")</f>
        <v/>
      </c>
      <c r="AE56" s="244" t="str">
        <f>IFERROR(
IF(C56="VTS",
IF(O56&gt;=AVERAGE(
INDEX(Assumptions!$I$38:$I$57,MATCH(O56,Assumptions!$I$38:$I$57,-1)),
INDEX(Assumptions!$I$38:$I$57,MATCH(O56,Assumptions!$I$38:$I$57,-1)+1)),
INDEX(Assumptions!$I$38:$I$57,MATCH(O56,Assumptions!$I$38:$I$57,-1)),
INDEX(Assumptions!$I$38:$I$57,MATCH(O56,Assumptions!$I$38:$I$57,-1)+1)),
IF(O56&gt;=AVERAGE(
INDEX(Assumptions!$I$13:$I$32,MATCH(O56,Assumptions!$I$13:$I$32,-1)),
INDEX(Assumptions!$I$13:$I$32,MATCH(O56,Assumptions!$I$13:$I$32,-1)+1)),
INDEX(Assumptions!$I$13:$I$32,MATCH(O56,Assumptions!$I$13:$I$32,-1)),
INDEX(Assumptions!$I$13:$I$32,MATCH(O56,Assumptions!$I$13:$I$32,-1)+1))),
"")</f>
        <v/>
      </c>
      <c r="AF56" s="95" t="str">
        <f>IFERROR(
IF(C56="VTS",
VLOOKUP(AE56,Assumptions!$I$38:$K$57,MATCH(P56,Assumptions!$I$37:$K$37,0),FALSE),
VLOOKUP(AE56,Assumptions!$I$13:$K$32,MATCH(P56,Assumptions!$I$12:$K$12,0),FALSE)),
"")</f>
        <v/>
      </c>
      <c r="AG56" s="95" t="str">
        <f t="shared" si="12"/>
        <v/>
      </c>
      <c r="AH56" s="95" t="str">
        <f>IFERROR(AG56*
(Assumptions!$S$7*(V56/(AK56*Assumptions!$AB$9/100)/O56)^3+
Assumptions!$S$8*(V56/(AK56*Assumptions!$AB$9/100)/O56)^2+
Assumptions!$S$9*(V56/(AK56*Assumptions!$AB$9/100)/O56)+
Assumptions!$S$10),"")</f>
        <v/>
      </c>
      <c r="AI56" s="95" t="str">
        <f>IFERROR(AG56*
(Assumptions!$S$7*(Z56/(AK56*Assumptions!$AB$8/100)/O56)^3+
Assumptions!$S$8*(Z56/(AK56*Assumptions!$AB$8/100)/O56)^2+
Assumptions!$S$9*(Z56/(AK56*Assumptions!$AB$8/100)/O56)+
Assumptions!$S$10),"")</f>
        <v/>
      </c>
      <c r="AJ56" s="95" t="str">
        <f>IFERROR(AG56*
(Assumptions!$S$7*(AD56/(AK56*Assumptions!$AB$10/100)/O56)^3+
Assumptions!$S$8*(AD56/(AK56*Assumptions!$AB$10/100)/O56)^2+
Assumptions!$S$9*(AD56/(AK56*Assumptions!$AB$10/100)/O56)+
Assumptions!$S$10),"")</f>
        <v/>
      </c>
      <c r="AK56" s="95" t="str">
        <f>IFERROR(
Assumptions!$AD$8*LN(S56)^2+
Assumptions!$AE$8*LN(R56)*LN(S56)+
Assumptions!$AF$8*LN(R56)^2+
Assumptions!$AG$8*LN(S56)+
Assumptions!$AH$8*LN(R56)-
(IF(Q56=1800,
VLOOKUP(C56,Assumptions!$AA$13:$AC$17,3),
IF(Q56=3600,
VLOOKUP(C56,Assumptions!$AA$18:$AC$22,3),
""))+Assumptions!$AI$8),
"")</f>
        <v/>
      </c>
      <c r="AL56" s="96" t="str">
        <f>IFERROR(
Assumptions!$D$11*(V56/(Assumptions!$AB$9*AK56/100)+AH56)+
Assumptions!$D$10*(Z56/(Assumptions!$AB$8*AK56/100)+AI56)+
Assumptions!$D$12*(AD56/(Assumptions!$AB$10*AK56/100)+AJ56),
"")</f>
        <v/>
      </c>
      <c r="AM56" s="67" t="str">
        <f>IFERROR(
U56*Assumptions!$D$11+
Y56*Assumptions!$D$10+
AC56*Assumptions!$D$12,
"")</f>
        <v/>
      </c>
      <c r="AN56" s="77" t="str">
        <f t="shared" si="13"/>
        <v/>
      </c>
      <c r="AO56" s="30" t="str">
        <f t="shared" si="14"/>
        <v/>
      </c>
    </row>
    <row r="57" spans="1:41" x14ac:dyDescent="0.25">
      <c r="A57" s="264"/>
      <c r="B57" s="265"/>
      <c r="C57" s="265"/>
      <c r="D57" s="265"/>
      <c r="E57" s="266"/>
      <c r="F57" s="270"/>
      <c r="G57" s="271"/>
      <c r="H57" s="272"/>
      <c r="I57" s="270"/>
      <c r="J57" s="308"/>
      <c r="K57" s="272"/>
      <c r="L57" s="270"/>
      <c r="M57" s="308"/>
      <c r="N57" s="310"/>
      <c r="O57" s="306"/>
      <c r="P57" s="84" t="str">
        <f t="shared" si="15"/>
        <v/>
      </c>
      <c r="Q57" s="84" t="str">
        <f t="shared" si="1"/>
        <v/>
      </c>
      <c r="R57" s="93" t="str">
        <f t="shared" si="2"/>
        <v/>
      </c>
      <c r="S57" s="100" t="str">
        <f t="shared" si="3"/>
        <v/>
      </c>
      <c r="T57" s="95" t="str">
        <f t="shared" si="4"/>
        <v/>
      </c>
      <c r="U57" s="95" t="str">
        <f t="shared" si="5"/>
        <v/>
      </c>
      <c r="V57" s="96" t="str">
        <f>IFERROR(S57*T57*Assumptions!$B$15/3956,"")</f>
        <v/>
      </c>
      <c r="W57" s="102" t="str">
        <f t="shared" si="6"/>
        <v/>
      </c>
      <c r="X57" s="95" t="str">
        <f t="shared" si="7"/>
        <v/>
      </c>
      <c r="Y57" s="95" t="str">
        <f t="shared" si="8"/>
        <v/>
      </c>
      <c r="Z57" s="96" t="str">
        <f>IFERROR(W57*X57*Assumptions!$B$15/3956,"")</f>
        <v/>
      </c>
      <c r="AA57" s="100" t="str">
        <f t="shared" si="9"/>
        <v/>
      </c>
      <c r="AB57" s="95" t="str">
        <f t="shared" si="10"/>
        <v/>
      </c>
      <c r="AC57" s="95" t="str">
        <f t="shared" si="11"/>
        <v/>
      </c>
      <c r="AD57" s="96" t="str">
        <f>IFERROR(AA57*AB57*Assumptions!$B$15/3956,"")</f>
        <v/>
      </c>
      <c r="AE57" s="244" t="str">
        <f>IFERROR(
IF(C57="VTS",
IF(O57&gt;=AVERAGE(
INDEX(Assumptions!$I$38:$I$57,MATCH(O57,Assumptions!$I$38:$I$57,-1)),
INDEX(Assumptions!$I$38:$I$57,MATCH(O57,Assumptions!$I$38:$I$57,-1)+1)),
INDEX(Assumptions!$I$38:$I$57,MATCH(O57,Assumptions!$I$38:$I$57,-1)),
INDEX(Assumptions!$I$38:$I$57,MATCH(O57,Assumptions!$I$38:$I$57,-1)+1)),
IF(O57&gt;=AVERAGE(
INDEX(Assumptions!$I$13:$I$32,MATCH(O57,Assumptions!$I$13:$I$32,-1)),
INDEX(Assumptions!$I$13:$I$32,MATCH(O57,Assumptions!$I$13:$I$32,-1)+1)),
INDEX(Assumptions!$I$13:$I$32,MATCH(O57,Assumptions!$I$13:$I$32,-1)),
INDEX(Assumptions!$I$13:$I$32,MATCH(O57,Assumptions!$I$13:$I$32,-1)+1))),
"")</f>
        <v/>
      </c>
      <c r="AF57" s="95" t="str">
        <f>IFERROR(
IF(C57="VTS",
VLOOKUP(AE57,Assumptions!$I$38:$K$57,MATCH(P57,Assumptions!$I$37:$K$37,0),FALSE),
VLOOKUP(AE57,Assumptions!$I$13:$K$32,MATCH(P57,Assumptions!$I$12:$K$12,0),FALSE)),
"")</f>
        <v/>
      </c>
      <c r="AG57" s="95" t="str">
        <f t="shared" si="12"/>
        <v/>
      </c>
      <c r="AH57" s="95" t="str">
        <f>IFERROR(AG57*
(Assumptions!$S$7*(V57/(AK57*Assumptions!$AB$9/100)/O57)^3+
Assumptions!$S$8*(V57/(AK57*Assumptions!$AB$9/100)/O57)^2+
Assumptions!$S$9*(V57/(AK57*Assumptions!$AB$9/100)/O57)+
Assumptions!$S$10),"")</f>
        <v/>
      </c>
      <c r="AI57" s="95" t="str">
        <f>IFERROR(AG57*
(Assumptions!$S$7*(Z57/(AK57*Assumptions!$AB$8/100)/O57)^3+
Assumptions!$S$8*(Z57/(AK57*Assumptions!$AB$8/100)/O57)^2+
Assumptions!$S$9*(Z57/(AK57*Assumptions!$AB$8/100)/O57)+
Assumptions!$S$10),"")</f>
        <v/>
      </c>
      <c r="AJ57" s="95" t="str">
        <f>IFERROR(AG57*
(Assumptions!$S$7*(AD57/(AK57*Assumptions!$AB$10/100)/O57)^3+
Assumptions!$S$8*(AD57/(AK57*Assumptions!$AB$10/100)/O57)^2+
Assumptions!$S$9*(AD57/(AK57*Assumptions!$AB$10/100)/O57)+
Assumptions!$S$10),"")</f>
        <v/>
      </c>
      <c r="AK57" s="95" t="str">
        <f>IFERROR(
Assumptions!$AD$8*LN(S57)^2+
Assumptions!$AE$8*LN(R57)*LN(S57)+
Assumptions!$AF$8*LN(R57)^2+
Assumptions!$AG$8*LN(S57)+
Assumptions!$AH$8*LN(R57)-
(IF(Q57=1800,
VLOOKUP(C57,Assumptions!$AA$13:$AC$17,3),
IF(Q57=3600,
VLOOKUP(C57,Assumptions!$AA$18:$AC$22,3),
""))+Assumptions!$AI$8),
"")</f>
        <v/>
      </c>
      <c r="AL57" s="96" t="str">
        <f>IFERROR(
Assumptions!$D$11*(V57/(Assumptions!$AB$9*AK57/100)+AH57)+
Assumptions!$D$10*(Z57/(Assumptions!$AB$8*AK57/100)+AI57)+
Assumptions!$D$12*(AD57/(Assumptions!$AB$10*AK57/100)+AJ57),
"")</f>
        <v/>
      </c>
      <c r="AM57" s="67" t="str">
        <f>IFERROR(
U57*Assumptions!$D$11+
Y57*Assumptions!$D$10+
AC57*Assumptions!$D$12,
"")</f>
        <v/>
      </c>
      <c r="AN57" s="77" t="str">
        <f t="shared" si="13"/>
        <v/>
      </c>
      <c r="AO57" s="30" t="str">
        <f t="shared" si="14"/>
        <v/>
      </c>
    </row>
    <row r="58" spans="1:41" x14ac:dyDescent="0.25">
      <c r="A58" s="264"/>
      <c r="B58" s="265"/>
      <c r="C58" s="265"/>
      <c r="D58" s="265"/>
      <c r="E58" s="266"/>
      <c r="F58" s="270"/>
      <c r="G58" s="271"/>
      <c r="H58" s="272"/>
      <c r="I58" s="270"/>
      <c r="J58" s="308"/>
      <c r="K58" s="272"/>
      <c r="L58" s="270"/>
      <c r="M58" s="308"/>
      <c r="N58" s="310"/>
      <c r="O58" s="306"/>
      <c r="P58" s="84" t="str">
        <f t="shared" si="15"/>
        <v/>
      </c>
      <c r="Q58" s="84" t="str">
        <f t="shared" si="1"/>
        <v/>
      </c>
      <c r="R58" s="93" t="str">
        <f t="shared" si="2"/>
        <v/>
      </c>
      <c r="S58" s="100" t="str">
        <f t="shared" si="3"/>
        <v/>
      </c>
      <c r="T58" s="95" t="str">
        <f t="shared" si="4"/>
        <v/>
      </c>
      <c r="U58" s="95" t="str">
        <f t="shared" si="5"/>
        <v/>
      </c>
      <c r="V58" s="96" t="str">
        <f>IFERROR(S58*T58*Assumptions!$B$15/3956,"")</f>
        <v/>
      </c>
      <c r="W58" s="102" t="str">
        <f t="shared" si="6"/>
        <v/>
      </c>
      <c r="X58" s="95" t="str">
        <f t="shared" si="7"/>
        <v/>
      </c>
      <c r="Y58" s="95" t="str">
        <f t="shared" si="8"/>
        <v/>
      </c>
      <c r="Z58" s="96" t="str">
        <f>IFERROR(W58*X58*Assumptions!$B$15/3956,"")</f>
        <v/>
      </c>
      <c r="AA58" s="100" t="str">
        <f t="shared" si="9"/>
        <v/>
      </c>
      <c r="AB58" s="95" t="str">
        <f t="shared" si="10"/>
        <v/>
      </c>
      <c r="AC58" s="95" t="str">
        <f t="shared" si="11"/>
        <v/>
      </c>
      <c r="AD58" s="96" t="str">
        <f>IFERROR(AA58*AB58*Assumptions!$B$15/3956,"")</f>
        <v/>
      </c>
      <c r="AE58" s="244" t="str">
        <f>IFERROR(
IF(C58="VTS",
IF(O58&gt;=AVERAGE(
INDEX(Assumptions!$I$38:$I$57,MATCH(O58,Assumptions!$I$38:$I$57,-1)),
INDEX(Assumptions!$I$38:$I$57,MATCH(O58,Assumptions!$I$38:$I$57,-1)+1)),
INDEX(Assumptions!$I$38:$I$57,MATCH(O58,Assumptions!$I$38:$I$57,-1)),
INDEX(Assumptions!$I$38:$I$57,MATCH(O58,Assumptions!$I$38:$I$57,-1)+1)),
IF(O58&gt;=AVERAGE(
INDEX(Assumptions!$I$13:$I$32,MATCH(O58,Assumptions!$I$13:$I$32,-1)),
INDEX(Assumptions!$I$13:$I$32,MATCH(O58,Assumptions!$I$13:$I$32,-1)+1)),
INDEX(Assumptions!$I$13:$I$32,MATCH(O58,Assumptions!$I$13:$I$32,-1)),
INDEX(Assumptions!$I$13:$I$32,MATCH(O58,Assumptions!$I$13:$I$32,-1)+1))),
"")</f>
        <v/>
      </c>
      <c r="AF58" s="95" t="str">
        <f>IFERROR(
IF(C58="VTS",
VLOOKUP(AE58,Assumptions!$I$38:$K$57,MATCH(P58,Assumptions!$I$37:$K$37,0),FALSE),
VLOOKUP(AE58,Assumptions!$I$13:$K$32,MATCH(P58,Assumptions!$I$12:$K$12,0),FALSE)),
"")</f>
        <v/>
      </c>
      <c r="AG58" s="95" t="str">
        <f t="shared" si="12"/>
        <v/>
      </c>
      <c r="AH58" s="95" t="str">
        <f>IFERROR(AG58*
(Assumptions!$S$7*(V58/(AK58*Assumptions!$AB$9/100)/O58)^3+
Assumptions!$S$8*(V58/(AK58*Assumptions!$AB$9/100)/O58)^2+
Assumptions!$S$9*(V58/(AK58*Assumptions!$AB$9/100)/O58)+
Assumptions!$S$10),"")</f>
        <v/>
      </c>
      <c r="AI58" s="95" t="str">
        <f>IFERROR(AG58*
(Assumptions!$S$7*(Z58/(AK58*Assumptions!$AB$8/100)/O58)^3+
Assumptions!$S$8*(Z58/(AK58*Assumptions!$AB$8/100)/O58)^2+
Assumptions!$S$9*(Z58/(AK58*Assumptions!$AB$8/100)/O58)+
Assumptions!$S$10),"")</f>
        <v/>
      </c>
      <c r="AJ58" s="95" t="str">
        <f>IFERROR(AG58*
(Assumptions!$S$7*(AD58/(AK58*Assumptions!$AB$10/100)/O58)^3+
Assumptions!$S$8*(AD58/(AK58*Assumptions!$AB$10/100)/O58)^2+
Assumptions!$S$9*(AD58/(AK58*Assumptions!$AB$10/100)/O58)+
Assumptions!$S$10),"")</f>
        <v/>
      </c>
      <c r="AK58" s="95" t="str">
        <f>IFERROR(
Assumptions!$AD$8*LN(S58)^2+
Assumptions!$AE$8*LN(R58)*LN(S58)+
Assumptions!$AF$8*LN(R58)^2+
Assumptions!$AG$8*LN(S58)+
Assumptions!$AH$8*LN(R58)-
(IF(Q58=1800,
VLOOKUP(C58,Assumptions!$AA$13:$AC$17,3),
IF(Q58=3600,
VLOOKUP(C58,Assumptions!$AA$18:$AC$22,3),
""))+Assumptions!$AI$8),
"")</f>
        <v/>
      </c>
      <c r="AL58" s="96" t="str">
        <f>IFERROR(
Assumptions!$D$11*(V58/(Assumptions!$AB$9*AK58/100)+AH58)+
Assumptions!$D$10*(Z58/(Assumptions!$AB$8*AK58/100)+AI58)+
Assumptions!$D$12*(AD58/(Assumptions!$AB$10*AK58/100)+AJ58),
"")</f>
        <v/>
      </c>
      <c r="AM58" s="67" t="str">
        <f>IFERROR(
U58*Assumptions!$D$11+
Y58*Assumptions!$D$10+
AC58*Assumptions!$D$12,
"")</f>
        <v/>
      </c>
      <c r="AN58" s="77" t="str">
        <f t="shared" si="13"/>
        <v/>
      </c>
      <c r="AO58" s="30" t="str">
        <f t="shared" si="14"/>
        <v/>
      </c>
    </row>
    <row r="59" spans="1:41" x14ac:dyDescent="0.25">
      <c r="A59" s="264"/>
      <c r="B59" s="265"/>
      <c r="C59" s="265"/>
      <c r="D59" s="265"/>
      <c r="E59" s="266"/>
      <c r="F59" s="270"/>
      <c r="G59" s="271"/>
      <c r="H59" s="272"/>
      <c r="I59" s="270"/>
      <c r="J59" s="308"/>
      <c r="K59" s="272"/>
      <c r="L59" s="270"/>
      <c r="M59" s="308"/>
      <c r="N59" s="310"/>
      <c r="O59" s="306"/>
      <c r="P59" s="84" t="str">
        <f t="shared" si="15"/>
        <v/>
      </c>
      <c r="Q59" s="84" t="str">
        <f t="shared" si="1"/>
        <v/>
      </c>
      <c r="R59" s="93" t="str">
        <f t="shared" si="2"/>
        <v/>
      </c>
      <c r="S59" s="100" t="str">
        <f t="shared" si="3"/>
        <v/>
      </c>
      <c r="T59" s="95" t="str">
        <f t="shared" si="4"/>
        <v/>
      </c>
      <c r="U59" s="95" t="str">
        <f t="shared" si="5"/>
        <v/>
      </c>
      <c r="V59" s="96" t="str">
        <f>IFERROR(S59*T59*Assumptions!$B$15/3956,"")</f>
        <v/>
      </c>
      <c r="W59" s="102" t="str">
        <f t="shared" si="6"/>
        <v/>
      </c>
      <c r="X59" s="95" t="str">
        <f t="shared" si="7"/>
        <v/>
      </c>
      <c r="Y59" s="95" t="str">
        <f t="shared" si="8"/>
        <v/>
      </c>
      <c r="Z59" s="96" t="str">
        <f>IFERROR(W59*X59*Assumptions!$B$15/3956,"")</f>
        <v/>
      </c>
      <c r="AA59" s="100" t="str">
        <f t="shared" si="9"/>
        <v/>
      </c>
      <c r="AB59" s="95" t="str">
        <f t="shared" si="10"/>
        <v/>
      </c>
      <c r="AC59" s="95" t="str">
        <f t="shared" si="11"/>
        <v/>
      </c>
      <c r="AD59" s="96" t="str">
        <f>IFERROR(AA59*AB59*Assumptions!$B$15/3956,"")</f>
        <v/>
      </c>
      <c r="AE59" s="244" t="str">
        <f>IFERROR(
IF(C59="VTS",
IF(O59&gt;=AVERAGE(
INDEX(Assumptions!$I$38:$I$57,MATCH(O59,Assumptions!$I$38:$I$57,-1)),
INDEX(Assumptions!$I$38:$I$57,MATCH(O59,Assumptions!$I$38:$I$57,-1)+1)),
INDEX(Assumptions!$I$38:$I$57,MATCH(O59,Assumptions!$I$38:$I$57,-1)),
INDEX(Assumptions!$I$38:$I$57,MATCH(O59,Assumptions!$I$38:$I$57,-1)+1)),
IF(O59&gt;=AVERAGE(
INDEX(Assumptions!$I$13:$I$32,MATCH(O59,Assumptions!$I$13:$I$32,-1)),
INDEX(Assumptions!$I$13:$I$32,MATCH(O59,Assumptions!$I$13:$I$32,-1)+1)),
INDEX(Assumptions!$I$13:$I$32,MATCH(O59,Assumptions!$I$13:$I$32,-1)),
INDEX(Assumptions!$I$13:$I$32,MATCH(O59,Assumptions!$I$13:$I$32,-1)+1))),
"")</f>
        <v/>
      </c>
      <c r="AF59" s="95" t="str">
        <f>IFERROR(
IF(C59="VTS",
VLOOKUP(AE59,Assumptions!$I$38:$K$57,MATCH(P59,Assumptions!$I$37:$K$37,0),FALSE),
VLOOKUP(AE59,Assumptions!$I$13:$K$32,MATCH(P59,Assumptions!$I$12:$K$12,0),FALSE)),
"")</f>
        <v/>
      </c>
      <c r="AG59" s="95" t="str">
        <f t="shared" si="12"/>
        <v/>
      </c>
      <c r="AH59" s="95" t="str">
        <f>IFERROR(AG59*
(Assumptions!$S$7*(V59/(AK59*Assumptions!$AB$9/100)/O59)^3+
Assumptions!$S$8*(V59/(AK59*Assumptions!$AB$9/100)/O59)^2+
Assumptions!$S$9*(V59/(AK59*Assumptions!$AB$9/100)/O59)+
Assumptions!$S$10),"")</f>
        <v/>
      </c>
      <c r="AI59" s="95" t="str">
        <f>IFERROR(AG59*
(Assumptions!$S$7*(Z59/(AK59*Assumptions!$AB$8/100)/O59)^3+
Assumptions!$S$8*(Z59/(AK59*Assumptions!$AB$8/100)/O59)^2+
Assumptions!$S$9*(Z59/(AK59*Assumptions!$AB$8/100)/O59)+
Assumptions!$S$10),"")</f>
        <v/>
      </c>
      <c r="AJ59" s="95" t="str">
        <f>IFERROR(AG59*
(Assumptions!$S$7*(AD59/(AK59*Assumptions!$AB$10/100)/O59)^3+
Assumptions!$S$8*(AD59/(AK59*Assumptions!$AB$10/100)/O59)^2+
Assumptions!$S$9*(AD59/(AK59*Assumptions!$AB$10/100)/O59)+
Assumptions!$S$10),"")</f>
        <v/>
      </c>
      <c r="AK59" s="95" t="str">
        <f>IFERROR(
Assumptions!$AD$8*LN(S59)^2+
Assumptions!$AE$8*LN(R59)*LN(S59)+
Assumptions!$AF$8*LN(R59)^2+
Assumptions!$AG$8*LN(S59)+
Assumptions!$AH$8*LN(R59)-
(IF(Q59=1800,
VLOOKUP(C59,Assumptions!$AA$13:$AC$17,3),
IF(Q59=3600,
VLOOKUP(C59,Assumptions!$AA$18:$AC$22,3),
""))+Assumptions!$AI$8),
"")</f>
        <v/>
      </c>
      <c r="AL59" s="96" t="str">
        <f>IFERROR(
Assumptions!$D$11*(V59/(Assumptions!$AB$9*AK59/100)+AH59)+
Assumptions!$D$10*(Z59/(Assumptions!$AB$8*AK59/100)+AI59)+
Assumptions!$D$12*(AD59/(Assumptions!$AB$10*AK59/100)+AJ59),
"")</f>
        <v/>
      </c>
      <c r="AM59" s="67" t="str">
        <f>IFERROR(
U59*Assumptions!$D$11+
Y59*Assumptions!$D$10+
AC59*Assumptions!$D$12,
"")</f>
        <v/>
      </c>
      <c r="AN59" s="77" t="str">
        <f t="shared" si="13"/>
        <v/>
      </c>
      <c r="AO59" s="30" t="str">
        <f t="shared" si="14"/>
        <v/>
      </c>
    </row>
    <row r="60" spans="1:41" x14ac:dyDescent="0.25">
      <c r="A60" s="264"/>
      <c r="B60" s="265"/>
      <c r="C60" s="265"/>
      <c r="D60" s="265"/>
      <c r="E60" s="266"/>
      <c r="F60" s="270"/>
      <c r="G60" s="271"/>
      <c r="H60" s="272"/>
      <c r="I60" s="270"/>
      <c r="J60" s="308"/>
      <c r="K60" s="272"/>
      <c r="L60" s="270"/>
      <c r="M60" s="308"/>
      <c r="N60" s="310"/>
      <c r="O60" s="306"/>
      <c r="P60" s="84" t="str">
        <f t="shared" si="15"/>
        <v/>
      </c>
      <c r="Q60" s="84" t="str">
        <f t="shared" si="1"/>
        <v/>
      </c>
      <c r="R60" s="93" t="str">
        <f t="shared" si="2"/>
        <v/>
      </c>
      <c r="S60" s="100" t="str">
        <f t="shared" si="3"/>
        <v/>
      </c>
      <c r="T60" s="95" t="str">
        <f t="shared" si="4"/>
        <v/>
      </c>
      <c r="U60" s="95" t="str">
        <f t="shared" si="5"/>
        <v/>
      </c>
      <c r="V60" s="96" t="str">
        <f>IFERROR(S60*T60*Assumptions!$B$15/3956,"")</f>
        <v/>
      </c>
      <c r="W60" s="102" t="str">
        <f t="shared" si="6"/>
        <v/>
      </c>
      <c r="X60" s="95" t="str">
        <f t="shared" si="7"/>
        <v/>
      </c>
      <c r="Y60" s="95" t="str">
        <f t="shared" si="8"/>
        <v/>
      </c>
      <c r="Z60" s="96" t="str">
        <f>IFERROR(W60*X60*Assumptions!$B$15/3956,"")</f>
        <v/>
      </c>
      <c r="AA60" s="100" t="str">
        <f t="shared" si="9"/>
        <v/>
      </c>
      <c r="AB60" s="95" t="str">
        <f t="shared" si="10"/>
        <v/>
      </c>
      <c r="AC60" s="95" t="str">
        <f t="shared" si="11"/>
        <v/>
      </c>
      <c r="AD60" s="96" t="str">
        <f>IFERROR(AA60*AB60*Assumptions!$B$15/3956,"")</f>
        <v/>
      </c>
      <c r="AE60" s="244" t="str">
        <f>IFERROR(
IF(C60="VTS",
IF(O60&gt;=AVERAGE(
INDEX(Assumptions!$I$38:$I$57,MATCH(O60,Assumptions!$I$38:$I$57,-1)),
INDEX(Assumptions!$I$38:$I$57,MATCH(O60,Assumptions!$I$38:$I$57,-1)+1)),
INDEX(Assumptions!$I$38:$I$57,MATCH(O60,Assumptions!$I$38:$I$57,-1)),
INDEX(Assumptions!$I$38:$I$57,MATCH(O60,Assumptions!$I$38:$I$57,-1)+1)),
IF(O60&gt;=AVERAGE(
INDEX(Assumptions!$I$13:$I$32,MATCH(O60,Assumptions!$I$13:$I$32,-1)),
INDEX(Assumptions!$I$13:$I$32,MATCH(O60,Assumptions!$I$13:$I$32,-1)+1)),
INDEX(Assumptions!$I$13:$I$32,MATCH(O60,Assumptions!$I$13:$I$32,-1)),
INDEX(Assumptions!$I$13:$I$32,MATCH(O60,Assumptions!$I$13:$I$32,-1)+1))),
"")</f>
        <v/>
      </c>
      <c r="AF60" s="95" t="str">
        <f>IFERROR(
IF(C60="VTS",
VLOOKUP(AE60,Assumptions!$I$38:$K$57,MATCH(P60,Assumptions!$I$37:$K$37,0),FALSE),
VLOOKUP(AE60,Assumptions!$I$13:$K$32,MATCH(P60,Assumptions!$I$12:$K$12,0),FALSE)),
"")</f>
        <v/>
      </c>
      <c r="AG60" s="95" t="str">
        <f t="shared" si="12"/>
        <v/>
      </c>
      <c r="AH60" s="95" t="str">
        <f>IFERROR(AG60*
(Assumptions!$S$7*(V60/(AK60*Assumptions!$AB$9/100)/O60)^3+
Assumptions!$S$8*(V60/(AK60*Assumptions!$AB$9/100)/O60)^2+
Assumptions!$S$9*(V60/(AK60*Assumptions!$AB$9/100)/O60)+
Assumptions!$S$10),"")</f>
        <v/>
      </c>
      <c r="AI60" s="95" t="str">
        <f>IFERROR(AG60*
(Assumptions!$S$7*(Z60/(AK60*Assumptions!$AB$8/100)/O60)^3+
Assumptions!$S$8*(Z60/(AK60*Assumptions!$AB$8/100)/O60)^2+
Assumptions!$S$9*(Z60/(AK60*Assumptions!$AB$8/100)/O60)+
Assumptions!$S$10),"")</f>
        <v/>
      </c>
      <c r="AJ60" s="95" t="str">
        <f>IFERROR(AG60*
(Assumptions!$S$7*(AD60/(AK60*Assumptions!$AB$10/100)/O60)^3+
Assumptions!$S$8*(AD60/(AK60*Assumptions!$AB$10/100)/O60)^2+
Assumptions!$S$9*(AD60/(AK60*Assumptions!$AB$10/100)/O60)+
Assumptions!$S$10),"")</f>
        <v/>
      </c>
      <c r="AK60" s="95" t="str">
        <f>IFERROR(
Assumptions!$AD$8*LN(S60)^2+
Assumptions!$AE$8*LN(R60)*LN(S60)+
Assumptions!$AF$8*LN(R60)^2+
Assumptions!$AG$8*LN(S60)+
Assumptions!$AH$8*LN(R60)-
(IF(Q60=1800,
VLOOKUP(C60,Assumptions!$AA$13:$AC$17,3),
IF(Q60=3600,
VLOOKUP(C60,Assumptions!$AA$18:$AC$22,3),
""))+Assumptions!$AI$8),
"")</f>
        <v/>
      </c>
      <c r="AL60" s="96" t="str">
        <f>IFERROR(
Assumptions!$D$11*(V60/(Assumptions!$AB$9*AK60/100)+AH60)+
Assumptions!$D$10*(Z60/(Assumptions!$AB$8*AK60/100)+AI60)+
Assumptions!$D$12*(AD60/(Assumptions!$AB$10*AK60/100)+AJ60),
"")</f>
        <v/>
      </c>
      <c r="AM60" s="67" t="str">
        <f>IFERROR(
U60*Assumptions!$D$11+
Y60*Assumptions!$D$10+
AC60*Assumptions!$D$12,
"")</f>
        <v/>
      </c>
      <c r="AN60" s="77" t="str">
        <f t="shared" si="13"/>
        <v/>
      </c>
      <c r="AO60" s="30" t="str">
        <f t="shared" si="14"/>
        <v/>
      </c>
    </row>
    <row r="61" spans="1:41" x14ac:dyDescent="0.25">
      <c r="A61" s="264"/>
      <c r="B61" s="265"/>
      <c r="C61" s="265"/>
      <c r="D61" s="265"/>
      <c r="E61" s="266"/>
      <c r="F61" s="270"/>
      <c r="G61" s="271"/>
      <c r="H61" s="272"/>
      <c r="I61" s="270"/>
      <c r="J61" s="308"/>
      <c r="K61" s="272"/>
      <c r="L61" s="270"/>
      <c r="M61" s="308"/>
      <c r="N61" s="310"/>
      <c r="O61" s="306"/>
      <c r="P61" s="84" t="str">
        <f t="shared" si="15"/>
        <v/>
      </c>
      <c r="Q61" s="84" t="str">
        <f t="shared" si="1"/>
        <v/>
      </c>
      <c r="R61" s="93" t="str">
        <f t="shared" si="2"/>
        <v/>
      </c>
      <c r="S61" s="100" t="str">
        <f t="shared" si="3"/>
        <v/>
      </c>
      <c r="T61" s="95" t="str">
        <f t="shared" si="4"/>
        <v/>
      </c>
      <c r="U61" s="95" t="str">
        <f t="shared" si="5"/>
        <v/>
      </c>
      <c r="V61" s="96" t="str">
        <f>IFERROR(S61*T61*Assumptions!$B$15/3956,"")</f>
        <v/>
      </c>
      <c r="W61" s="102" t="str">
        <f t="shared" si="6"/>
        <v/>
      </c>
      <c r="X61" s="95" t="str">
        <f t="shared" si="7"/>
        <v/>
      </c>
      <c r="Y61" s="95" t="str">
        <f t="shared" si="8"/>
        <v/>
      </c>
      <c r="Z61" s="96" t="str">
        <f>IFERROR(W61*X61*Assumptions!$B$15/3956,"")</f>
        <v/>
      </c>
      <c r="AA61" s="100" t="str">
        <f t="shared" si="9"/>
        <v/>
      </c>
      <c r="AB61" s="95" t="str">
        <f t="shared" si="10"/>
        <v/>
      </c>
      <c r="AC61" s="95" t="str">
        <f t="shared" si="11"/>
        <v/>
      </c>
      <c r="AD61" s="96" t="str">
        <f>IFERROR(AA61*AB61*Assumptions!$B$15/3956,"")</f>
        <v/>
      </c>
      <c r="AE61" s="244" t="str">
        <f>IFERROR(
IF(C61="VTS",
IF(O61&gt;=AVERAGE(
INDEX(Assumptions!$I$38:$I$57,MATCH(O61,Assumptions!$I$38:$I$57,-1)),
INDEX(Assumptions!$I$38:$I$57,MATCH(O61,Assumptions!$I$38:$I$57,-1)+1)),
INDEX(Assumptions!$I$38:$I$57,MATCH(O61,Assumptions!$I$38:$I$57,-1)),
INDEX(Assumptions!$I$38:$I$57,MATCH(O61,Assumptions!$I$38:$I$57,-1)+1)),
IF(O61&gt;=AVERAGE(
INDEX(Assumptions!$I$13:$I$32,MATCH(O61,Assumptions!$I$13:$I$32,-1)),
INDEX(Assumptions!$I$13:$I$32,MATCH(O61,Assumptions!$I$13:$I$32,-1)+1)),
INDEX(Assumptions!$I$13:$I$32,MATCH(O61,Assumptions!$I$13:$I$32,-1)),
INDEX(Assumptions!$I$13:$I$32,MATCH(O61,Assumptions!$I$13:$I$32,-1)+1))),
"")</f>
        <v/>
      </c>
      <c r="AF61" s="95" t="str">
        <f>IFERROR(
IF(C61="VTS",
VLOOKUP(AE61,Assumptions!$I$38:$K$57,MATCH(P61,Assumptions!$I$37:$K$37,0),FALSE),
VLOOKUP(AE61,Assumptions!$I$13:$K$32,MATCH(P61,Assumptions!$I$12:$K$12,0),FALSE)),
"")</f>
        <v/>
      </c>
      <c r="AG61" s="95" t="str">
        <f t="shared" si="12"/>
        <v/>
      </c>
      <c r="AH61" s="95" t="str">
        <f>IFERROR(AG61*
(Assumptions!$S$7*(V61/(AK61*Assumptions!$AB$9/100)/O61)^3+
Assumptions!$S$8*(V61/(AK61*Assumptions!$AB$9/100)/O61)^2+
Assumptions!$S$9*(V61/(AK61*Assumptions!$AB$9/100)/O61)+
Assumptions!$S$10),"")</f>
        <v/>
      </c>
      <c r="AI61" s="95" t="str">
        <f>IFERROR(AG61*
(Assumptions!$S$7*(Z61/(AK61*Assumptions!$AB$8/100)/O61)^3+
Assumptions!$S$8*(Z61/(AK61*Assumptions!$AB$8/100)/O61)^2+
Assumptions!$S$9*(Z61/(AK61*Assumptions!$AB$8/100)/O61)+
Assumptions!$S$10),"")</f>
        <v/>
      </c>
      <c r="AJ61" s="95" t="str">
        <f>IFERROR(AG61*
(Assumptions!$S$7*(AD61/(AK61*Assumptions!$AB$10/100)/O61)^3+
Assumptions!$S$8*(AD61/(AK61*Assumptions!$AB$10/100)/O61)^2+
Assumptions!$S$9*(AD61/(AK61*Assumptions!$AB$10/100)/O61)+
Assumptions!$S$10),"")</f>
        <v/>
      </c>
      <c r="AK61" s="95" t="str">
        <f>IFERROR(
Assumptions!$AD$8*LN(S61)^2+
Assumptions!$AE$8*LN(R61)*LN(S61)+
Assumptions!$AF$8*LN(R61)^2+
Assumptions!$AG$8*LN(S61)+
Assumptions!$AH$8*LN(R61)-
(IF(Q61=1800,
VLOOKUP(C61,Assumptions!$AA$13:$AC$17,3),
IF(Q61=3600,
VLOOKUP(C61,Assumptions!$AA$18:$AC$22,3),
""))+Assumptions!$AI$8),
"")</f>
        <v/>
      </c>
      <c r="AL61" s="96" t="str">
        <f>IFERROR(
Assumptions!$D$11*(V61/(Assumptions!$AB$9*AK61/100)+AH61)+
Assumptions!$D$10*(Z61/(Assumptions!$AB$8*AK61/100)+AI61)+
Assumptions!$D$12*(AD61/(Assumptions!$AB$10*AK61/100)+AJ61),
"")</f>
        <v/>
      </c>
      <c r="AM61" s="67" t="str">
        <f>IFERROR(
U61*Assumptions!$D$11+
Y61*Assumptions!$D$10+
AC61*Assumptions!$D$12,
"")</f>
        <v/>
      </c>
      <c r="AN61" s="77" t="str">
        <f t="shared" si="13"/>
        <v/>
      </c>
      <c r="AO61" s="30" t="str">
        <f t="shared" si="14"/>
        <v/>
      </c>
    </row>
    <row r="62" spans="1:41" x14ac:dyDescent="0.25">
      <c r="A62" s="264"/>
      <c r="B62" s="265"/>
      <c r="C62" s="265"/>
      <c r="D62" s="265"/>
      <c r="E62" s="266"/>
      <c r="F62" s="270"/>
      <c r="G62" s="271"/>
      <c r="H62" s="272"/>
      <c r="I62" s="270"/>
      <c r="J62" s="308"/>
      <c r="K62" s="272"/>
      <c r="L62" s="270"/>
      <c r="M62" s="308"/>
      <c r="N62" s="310"/>
      <c r="O62" s="306"/>
      <c r="P62" s="84" t="str">
        <f t="shared" si="15"/>
        <v/>
      </c>
      <c r="Q62" s="84" t="str">
        <f t="shared" si="1"/>
        <v/>
      </c>
      <c r="R62" s="93" t="str">
        <f t="shared" si="2"/>
        <v/>
      </c>
      <c r="S62" s="100" t="str">
        <f t="shared" si="3"/>
        <v/>
      </c>
      <c r="T62" s="95" t="str">
        <f t="shared" si="4"/>
        <v/>
      </c>
      <c r="U62" s="95" t="str">
        <f t="shared" si="5"/>
        <v/>
      </c>
      <c r="V62" s="96" t="str">
        <f>IFERROR(S62*T62*Assumptions!$B$15/3956,"")</f>
        <v/>
      </c>
      <c r="W62" s="102" t="str">
        <f t="shared" si="6"/>
        <v/>
      </c>
      <c r="X62" s="95" t="str">
        <f t="shared" si="7"/>
        <v/>
      </c>
      <c r="Y62" s="95" t="str">
        <f t="shared" si="8"/>
        <v/>
      </c>
      <c r="Z62" s="96" t="str">
        <f>IFERROR(W62*X62*Assumptions!$B$15/3956,"")</f>
        <v/>
      </c>
      <c r="AA62" s="100" t="str">
        <f t="shared" si="9"/>
        <v/>
      </c>
      <c r="AB62" s="95" t="str">
        <f t="shared" si="10"/>
        <v/>
      </c>
      <c r="AC62" s="95" t="str">
        <f t="shared" si="11"/>
        <v/>
      </c>
      <c r="AD62" s="96" t="str">
        <f>IFERROR(AA62*AB62*Assumptions!$B$15/3956,"")</f>
        <v/>
      </c>
      <c r="AE62" s="244" t="str">
        <f>IFERROR(
IF(C62="VTS",
IF(O62&gt;=AVERAGE(
INDEX(Assumptions!$I$38:$I$57,MATCH(O62,Assumptions!$I$38:$I$57,-1)),
INDEX(Assumptions!$I$38:$I$57,MATCH(O62,Assumptions!$I$38:$I$57,-1)+1)),
INDEX(Assumptions!$I$38:$I$57,MATCH(O62,Assumptions!$I$38:$I$57,-1)),
INDEX(Assumptions!$I$38:$I$57,MATCH(O62,Assumptions!$I$38:$I$57,-1)+1)),
IF(O62&gt;=AVERAGE(
INDEX(Assumptions!$I$13:$I$32,MATCH(O62,Assumptions!$I$13:$I$32,-1)),
INDEX(Assumptions!$I$13:$I$32,MATCH(O62,Assumptions!$I$13:$I$32,-1)+1)),
INDEX(Assumptions!$I$13:$I$32,MATCH(O62,Assumptions!$I$13:$I$32,-1)),
INDEX(Assumptions!$I$13:$I$32,MATCH(O62,Assumptions!$I$13:$I$32,-1)+1))),
"")</f>
        <v/>
      </c>
      <c r="AF62" s="95" t="str">
        <f>IFERROR(
IF(C62="VTS",
VLOOKUP(AE62,Assumptions!$I$38:$K$57,MATCH(P62,Assumptions!$I$37:$K$37,0),FALSE),
VLOOKUP(AE62,Assumptions!$I$13:$K$32,MATCH(P62,Assumptions!$I$12:$K$12,0),FALSE)),
"")</f>
        <v/>
      </c>
      <c r="AG62" s="95" t="str">
        <f t="shared" si="12"/>
        <v/>
      </c>
      <c r="AH62" s="95" t="str">
        <f>IFERROR(AG62*
(Assumptions!$S$7*(V62/(AK62*Assumptions!$AB$9/100)/O62)^3+
Assumptions!$S$8*(V62/(AK62*Assumptions!$AB$9/100)/O62)^2+
Assumptions!$S$9*(V62/(AK62*Assumptions!$AB$9/100)/O62)+
Assumptions!$S$10),"")</f>
        <v/>
      </c>
      <c r="AI62" s="95" t="str">
        <f>IFERROR(AG62*
(Assumptions!$S$7*(Z62/(AK62*Assumptions!$AB$8/100)/O62)^3+
Assumptions!$S$8*(Z62/(AK62*Assumptions!$AB$8/100)/O62)^2+
Assumptions!$S$9*(Z62/(AK62*Assumptions!$AB$8/100)/O62)+
Assumptions!$S$10),"")</f>
        <v/>
      </c>
      <c r="AJ62" s="95" t="str">
        <f>IFERROR(AG62*
(Assumptions!$S$7*(AD62/(AK62*Assumptions!$AB$10/100)/O62)^3+
Assumptions!$S$8*(AD62/(AK62*Assumptions!$AB$10/100)/O62)^2+
Assumptions!$S$9*(AD62/(AK62*Assumptions!$AB$10/100)/O62)+
Assumptions!$S$10),"")</f>
        <v/>
      </c>
      <c r="AK62" s="95" t="str">
        <f>IFERROR(
Assumptions!$AD$8*LN(S62)^2+
Assumptions!$AE$8*LN(R62)*LN(S62)+
Assumptions!$AF$8*LN(R62)^2+
Assumptions!$AG$8*LN(S62)+
Assumptions!$AH$8*LN(R62)-
(IF(Q62=1800,
VLOOKUP(C62,Assumptions!$AA$13:$AC$17,3),
IF(Q62=3600,
VLOOKUP(C62,Assumptions!$AA$18:$AC$22,3),
""))+Assumptions!$AI$8),
"")</f>
        <v/>
      </c>
      <c r="AL62" s="96" t="str">
        <f>IFERROR(
Assumptions!$D$11*(V62/(Assumptions!$AB$9*AK62/100)+AH62)+
Assumptions!$D$10*(Z62/(Assumptions!$AB$8*AK62/100)+AI62)+
Assumptions!$D$12*(AD62/(Assumptions!$AB$10*AK62/100)+AJ62),
"")</f>
        <v/>
      </c>
      <c r="AM62" s="67" t="str">
        <f>IFERROR(
U62*Assumptions!$D$11+
Y62*Assumptions!$D$10+
AC62*Assumptions!$D$12,
"")</f>
        <v/>
      </c>
      <c r="AN62" s="77" t="str">
        <f t="shared" si="13"/>
        <v/>
      </c>
      <c r="AO62" s="30" t="str">
        <f t="shared" si="14"/>
        <v/>
      </c>
    </row>
    <row r="63" spans="1:41" x14ac:dyDescent="0.25">
      <c r="A63" s="264"/>
      <c r="B63" s="265"/>
      <c r="C63" s="265"/>
      <c r="D63" s="265"/>
      <c r="E63" s="266"/>
      <c r="F63" s="270"/>
      <c r="G63" s="271"/>
      <c r="H63" s="272"/>
      <c r="I63" s="270"/>
      <c r="J63" s="308"/>
      <c r="K63" s="272"/>
      <c r="L63" s="270"/>
      <c r="M63" s="308"/>
      <c r="N63" s="310"/>
      <c r="O63" s="306"/>
      <c r="P63" s="84" t="str">
        <f t="shared" si="15"/>
        <v/>
      </c>
      <c r="Q63" s="84" t="str">
        <f t="shared" si="1"/>
        <v/>
      </c>
      <c r="R63" s="93" t="str">
        <f t="shared" si="2"/>
        <v/>
      </c>
      <c r="S63" s="100" t="str">
        <f t="shared" si="3"/>
        <v/>
      </c>
      <c r="T63" s="95" t="str">
        <f t="shared" si="4"/>
        <v/>
      </c>
      <c r="U63" s="95" t="str">
        <f t="shared" si="5"/>
        <v/>
      </c>
      <c r="V63" s="96" t="str">
        <f>IFERROR(S63*T63*Assumptions!$B$15/3956,"")</f>
        <v/>
      </c>
      <c r="W63" s="102" t="str">
        <f t="shared" si="6"/>
        <v/>
      </c>
      <c r="X63" s="95" t="str">
        <f t="shared" si="7"/>
        <v/>
      </c>
      <c r="Y63" s="95" t="str">
        <f t="shared" si="8"/>
        <v/>
      </c>
      <c r="Z63" s="96" t="str">
        <f>IFERROR(W63*X63*Assumptions!$B$15/3956,"")</f>
        <v/>
      </c>
      <c r="AA63" s="100" t="str">
        <f t="shared" si="9"/>
        <v/>
      </c>
      <c r="AB63" s="95" t="str">
        <f t="shared" si="10"/>
        <v/>
      </c>
      <c r="AC63" s="95" t="str">
        <f t="shared" si="11"/>
        <v/>
      </c>
      <c r="AD63" s="96" t="str">
        <f>IFERROR(AA63*AB63*Assumptions!$B$15/3956,"")</f>
        <v/>
      </c>
      <c r="AE63" s="244" t="str">
        <f>IFERROR(
IF(C63="VTS",
IF(O63&gt;=AVERAGE(
INDEX(Assumptions!$I$38:$I$57,MATCH(O63,Assumptions!$I$38:$I$57,-1)),
INDEX(Assumptions!$I$38:$I$57,MATCH(O63,Assumptions!$I$38:$I$57,-1)+1)),
INDEX(Assumptions!$I$38:$I$57,MATCH(O63,Assumptions!$I$38:$I$57,-1)),
INDEX(Assumptions!$I$38:$I$57,MATCH(O63,Assumptions!$I$38:$I$57,-1)+1)),
IF(O63&gt;=AVERAGE(
INDEX(Assumptions!$I$13:$I$32,MATCH(O63,Assumptions!$I$13:$I$32,-1)),
INDEX(Assumptions!$I$13:$I$32,MATCH(O63,Assumptions!$I$13:$I$32,-1)+1)),
INDEX(Assumptions!$I$13:$I$32,MATCH(O63,Assumptions!$I$13:$I$32,-1)),
INDEX(Assumptions!$I$13:$I$32,MATCH(O63,Assumptions!$I$13:$I$32,-1)+1))),
"")</f>
        <v/>
      </c>
      <c r="AF63" s="95" t="str">
        <f>IFERROR(
IF(C63="VTS",
VLOOKUP(AE63,Assumptions!$I$38:$K$57,MATCH(P63,Assumptions!$I$37:$K$37,0),FALSE),
VLOOKUP(AE63,Assumptions!$I$13:$K$32,MATCH(P63,Assumptions!$I$12:$K$12,0),FALSE)),
"")</f>
        <v/>
      </c>
      <c r="AG63" s="95" t="str">
        <f t="shared" si="12"/>
        <v/>
      </c>
      <c r="AH63" s="95" t="str">
        <f>IFERROR(AG63*
(Assumptions!$S$7*(V63/(AK63*Assumptions!$AB$9/100)/O63)^3+
Assumptions!$S$8*(V63/(AK63*Assumptions!$AB$9/100)/O63)^2+
Assumptions!$S$9*(V63/(AK63*Assumptions!$AB$9/100)/O63)+
Assumptions!$S$10),"")</f>
        <v/>
      </c>
      <c r="AI63" s="95" t="str">
        <f>IFERROR(AG63*
(Assumptions!$S$7*(Z63/(AK63*Assumptions!$AB$8/100)/O63)^3+
Assumptions!$S$8*(Z63/(AK63*Assumptions!$AB$8/100)/O63)^2+
Assumptions!$S$9*(Z63/(AK63*Assumptions!$AB$8/100)/O63)+
Assumptions!$S$10),"")</f>
        <v/>
      </c>
      <c r="AJ63" s="95" t="str">
        <f>IFERROR(AG63*
(Assumptions!$S$7*(AD63/(AK63*Assumptions!$AB$10/100)/O63)^3+
Assumptions!$S$8*(AD63/(AK63*Assumptions!$AB$10/100)/O63)^2+
Assumptions!$S$9*(AD63/(AK63*Assumptions!$AB$10/100)/O63)+
Assumptions!$S$10),"")</f>
        <v/>
      </c>
      <c r="AK63" s="95" t="str">
        <f>IFERROR(
Assumptions!$AD$8*LN(S63)^2+
Assumptions!$AE$8*LN(R63)*LN(S63)+
Assumptions!$AF$8*LN(R63)^2+
Assumptions!$AG$8*LN(S63)+
Assumptions!$AH$8*LN(R63)-
(IF(Q63=1800,
VLOOKUP(C63,Assumptions!$AA$13:$AC$17,3),
IF(Q63=3600,
VLOOKUP(C63,Assumptions!$AA$18:$AC$22,3),
""))+Assumptions!$AI$8),
"")</f>
        <v/>
      </c>
      <c r="AL63" s="96" t="str">
        <f>IFERROR(
Assumptions!$D$11*(V63/(Assumptions!$AB$9*AK63/100)+AH63)+
Assumptions!$D$10*(Z63/(Assumptions!$AB$8*AK63/100)+AI63)+
Assumptions!$D$12*(AD63/(Assumptions!$AB$10*AK63/100)+AJ63),
"")</f>
        <v/>
      </c>
      <c r="AM63" s="67" t="str">
        <f>IFERROR(
U63*Assumptions!$D$11+
Y63*Assumptions!$D$10+
AC63*Assumptions!$D$12,
"")</f>
        <v/>
      </c>
      <c r="AN63" s="77" t="str">
        <f t="shared" si="13"/>
        <v/>
      </c>
      <c r="AO63" s="30" t="str">
        <f t="shared" si="14"/>
        <v/>
      </c>
    </row>
    <row r="64" spans="1:41" x14ac:dyDescent="0.25">
      <c r="A64" s="264"/>
      <c r="B64" s="265"/>
      <c r="C64" s="265"/>
      <c r="D64" s="265"/>
      <c r="E64" s="266"/>
      <c r="F64" s="270"/>
      <c r="G64" s="271"/>
      <c r="H64" s="272"/>
      <c r="I64" s="270"/>
      <c r="J64" s="308"/>
      <c r="K64" s="272"/>
      <c r="L64" s="270"/>
      <c r="M64" s="308"/>
      <c r="N64" s="310"/>
      <c r="O64" s="306"/>
      <c r="P64" s="84" t="str">
        <f t="shared" si="15"/>
        <v/>
      </c>
      <c r="Q64" s="84" t="str">
        <f t="shared" si="1"/>
        <v/>
      </c>
      <c r="R64" s="93" t="str">
        <f t="shared" si="2"/>
        <v/>
      </c>
      <c r="S64" s="100" t="str">
        <f t="shared" si="3"/>
        <v/>
      </c>
      <c r="T64" s="95" t="str">
        <f t="shared" si="4"/>
        <v/>
      </c>
      <c r="U64" s="95" t="str">
        <f t="shared" si="5"/>
        <v/>
      </c>
      <c r="V64" s="96" t="str">
        <f>IFERROR(S64*T64*Assumptions!$B$15/3956,"")</f>
        <v/>
      </c>
      <c r="W64" s="102" t="str">
        <f t="shared" si="6"/>
        <v/>
      </c>
      <c r="X64" s="95" t="str">
        <f t="shared" si="7"/>
        <v/>
      </c>
      <c r="Y64" s="95" t="str">
        <f t="shared" si="8"/>
        <v/>
      </c>
      <c r="Z64" s="96" t="str">
        <f>IFERROR(W64*X64*Assumptions!$B$15/3956,"")</f>
        <v/>
      </c>
      <c r="AA64" s="100" t="str">
        <f t="shared" si="9"/>
        <v/>
      </c>
      <c r="AB64" s="95" t="str">
        <f t="shared" si="10"/>
        <v/>
      </c>
      <c r="AC64" s="95" t="str">
        <f t="shared" si="11"/>
        <v/>
      </c>
      <c r="AD64" s="96" t="str">
        <f>IFERROR(AA64*AB64*Assumptions!$B$15/3956,"")</f>
        <v/>
      </c>
      <c r="AE64" s="244" t="str">
        <f>IFERROR(
IF(C64="VTS",
IF(O64&gt;=AVERAGE(
INDEX(Assumptions!$I$38:$I$57,MATCH(O64,Assumptions!$I$38:$I$57,-1)),
INDEX(Assumptions!$I$38:$I$57,MATCH(O64,Assumptions!$I$38:$I$57,-1)+1)),
INDEX(Assumptions!$I$38:$I$57,MATCH(O64,Assumptions!$I$38:$I$57,-1)),
INDEX(Assumptions!$I$38:$I$57,MATCH(O64,Assumptions!$I$38:$I$57,-1)+1)),
IF(O64&gt;=AVERAGE(
INDEX(Assumptions!$I$13:$I$32,MATCH(O64,Assumptions!$I$13:$I$32,-1)),
INDEX(Assumptions!$I$13:$I$32,MATCH(O64,Assumptions!$I$13:$I$32,-1)+1)),
INDEX(Assumptions!$I$13:$I$32,MATCH(O64,Assumptions!$I$13:$I$32,-1)),
INDEX(Assumptions!$I$13:$I$32,MATCH(O64,Assumptions!$I$13:$I$32,-1)+1))),
"")</f>
        <v/>
      </c>
      <c r="AF64" s="95" t="str">
        <f>IFERROR(
IF(C64="VTS",
VLOOKUP(AE64,Assumptions!$I$38:$K$57,MATCH(P64,Assumptions!$I$37:$K$37,0),FALSE),
VLOOKUP(AE64,Assumptions!$I$13:$K$32,MATCH(P64,Assumptions!$I$12:$K$12,0),FALSE)),
"")</f>
        <v/>
      </c>
      <c r="AG64" s="95" t="str">
        <f t="shared" si="12"/>
        <v/>
      </c>
      <c r="AH64" s="95" t="str">
        <f>IFERROR(AG64*
(Assumptions!$S$7*(V64/(AK64*Assumptions!$AB$9/100)/O64)^3+
Assumptions!$S$8*(V64/(AK64*Assumptions!$AB$9/100)/O64)^2+
Assumptions!$S$9*(V64/(AK64*Assumptions!$AB$9/100)/O64)+
Assumptions!$S$10),"")</f>
        <v/>
      </c>
      <c r="AI64" s="95" t="str">
        <f>IFERROR(AG64*
(Assumptions!$S$7*(Z64/(AK64*Assumptions!$AB$8/100)/O64)^3+
Assumptions!$S$8*(Z64/(AK64*Assumptions!$AB$8/100)/O64)^2+
Assumptions!$S$9*(Z64/(AK64*Assumptions!$AB$8/100)/O64)+
Assumptions!$S$10),"")</f>
        <v/>
      </c>
      <c r="AJ64" s="95" t="str">
        <f>IFERROR(AG64*
(Assumptions!$S$7*(AD64/(AK64*Assumptions!$AB$10/100)/O64)^3+
Assumptions!$S$8*(AD64/(AK64*Assumptions!$AB$10/100)/O64)^2+
Assumptions!$S$9*(AD64/(AK64*Assumptions!$AB$10/100)/O64)+
Assumptions!$S$10),"")</f>
        <v/>
      </c>
      <c r="AK64" s="95" t="str">
        <f>IFERROR(
Assumptions!$AD$8*LN(S64)^2+
Assumptions!$AE$8*LN(R64)*LN(S64)+
Assumptions!$AF$8*LN(R64)^2+
Assumptions!$AG$8*LN(S64)+
Assumptions!$AH$8*LN(R64)-
(IF(Q64=1800,
VLOOKUP(C64,Assumptions!$AA$13:$AC$17,3),
IF(Q64=3600,
VLOOKUP(C64,Assumptions!$AA$18:$AC$22,3),
""))+Assumptions!$AI$8),
"")</f>
        <v/>
      </c>
      <c r="AL64" s="96" t="str">
        <f>IFERROR(
Assumptions!$D$11*(V64/(Assumptions!$AB$9*AK64/100)+AH64)+
Assumptions!$D$10*(Z64/(Assumptions!$AB$8*AK64/100)+AI64)+
Assumptions!$D$12*(AD64/(Assumptions!$AB$10*AK64/100)+AJ64),
"")</f>
        <v/>
      </c>
      <c r="AM64" s="67" t="str">
        <f>IFERROR(
U64*Assumptions!$D$11+
Y64*Assumptions!$D$10+
AC64*Assumptions!$D$12,
"")</f>
        <v/>
      </c>
      <c r="AN64" s="77" t="str">
        <f t="shared" si="13"/>
        <v/>
      </c>
      <c r="AO64" s="30" t="str">
        <f t="shared" si="14"/>
        <v/>
      </c>
    </row>
    <row r="65" spans="1:41" x14ac:dyDescent="0.25">
      <c r="A65" s="264"/>
      <c r="B65" s="265"/>
      <c r="C65" s="265"/>
      <c r="D65" s="265"/>
      <c r="E65" s="266"/>
      <c r="F65" s="270"/>
      <c r="G65" s="271"/>
      <c r="H65" s="272"/>
      <c r="I65" s="270"/>
      <c r="J65" s="308"/>
      <c r="K65" s="272"/>
      <c r="L65" s="270"/>
      <c r="M65" s="308"/>
      <c r="N65" s="310"/>
      <c r="O65" s="306"/>
      <c r="P65" s="84" t="str">
        <f t="shared" si="15"/>
        <v/>
      </c>
      <c r="Q65" s="84" t="str">
        <f t="shared" si="1"/>
        <v/>
      </c>
      <c r="R65" s="93" t="str">
        <f t="shared" si="2"/>
        <v/>
      </c>
      <c r="S65" s="100" t="str">
        <f t="shared" si="3"/>
        <v/>
      </c>
      <c r="T65" s="95" t="str">
        <f t="shared" si="4"/>
        <v/>
      </c>
      <c r="U65" s="95" t="str">
        <f t="shared" si="5"/>
        <v/>
      </c>
      <c r="V65" s="96" t="str">
        <f>IFERROR(S65*T65*Assumptions!$B$15/3956,"")</f>
        <v/>
      </c>
      <c r="W65" s="102" t="str">
        <f t="shared" si="6"/>
        <v/>
      </c>
      <c r="X65" s="95" t="str">
        <f t="shared" si="7"/>
        <v/>
      </c>
      <c r="Y65" s="95" t="str">
        <f t="shared" si="8"/>
        <v/>
      </c>
      <c r="Z65" s="96" t="str">
        <f>IFERROR(W65*X65*Assumptions!$B$15/3956,"")</f>
        <v/>
      </c>
      <c r="AA65" s="100" t="str">
        <f t="shared" si="9"/>
        <v/>
      </c>
      <c r="AB65" s="95" t="str">
        <f t="shared" si="10"/>
        <v/>
      </c>
      <c r="AC65" s="95" t="str">
        <f t="shared" si="11"/>
        <v/>
      </c>
      <c r="AD65" s="96" t="str">
        <f>IFERROR(AA65*AB65*Assumptions!$B$15/3956,"")</f>
        <v/>
      </c>
      <c r="AE65" s="244" t="str">
        <f>IFERROR(
IF(C65="VTS",
IF(O65&gt;=AVERAGE(
INDEX(Assumptions!$I$38:$I$57,MATCH(O65,Assumptions!$I$38:$I$57,-1)),
INDEX(Assumptions!$I$38:$I$57,MATCH(O65,Assumptions!$I$38:$I$57,-1)+1)),
INDEX(Assumptions!$I$38:$I$57,MATCH(O65,Assumptions!$I$38:$I$57,-1)),
INDEX(Assumptions!$I$38:$I$57,MATCH(O65,Assumptions!$I$38:$I$57,-1)+1)),
IF(O65&gt;=AVERAGE(
INDEX(Assumptions!$I$13:$I$32,MATCH(O65,Assumptions!$I$13:$I$32,-1)),
INDEX(Assumptions!$I$13:$I$32,MATCH(O65,Assumptions!$I$13:$I$32,-1)+1)),
INDEX(Assumptions!$I$13:$I$32,MATCH(O65,Assumptions!$I$13:$I$32,-1)),
INDEX(Assumptions!$I$13:$I$32,MATCH(O65,Assumptions!$I$13:$I$32,-1)+1))),
"")</f>
        <v/>
      </c>
      <c r="AF65" s="95" t="str">
        <f>IFERROR(
IF(C65="VTS",
VLOOKUP(AE65,Assumptions!$I$38:$K$57,MATCH(P65,Assumptions!$I$37:$K$37,0),FALSE),
VLOOKUP(AE65,Assumptions!$I$13:$K$32,MATCH(P65,Assumptions!$I$12:$K$12,0),FALSE)),
"")</f>
        <v/>
      </c>
      <c r="AG65" s="95" t="str">
        <f t="shared" si="12"/>
        <v/>
      </c>
      <c r="AH65" s="95" t="str">
        <f>IFERROR(AG65*
(Assumptions!$S$7*(V65/(AK65*Assumptions!$AB$9/100)/O65)^3+
Assumptions!$S$8*(V65/(AK65*Assumptions!$AB$9/100)/O65)^2+
Assumptions!$S$9*(V65/(AK65*Assumptions!$AB$9/100)/O65)+
Assumptions!$S$10),"")</f>
        <v/>
      </c>
      <c r="AI65" s="95" t="str">
        <f>IFERROR(AG65*
(Assumptions!$S$7*(Z65/(AK65*Assumptions!$AB$8/100)/O65)^3+
Assumptions!$S$8*(Z65/(AK65*Assumptions!$AB$8/100)/O65)^2+
Assumptions!$S$9*(Z65/(AK65*Assumptions!$AB$8/100)/O65)+
Assumptions!$S$10),"")</f>
        <v/>
      </c>
      <c r="AJ65" s="95" t="str">
        <f>IFERROR(AG65*
(Assumptions!$S$7*(AD65/(AK65*Assumptions!$AB$10/100)/O65)^3+
Assumptions!$S$8*(AD65/(AK65*Assumptions!$AB$10/100)/O65)^2+
Assumptions!$S$9*(AD65/(AK65*Assumptions!$AB$10/100)/O65)+
Assumptions!$S$10),"")</f>
        <v/>
      </c>
      <c r="AK65" s="95" t="str">
        <f>IFERROR(
Assumptions!$AD$8*LN(S65)^2+
Assumptions!$AE$8*LN(R65)*LN(S65)+
Assumptions!$AF$8*LN(R65)^2+
Assumptions!$AG$8*LN(S65)+
Assumptions!$AH$8*LN(R65)-
(IF(Q65=1800,
VLOOKUP(C65,Assumptions!$AA$13:$AC$17,3),
IF(Q65=3600,
VLOOKUP(C65,Assumptions!$AA$18:$AC$22,3),
""))+Assumptions!$AI$8),
"")</f>
        <v/>
      </c>
      <c r="AL65" s="96" t="str">
        <f>IFERROR(
Assumptions!$D$11*(V65/(Assumptions!$AB$9*AK65/100)+AH65)+
Assumptions!$D$10*(Z65/(Assumptions!$AB$8*AK65/100)+AI65)+
Assumptions!$D$12*(AD65/(Assumptions!$AB$10*AK65/100)+AJ65),
"")</f>
        <v/>
      </c>
      <c r="AM65" s="67" t="str">
        <f>IFERROR(
U65*Assumptions!$D$11+
Y65*Assumptions!$D$10+
AC65*Assumptions!$D$12,
"")</f>
        <v/>
      </c>
      <c r="AN65" s="77" t="str">
        <f t="shared" si="13"/>
        <v/>
      </c>
      <c r="AO65" s="30" t="str">
        <f t="shared" si="14"/>
        <v/>
      </c>
    </row>
    <row r="66" spans="1:41" x14ac:dyDescent="0.25">
      <c r="A66" s="264"/>
      <c r="B66" s="265"/>
      <c r="C66" s="265"/>
      <c r="D66" s="265"/>
      <c r="E66" s="266"/>
      <c r="F66" s="270"/>
      <c r="G66" s="271"/>
      <c r="H66" s="272"/>
      <c r="I66" s="270"/>
      <c r="J66" s="308"/>
      <c r="K66" s="272"/>
      <c r="L66" s="270"/>
      <c r="M66" s="308"/>
      <c r="N66" s="310"/>
      <c r="O66" s="306"/>
      <c r="P66" s="84" t="str">
        <f t="shared" si="15"/>
        <v/>
      </c>
      <c r="Q66" s="84" t="str">
        <f t="shared" si="1"/>
        <v/>
      </c>
      <c r="R66" s="93" t="str">
        <f t="shared" si="2"/>
        <v/>
      </c>
      <c r="S66" s="100" t="str">
        <f t="shared" si="3"/>
        <v/>
      </c>
      <c r="T66" s="95" t="str">
        <f t="shared" si="4"/>
        <v/>
      </c>
      <c r="U66" s="95" t="str">
        <f t="shared" si="5"/>
        <v/>
      </c>
      <c r="V66" s="96" t="str">
        <f>IFERROR(S66*T66*Assumptions!$B$15/3956,"")</f>
        <v/>
      </c>
      <c r="W66" s="102" t="str">
        <f t="shared" si="6"/>
        <v/>
      </c>
      <c r="X66" s="95" t="str">
        <f t="shared" si="7"/>
        <v/>
      </c>
      <c r="Y66" s="95" t="str">
        <f t="shared" si="8"/>
        <v/>
      </c>
      <c r="Z66" s="96" t="str">
        <f>IFERROR(W66*X66*Assumptions!$B$15/3956,"")</f>
        <v/>
      </c>
      <c r="AA66" s="100" t="str">
        <f t="shared" si="9"/>
        <v/>
      </c>
      <c r="AB66" s="95" t="str">
        <f t="shared" si="10"/>
        <v/>
      </c>
      <c r="AC66" s="95" t="str">
        <f t="shared" si="11"/>
        <v/>
      </c>
      <c r="AD66" s="96" t="str">
        <f>IFERROR(AA66*AB66*Assumptions!$B$15/3956,"")</f>
        <v/>
      </c>
      <c r="AE66" s="244" t="str">
        <f>IFERROR(
IF(C66="VTS",
IF(O66&gt;=AVERAGE(
INDEX(Assumptions!$I$38:$I$57,MATCH(O66,Assumptions!$I$38:$I$57,-1)),
INDEX(Assumptions!$I$38:$I$57,MATCH(O66,Assumptions!$I$38:$I$57,-1)+1)),
INDEX(Assumptions!$I$38:$I$57,MATCH(O66,Assumptions!$I$38:$I$57,-1)),
INDEX(Assumptions!$I$38:$I$57,MATCH(O66,Assumptions!$I$38:$I$57,-1)+1)),
IF(O66&gt;=AVERAGE(
INDEX(Assumptions!$I$13:$I$32,MATCH(O66,Assumptions!$I$13:$I$32,-1)),
INDEX(Assumptions!$I$13:$I$32,MATCH(O66,Assumptions!$I$13:$I$32,-1)+1)),
INDEX(Assumptions!$I$13:$I$32,MATCH(O66,Assumptions!$I$13:$I$32,-1)),
INDEX(Assumptions!$I$13:$I$32,MATCH(O66,Assumptions!$I$13:$I$32,-1)+1))),
"")</f>
        <v/>
      </c>
      <c r="AF66" s="95" t="str">
        <f>IFERROR(
IF(C66="VTS",
VLOOKUP(AE66,Assumptions!$I$38:$K$57,MATCH(P66,Assumptions!$I$37:$K$37,0),FALSE),
VLOOKUP(AE66,Assumptions!$I$13:$K$32,MATCH(P66,Assumptions!$I$12:$K$12,0),FALSE)),
"")</f>
        <v/>
      </c>
      <c r="AG66" s="95" t="str">
        <f t="shared" si="12"/>
        <v/>
      </c>
      <c r="AH66" s="95" t="str">
        <f>IFERROR(AG66*
(Assumptions!$S$7*(V66/(AK66*Assumptions!$AB$9/100)/O66)^3+
Assumptions!$S$8*(V66/(AK66*Assumptions!$AB$9/100)/O66)^2+
Assumptions!$S$9*(V66/(AK66*Assumptions!$AB$9/100)/O66)+
Assumptions!$S$10),"")</f>
        <v/>
      </c>
      <c r="AI66" s="95" t="str">
        <f>IFERROR(AG66*
(Assumptions!$S$7*(Z66/(AK66*Assumptions!$AB$8/100)/O66)^3+
Assumptions!$S$8*(Z66/(AK66*Assumptions!$AB$8/100)/O66)^2+
Assumptions!$S$9*(Z66/(AK66*Assumptions!$AB$8/100)/O66)+
Assumptions!$S$10),"")</f>
        <v/>
      </c>
      <c r="AJ66" s="95" t="str">
        <f>IFERROR(AG66*
(Assumptions!$S$7*(AD66/(AK66*Assumptions!$AB$10/100)/O66)^3+
Assumptions!$S$8*(AD66/(AK66*Assumptions!$AB$10/100)/O66)^2+
Assumptions!$S$9*(AD66/(AK66*Assumptions!$AB$10/100)/O66)+
Assumptions!$S$10),"")</f>
        <v/>
      </c>
      <c r="AK66" s="95" t="str">
        <f>IFERROR(
Assumptions!$AD$8*LN(S66)^2+
Assumptions!$AE$8*LN(R66)*LN(S66)+
Assumptions!$AF$8*LN(R66)^2+
Assumptions!$AG$8*LN(S66)+
Assumptions!$AH$8*LN(R66)-
(IF(Q66=1800,
VLOOKUP(C66,Assumptions!$AA$13:$AC$17,3),
IF(Q66=3600,
VLOOKUP(C66,Assumptions!$AA$18:$AC$22,3),
""))+Assumptions!$AI$8),
"")</f>
        <v/>
      </c>
      <c r="AL66" s="96" t="str">
        <f>IFERROR(
Assumptions!$D$11*(V66/(Assumptions!$AB$9*AK66/100)+AH66)+
Assumptions!$D$10*(Z66/(Assumptions!$AB$8*AK66/100)+AI66)+
Assumptions!$D$12*(AD66/(Assumptions!$AB$10*AK66/100)+AJ66),
"")</f>
        <v/>
      </c>
      <c r="AM66" s="67" t="str">
        <f>IFERROR(
U66*Assumptions!$D$11+
Y66*Assumptions!$D$10+
AC66*Assumptions!$D$12,
"")</f>
        <v/>
      </c>
      <c r="AN66" s="77" t="str">
        <f t="shared" si="13"/>
        <v/>
      </c>
      <c r="AO66" s="30" t="str">
        <f t="shared" si="14"/>
        <v/>
      </c>
    </row>
    <row r="67" spans="1:41" x14ac:dyDescent="0.25">
      <c r="A67" s="264"/>
      <c r="B67" s="265"/>
      <c r="C67" s="265"/>
      <c r="D67" s="265"/>
      <c r="E67" s="266"/>
      <c r="F67" s="270"/>
      <c r="G67" s="271"/>
      <c r="H67" s="272"/>
      <c r="I67" s="270"/>
      <c r="J67" s="308"/>
      <c r="K67" s="272"/>
      <c r="L67" s="270"/>
      <c r="M67" s="308"/>
      <c r="N67" s="310"/>
      <c r="O67" s="306"/>
      <c r="P67" s="84" t="str">
        <f t="shared" si="15"/>
        <v/>
      </c>
      <c r="Q67" s="84" t="str">
        <f t="shared" si="1"/>
        <v/>
      </c>
      <c r="R67" s="93" t="str">
        <f t="shared" si="2"/>
        <v/>
      </c>
      <c r="S67" s="100" t="str">
        <f t="shared" si="3"/>
        <v/>
      </c>
      <c r="T67" s="95" t="str">
        <f t="shared" si="4"/>
        <v/>
      </c>
      <c r="U67" s="95" t="str">
        <f t="shared" si="5"/>
        <v/>
      </c>
      <c r="V67" s="96" t="str">
        <f>IFERROR(S67*T67*Assumptions!$B$15/3956,"")</f>
        <v/>
      </c>
      <c r="W67" s="102" t="str">
        <f t="shared" si="6"/>
        <v/>
      </c>
      <c r="X67" s="95" t="str">
        <f t="shared" si="7"/>
        <v/>
      </c>
      <c r="Y67" s="95" t="str">
        <f t="shared" si="8"/>
        <v/>
      </c>
      <c r="Z67" s="96" t="str">
        <f>IFERROR(W67*X67*Assumptions!$B$15/3956,"")</f>
        <v/>
      </c>
      <c r="AA67" s="100" t="str">
        <f t="shared" si="9"/>
        <v/>
      </c>
      <c r="AB67" s="95" t="str">
        <f t="shared" si="10"/>
        <v/>
      </c>
      <c r="AC67" s="95" t="str">
        <f t="shared" si="11"/>
        <v/>
      </c>
      <c r="AD67" s="96" t="str">
        <f>IFERROR(AA67*AB67*Assumptions!$B$15/3956,"")</f>
        <v/>
      </c>
      <c r="AE67" s="244" t="str">
        <f>IFERROR(
IF(C67="VTS",
IF(O67&gt;=AVERAGE(
INDEX(Assumptions!$I$38:$I$57,MATCH(O67,Assumptions!$I$38:$I$57,-1)),
INDEX(Assumptions!$I$38:$I$57,MATCH(O67,Assumptions!$I$38:$I$57,-1)+1)),
INDEX(Assumptions!$I$38:$I$57,MATCH(O67,Assumptions!$I$38:$I$57,-1)),
INDEX(Assumptions!$I$38:$I$57,MATCH(O67,Assumptions!$I$38:$I$57,-1)+1)),
IF(O67&gt;=AVERAGE(
INDEX(Assumptions!$I$13:$I$32,MATCH(O67,Assumptions!$I$13:$I$32,-1)),
INDEX(Assumptions!$I$13:$I$32,MATCH(O67,Assumptions!$I$13:$I$32,-1)+1)),
INDEX(Assumptions!$I$13:$I$32,MATCH(O67,Assumptions!$I$13:$I$32,-1)),
INDEX(Assumptions!$I$13:$I$32,MATCH(O67,Assumptions!$I$13:$I$32,-1)+1))),
"")</f>
        <v/>
      </c>
      <c r="AF67" s="95" t="str">
        <f>IFERROR(
IF(C67="VTS",
VLOOKUP(AE67,Assumptions!$I$38:$K$57,MATCH(P67,Assumptions!$I$37:$K$37,0),FALSE),
VLOOKUP(AE67,Assumptions!$I$13:$K$32,MATCH(P67,Assumptions!$I$12:$K$12,0),FALSE)),
"")</f>
        <v/>
      </c>
      <c r="AG67" s="95" t="str">
        <f t="shared" si="12"/>
        <v/>
      </c>
      <c r="AH67" s="95" t="str">
        <f>IFERROR(AG67*
(Assumptions!$S$7*(V67/(AK67*Assumptions!$AB$9/100)/O67)^3+
Assumptions!$S$8*(V67/(AK67*Assumptions!$AB$9/100)/O67)^2+
Assumptions!$S$9*(V67/(AK67*Assumptions!$AB$9/100)/O67)+
Assumptions!$S$10),"")</f>
        <v/>
      </c>
      <c r="AI67" s="95" t="str">
        <f>IFERROR(AG67*
(Assumptions!$S$7*(Z67/(AK67*Assumptions!$AB$8/100)/O67)^3+
Assumptions!$S$8*(Z67/(AK67*Assumptions!$AB$8/100)/O67)^2+
Assumptions!$S$9*(Z67/(AK67*Assumptions!$AB$8/100)/O67)+
Assumptions!$S$10),"")</f>
        <v/>
      </c>
      <c r="AJ67" s="95" t="str">
        <f>IFERROR(AG67*
(Assumptions!$S$7*(AD67/(AK67*Assumptions!$AB$10/100)/O67)^3+
Assumptions!$S$8*(AD67/(AK67*Assumptions!$AB$10/100)/O67)^2+
Assumptions!$S$9*(AD67/(AK67*Assumptions!$AB$10/100)/O67)+
Assumptions!$S$10),"")</f>
        <v/>
      </c>
      <c r="AK67" s="95" t="str">
        <f>IFERROR(
Assumptions!$AD$8*LN(S67)^2+
Assumptions!$AE$8*LN(R67)*LN(S67)+
Assumptions!$AF$8*LN(R67)^2+
Assumptions!$AG$8*LN(S67)+
Assumptions!$AH$8*LN(R67)-
(IF(Q67=1800,
VLOOKUP(C67,Assumptions!$AA$13:$AC$17,3),
IF(Q67=3600,
VLOOKUP(C67,Assumptions!$AA$18:$AC$22,3),
""))+Assumptions!$AI$8),
"")</f>
        <v/>
      </c>
      <c r="AL67" s="96" t="str">
        <f>IFERROR(
Assumptions!$D$11*(V67/(Assumptions!$AB$9*AK67/100)+AH67)+
Assumptions!$D$10*(Z67/(Assumptions!$AB$8*AK67/100)+AI67)+
Assumptions!$D$12*(AD67/(Assumptions!$AB$10*AK67/100)+AJ67),
"")</f>
        <v/>
      </c>
      <c r="AM67" s="67" t="str">
        <f>IFERROR(
U67*Assumptions!$D$11+
Y67*Assumptions!$D$10+
AC67*Assumptions!$D$12,
"")</f>
        <v/>
      </c>
      <c r="AN67" s="77" t="str">
        <f t="shared" si="13"/>
        <v/>
      </c>
      <c r="AO67" s="30" t="str">
        <f t="shared" si="14"/>
        <v/>
      </c>
    </row>
    <row r="68" spans="1:41" x14ac:dyDescent="0.25">
      <c r="A68" s="264"/>
      <c r="B68" s="265"/>
      <c r="C68" s="265"/>
      <c r="D68" s="265"/>
      <c r="E68" s="266"/>
      <c r="F68" s="270"/>
      <c r="G68" s="271"/>
      <c r="H68" s="272"/>
      <c r="I68" s="270"/>
      <c r="J68" s="308"/>
      <c r="K68" s="272"/>
      <c r="L68" s="270"/>
      <c r="M68" s="308"/>
      <c r="N68" s="310"/>
      <c r="O68" s="306"/>
      <c r="P68" s="84" t="str">
        <f t="shared" si="15"/>
        <v/>
      </c>
      <c r="Q68" s="84" t="str">
        <f t="shared" si="1"/>
        <v/>
      </c>
      <c r="R68" s="93" t="str">
        <f t="shared" si="2"/>
        <v/>
      </c>
      <c r="S68" s="100" t="str">
        <f t="shared" si="3"/>
        <v/>
      </c>
      <c r="T68" s="95" t="str">
        <f t="shared" si="4"/>
        <v/>
      </c>
      <c r="U68" s="95" t="str">
        <f t="shared" si="5"/>
        <v/>
      </c>
      <c r="V68" s="96" t="str">
        <f>IFERROR(S68*T68*Assumptions!$B$15/3956,"")</f>
        <v/>
      </c>
      <c r="W68" s="102" t="str">
        <f t="shared" si="6"/>
        <v/>
      </c>
      <c r="X68" s="95" t="str">
        <f t="shared" si="7"/>
        <v/>
      </c>
      <c r="Y68" s="95" t="str">
        <f t="shared" si="8"/>
        <v/>
      </c>
      <c r="Z68" s="96" t="str">
        <f>IFERROR(W68*X68*Assumptions!$B$15/3956,"")</f>
        <v/>
      </c>
      <c r="AA68" s="100" t="str">
        <f t="shared" si="9"/>
        <v/>
      </c>
      <c r="AB68" s="95" t="str">
        <f t="shared" si="10"/>
        <v/>
      </c>
      <c r="AC68" s="95" t="str">
        <f t="shared" si="11"/>
        <v/>
      </c>
      <c r="AD68" s="96" t="str">
        <f>IFERROR(AA68*AB68*Assumptions!$B$15/3956,"")</f>
        <v/>
      </c>
      <c r="AE68" s="244" t="str">
        <f>IFERROR(
IF(C68="VTS",
IF(O68&gt;=AVERAGE(
INDEX(Assumptions!$I$38:$I$57,MATCH(O68,Assumptions!$I$38:$I$57,-1)),
INDEX(Assumptions!$I$38:$I$57,MATCH(O68,Assumptions!$I$38:$I$57,-1)+1)),
INDEX(Assumptions!$I$38:$I$57,MATCH(O68,Assumptions!$I$38:$I$57,-1)),
INDEX(Assumptions!$I$38:$I$57,MATCH(O68,Assumptions!$I$38:$I$57,-1)+1)),
IF(O68&gt;=AVERAGE(
INDEX(Assumptions!$I$13:$I$32,MATCH(O68,Assumptions!$I$13:$I$32,-1)),
INDEX(Assumptions!$I$13:$I$32,MATCH(O68,Assumptions!$I$13:$I$32,-1)+1)),
INDEX(Assumptions!$I$13:$I$32,MATCH(O68,Assumptions!$I$13:$I$32,-1)),
INDEX(Assumptions!$I$13:$I$32,MATCH(O68,Assumptions!$I$13:$I$32,-1)+1))),
"")</f>
        <v/>
      </c>
      <c r="AF68" s="95" t="str">
        <f>IFERROR(
IF(C68="VTS",
VLOOKUP(AE68,Assumptions!$I$38:$K$57,MATCH(P68,Assumptions!$I$37:$K$37,0),FALSE),
VLOOKUP(AE68,Assumptions!$I$13:$K$32,MATCH(P68,Assumptions!$I$12:$K$12,0),FALSE)),
"")</f>
        <v/>
      </c>
      <c r="AG68" s="95" t="str">
        <f t="shared" si="12"/>
        <v/>
      </c>
      <c r="AH68" s="95" t="str">
        <f>IFERROR(AG68*
(Assumptions!$S$7*(V68/(AK68*Assumptions!$AB$9/100)/O68)^3+
Assumptions!$S$8*(V68/(AK68*Assumptions!$AB$9/100)/O68)^2+
Assumptions!$S$9*(V68/(AK68*Assumptions!$AB$9/100)/O68)+
Assumptions!$S$10),"")</f>
        <v/>
      </c>
      <c r="AI68" s="95" t="str">
        <f>IFERROR(AG68*
(Assumptions!$S$7*(Z68/(AK68*Assumptions!$AB$8/100)/O68)^3+
Assumptions!$S$8*(Z68/(AK68*Assumptions!$AB$8/100)/O68)^2+
Assumptions!$S$9*(Z68/(AK68*Assumptions!$AB$8/100)/O68)+
Assumptions!$S$10),"")</f>
        <v/>
      </c>
      <c r="AJ68" s="95" t="str">
        <f>IFERROR(AG68*
(Assumptions!$S$7*(AD68/(AK68*Assumptions!$AB$10/100)/O68)^3+
Assumptions!$S$8*(AD68/(AK68*Assumptions!$AB$10/100)/O68)^2+
Assumptions!$S$9*(AD68/(AK68*Assumptions!$AB$10/100)/O68)+
Assumptions!$S$10),"")</f>
        <v/>
      </c>
      <c r="AK68" s="95" t="str">
        <f>IFERROR(
Assumptions!$AD$8*LN(S68)^2+
Assumptions!$AE$8*LN(R68)*LN(S68)+
Assumptions!$AF$8*LN(R68)^2+
Assumptions!$AG$8*LN(S68)+
Assumptions!$AH$8*LN(R68)-
(IF(Q68=1800,
VLOOKUP(C68,Assumptions!$AA$13:$AC$17,3),
IF(Q68=3600,
VLOOKUP(C68,Assumptions!$AA$18:$AC$22,3),
""))+Assumptions!$AI$8),
"")</f>
        <v/>
      </c>
      <c r="AL68" s="96" t="str">
        <f>IFERROR(
Assumptions!$D$11*(V68/(Assumptions!$AB$9*AK68/100)+AH68)+
Assumptions!$D$10*(Z68/(Assumptions!$AB$8*AK68/100)+AI68)+
Assumptions!$D$12*(AD68/(Assumptions!$AB$10*AK68/100)+AJ68),
"")</f>
        <v/>
      </c>
      <c r="AM68" s="67" t="str">
        <f>IFERROR(
U68*Assumptions!$D$11+
Y68*Assumptions!$D$10+
AC68*Assumptions!$D$12,
"")</f>
        <v/>
      </c>
      <c r="AN68" s="77" t="str">
        <f t="shared" si="13"/>
        <v/>
      </c>
      <c r="AO68" s="30" t="str">
        <f t="shared" si="14"/>
        <v/>
      </c>
    </row>
    <row r="69" spans="1:41" x14ac:dyDescent="0.25">
      <c r="A69" s="264"/>
      <c r="B69" s="265"/>
      <c r="C69" s="265"/>
      <c r="D69" s="265"/>
      <c r="E69" s="266"/>
      <c r="F69" s="270"/>
      <c r="G69" s="271"/>
      <c r="H69" s="272"/>
      <c r="I69" s="270"/>
      <c r="J69" s="308"/>
      <c r="K69" s="272"/>
      <c r="L69" s="270"/>
      <c r="M69" s="308"/>
      <c r="N69" s="310"/>
      <c r="O69" s="306"/>
      <c r="P69" s="84" t="str">
        <f t="shared" si="15"/>
        <v/>
      </c>
      <c r="Q69" s="84" t="str">
        <f t="shared" si="1"/>
        <v/>
      </c>
      <c r="R69" s="93" t="str">
        <f t="shared" si="2"/>
        <v/>
      </c>
      <c r="S69" s="100" t="str">
        <f t="shared" si="3"/>
        <v/>
      </c>
      <c r="T69" s="95" t="str">
        <f t="shared" si="4"/>
        <v/>
      </c>
      <c r="U69" s="95" t="str">
        <f t="shared" si="5"/>
        <v/>
      </c>
      <c r="V69" s="96" t="str">
        <f>IFERROR(S69*T69*Assumptions!$B$15/3956,"")</f>
        <v/>
      </c>
      <c r="W69" s="102" t="str">
        <f t="shared" si="6"/>
        <v/>
      </c>
      <c r="X69" s="95" t="str">
        <f t="shared" si="7"/>
        <v/>
      </c>
      <c r="Y69" s="95" t="str">
        <f t="shared" si="8"/>
        <v/>
      </c>
      <c r="Z69" s="96" t="str">
        <f>IFERROR(W69*X69*Assumptions!$B$15/3956,"")</f>
        <v/>
      </c>
      <c r="AA69" s="100" t="str">
        <f t="shared" si="9"/>
        <v/>
      </c>
      <c r="AB69" s="95" t="str">
        <f t="shared" si="10"/>
        <v/>
      </c>
      <c r="AC69" s="95" t="str">
        <f t="shared" si="11"/>
        <v/>
      </c>
      <c r="AD69" s="96" t="str">
        <f>IFERROR(AA69*AB69*Assumptions!$B$15/3956,"")</f>
        <v/>
      </c>
      <c r="AE69" s="244" t="str">
        <f>IFERROR(
IF(C69="VTS",
IF(O69&gt;=AVERAGE(
INDEX(Assumptions!$I$38:$I$57,MATCH(O69,Assumptions!$I$38:$I$57,-1)),
INDEX(Assumptions!$I$38:$I$57,MATCH(O69,Assumptions!$I$38:$I$57,-1)+1)),
INDEX(Assumptions!$I$38:$I$57,MATCH(O69,Assumptions!$I$38:$I$57,-1)),
INDEX(Assumptions!$I$38:$I$57,MATCH(O69,Assumptions!$I$38:$I$57,-1)+1)),
IF(O69&gt;=AVERAGE(
INDEX(Assumptions!$I$13:$I$32,MATCH(O69,Assumptions!$I$13:$I$32,-1)),
INDEX(Assumptions!$I$13:$I$32,MATCH(O69,Assumptions!$I$13:$I$32,-1)+1)),
INDEX(Assumptions!$I$13:$I$32,MATCH(O69,Assumptions!$I$13:$I$32,-1)),
INDEX(Assumptions!$I$13:$I$32,MATCH(O69,Assumptions!$I$13:$I$32,-1)+1))),
"")</f>
        <v/>
      </c>
      <c r="AF69" s="95" t="str">
        <f>IFERROR(
IF(C69="VTS",
VLOOKUP(AE69,Assumptions!$I$38:$K$57,MATCH(P69,Assumptions!$I$37:$K$37,0),FALSE),
VLOOKUP(AE69,Assumptions!$I$13:$K$32,MATCH(P69,Assumptions!$I$12:$K$12,0),FALSE)),
"")</f>
        <v/>
      </c>
      <c r="AG69" s="95" t="str">
        <f t="shared" si="12"/>
        <v/>
      </c>
      <c r="AH69" s="95" t="str">
        <f>IFERROR(AG69*
(Assumptions!$S$7*(V69/(AK69*Assumptions!$AB$9/100)/O69)^3+
Assumptions!$S$8*(V69/(AK69*Assumptions!$AB$9/100)/O69)^2+
Assumptions!$S$9*(V69/(AK69*Assumptions!$AB$9/100)/O69)+
Assumptions!$S$10),"")</f>
        <v/>
      </c>
      <c r="AI69" s="95" t="str">
        <f>IFERROR(AG69*
(Assumptions!$S$7*(Z69/(AK69*Assumptions!$AB$8/100)/O69)^3+
Assumptions!$S$8*(Z69/(AK69*Assumptions!$AB$8/100)/O69)^2+
Assumptions!$S$9*(Z69/(AK69*Assumptions!$AB$8/100)/O69)+
Assumptions!$S$10),"")</f>
        <v/>
      </c>
      <c r="AJ69" s="95" t="str">
        <f>IFERROR(AG69*
(Assumptions!$S$7*(AD69/(AK69*Assumptions!$AB$10/100)/O69)^3+
Assumptions!$S$8*(AD69/(AK69*Assumptions!$AB$10/100)/O69)^2+
Assumptions!$S$9*(AD69/(AK69*Assumptions!$AB$10/100)/O69)+
Assumptions!$S$10),"")</f>
        <v/>
      </c>
      <c r="AK69" s="95" t="str">
        <f>IFERROR(
Assumptions!$AD$8*LN(S69)^2+
Assumptions!$AE$8*LN(R69)*LN(S69)+
Assumptions!$AF$8*LN(R69)^2+
Assumptions!$AG$8*LN(S69)+
Assumptions!$AH$8*LN(R69)-
(IF(Q69=1800,
VLOOKUP(C69,Assumptions!$AA$13:$AC$17,3),
IF(Q69=3600,
VLOOKUP(C69,Assumptions!$AA$18:$AC$22,3),
""))+Assumptions!$AI$8),
"")</f>
        <v/>
      </c>
      <c r="AL69" s="96" t="str">
        <f>IFERROR(
Assumptions!$D$11*(V69/(Assumptions!$AB$9*AK69/100)+AH69)+
Assumptions!$D$10*(Z69/(Assumptions!$AB$8*AK69/100)+AI69)+
Assumptions!$D$12*(AD69/(Assumptions!$AB$10*AK69/100)+AJ69),
"")</f>
        <v/>
      </c>
      <c r="AM69" s="67" t="str">
        <f>IFERROR(
U69*Assumptions!$D$11+
Y69*Assumptions!$D$10+
AC69*Assumptions!$D$12,
"")</f>
        <v/>
      </c>
      <c r="AN69" s="77" t="str">
        <f t="shared" si="13"/>
        <v/>
      </c>
      <c r="AO69" s="30" t="str">
        <f t="shared" si="14"/>
        <v/>
      </c>
    </row>
    <row r="70" spans="1:41" x14ac:dyDescent="0.25">
      <c r="A70" s="264"/>
      <c r="B70" s="265"/>
      <c r="C70" s="265"/>
      <c r="D70" s="265"/>
      <c r="E70" s="266"/>
      <c r="F70" s="270"/>
      <c r="G70" s="271"/>
      <c r="H70" s="272"/>
      <c r="I70" s="270"/>
      <c r="J70" s="308"/>
      <c r="K70" s="272"/>
      <c r="L70" s="270"/>
      <c r="M70" s="308"/>
      <c r="N70" s="310"/>
      <c r="O70" s="306"/>
      <c r="P70" s="84" t="str">
        <f t="shared" si="15"/>
        <v/>
      </c>
      <c r="Q70" s="84" t="str">
        <f t="shared" si="1"/>
        <v/>
      </c>
      <c r="R70" s="93" t="str">
        <f t="shared" si="2"/>
        <v/>
      </c>
      <c r="S70" s="100" t="str">
        <f t="shared" si="3"/>
        <v/>
      </c>
      <c r="T70" s="95" t="str">
        <f t="shared" si="4"/>
        <v/>
      </c>
      <c r="U70" s="95" t="str">
        <f t="shared" si="5"/>
        <v/>
      </c>
      <c r="V70" s="96" t="str">
        <f>IFERROR(S70*T70*Assumptions!$B$15/3956,"")</f>
        <v/>
      </c>
      <c r="W70" s="102" t="str">
        <f t="shared" si="6"/>
        <v/>
      </c>
      <c r="X70" s="95" t="str">
        <f t="shared" si="7"/>
        <v/>
      </c>
      <c r="Y70" s="95" t="str">
        <f t="shared" si="8"/>
        <v/>
      </c>
      <c r="Z70" s="96" t="str">
        <f>IFERROR(W70*X70*Assumptions!$B$15/3956,"")</f>
        <v/>
      </c>
      <c r="AA70" s="100" t="str">
        <f t="shared" si="9"/>
        <v/>
      </c>
      <c r="AB70" s="95" t="str">
        <f t="shared" si="10"/>
        <v/>
      </c>
      <c r="AC70" s="95" t="str">
        <f t="shared" si="11"/>
        <v/>
      </c>
      <c r="AD70" s="96" t="str">
        <f>IFERROR(AA70*AB70*Assumptions!$B$15/3956,"")</f>
        <v/>
      </c>
      <c r="AE70" s="244" t="str">
        <f>IFERROR(
IF(C70="VTS",
IF(O70&gt;=AVERAGE(
INDEX(Assumptions!$I$38:$I$57,MATCH(O70,Assumptions!$I$38:$I$57,-1)),
INDEX(Assumptions!$I$38:$I$57,MATCH(O70,Assumptions!$I$38:$I$57,-1)+1)),
INDEX(Assumptions!$I$38:$I$57,MATCH(O70,Assumptions!$I$38:$I$57,-1)),
INDEX(Assumptions!$I$38:$I$57,MATCH(O70,Assumptions!$I$38:$I$57,-1)+1)),
IF(O70&gt;=AVERAGE(
INDEX(Assumptions!$I$13:$I$32,MATCH(O70,Assumptions!$I$13:$I$32,-1)),
INDEX(Assumptions!$I$13:$I$32,MATCH(O70,Assumptions!$I$13:$I$32,-1)+1)),
INDEX(Assumptions!$I$13:$I$32,MATCH(O70,Assumptions!$I$13:$I$32,-1)),
INDEX(Assumptions!$I$13:$I$32,MATCH(O70,Assumptions!$I$13:$I$32,-1)+1))),
"")</f>
        <v/>
      </c>
      <c r="AF70" s="95" t="str">
        <f>IFERROR(
IF(C70="VTS",
VLOOKUP(AE70,Assumptions!$I$38:$K$57,MATCH(P70,Assumptions!$I$37:$K$37,0),FALSE),
VLOOKUP(AE70,Assumptions!$I$13:$K$32,MATCH(P70,Assumptions!$I$12:$K$12,0),FALSE)),
"")</f>
        <v/>
      </c>
      <c r="AG70" s="95" t="str">
        <f t="shared" si="12"/>
        <v/>
      </c>
      <c r="AH70" s="95" t="str">
        <f>IFERROR(AG70*
(Assumptions!$S$7*(V70/(AK70*Assumptions!$AB$9/100)/O70)^3+
Assumptions!$S$8*(V70/(AK70*Assumptions!$AB$9/100)/O70)^2+
Assumptions!$S$9*(V70/(AK70*Assumptions!$AB$9/100)/O70)+
Assumptions!$S$10),"")</f>
        <v/>
      </c>
      <c r="AI70" s="95" t="str">
        <f>IFERROR(AG70*
(Assumptions!$S$7*(Z70/(AK70*Assumptions!$AB$8/100)/O70)^3+
Assumptions!$S$8*(Z70/(AK70*Assumptions!$AB$8/100)/O70)^2+
Assumptions!$S$9*(Z70/(AK70*Assumptions!$AB$8/100)/O70)+
Assumptions!$S$10),"")</f>
        <v/>
      </c>
      <c r="AJ70" s="95" t="str">
        <f>IFERROR(AG70*
(Assumptions!$S$7*(AD70/(AK70*Assumptions!$AB$10/100)/O70)^3+
Assumptions!$S$8*(AD70/(AK70*Assumptions!$AB$10/100)/O70)^2+
Assumptions!$S$9*(AD70/(AK70*Assumptions!$AB$10/100)/O70)+
Assumptions!$S$10),"")</f>
        <v/>
      </c>
      <c r="AK70" s="95" t="str">
        <f>IFERROR(
Assumptions!$AD$8*LN(S70)^2+
Assumptions!$AE$8*LN(R70)*LN(S70)+
Assumptions!$AF$8*LN(R70)^2+
Assumptions!$AG$8*LN(S70)+
Assumptions!$AH$8*LN(R70)-
(IF(Q70=1800,
VLOOKUP(C70,Assumptions!$AA$13:$AC$17,3),
IF(Q70=3600,
VLOOKUP(C70,Assumptions!$AA$18:$AC$22,3),
""))+Assumptions!$AI$8),
"")</f>
        <v/>
      </c>
      <c r="AL70" s="96" t="str">
        <f>IFERROR(
Assumptions!$D$11*(V70/(Assumptions!$AB$9*AK70/100)+AH70)+
Assumptions!$D$10*(Z70/(Assumptions!$AB$8*AK70/100)+AI70)+
Assumptions!$D$12*(AD70/(Assumptions!$AB$10*AK70/100)+AJ70),
"")</f>
        <v/>
      </c>
      <c r="AM70" s="67" t="str">
        <f>IFERROR(
U70*Assumptions!$D$11+
Y70*Assumptions!$D$10+
AC70*Assumptions!$D$12,
"")</f>
        <v/>
      </c>
      <c r="AN70" s="77" t="str">
        <f t="shared" si="13"/>
        <v/>
      </c>
      <c r="AO70" s="30" t="str">
        <f t="shared" si="14"/>
        <v/>
      </c>
    </row>
    <row r="71" spans="1:41" x14ac:dyDescent="0.25">
      <c r="A71" s="264"/>
      <c r="B71" s="265"/>
      <c r="C71" s="265"/>
      <c r="D71" s="265"/>
      <c r="E71" s="266"/>
      <c r="F71" s="270"/>
      <c r="G71" s="271"/>
      <c r="H71" s="272"/>
      <c r="I71" s="270"/>
      <c r="J71" s="308"/>
      <c r="K71" s="272"/>
      <c r="L71" s="270"/>
      <c r="M71" s="308"/>
      <c r="N71" s="310"/>
      <c r="O71" s="306"/>
      <c r="P71" s="84" t="str">
        <f t="shared" si="15"/>
        <v/>
      </c>
      <c r="Q71" s="84" t="str">
        <f t="shared" si="1"/>
        <v/>
      </c>
      <c r="R71" s="93" t="str">
        <f t="shared" si="2"/>
        <v/>
      </c>
      <c r="S71" s="100" t="str">
        <f t="shared" si="3"/>
        <v/>
      </c>
      <c r="T71" s="95" t="str">
        <f t="shared" si="4"/>
        <v/>
      </c>
      <c r="U71" s="95" t="str">
        <f t="shared" si="5"/>
        <v/>
      </c>
      <c r="V71" s="96" t="str">
        <f>IFERROR(S71*T71*Assumptions!$B$15/3956,"")</f>
        <v/>
      </c>
      <c r="W71" s="102" t="str">
        <f t="shared" si="6"/>
        <v/>
      </c>
      <c r="X71" s="95" t="str">
        <f t="shared" si="7"/>
        <v/>
      </c>
      <c r="Y71" s="95" t="str">
        <f t="shared" si="8"/>
        <v/>
      </c>
      <c r="Z71" s="96" t="str">
        <f>IFERROR(W71*X71*Assumptions!$B$15/3956,"")</f>
        <v/>
      </c>
      <c r="AA71" s="100" t="str">
        <f t="shared" si="9"/>
        <v/>
      </c>
      <c r="AB71" s="95" t="str">
        <f t="shared" si="10"/>
        <v/>
      </c>
      <c r="AC71" s="95" t="str">
        <f t="shared" si="11"/>
        <v/>
      </c>
      <c r="AD71" s="96" t="str">
        <f>IFERROR(AA71*AB71*Assumptions!$B$15/3956,"")</f>
        <v/>
      </c>
      <c r="AE71" s="244" t="str">
        <f>IFERROR(
IF(C71="VTS",
IF(O71&gt;=AVERAGE(
INDEX(Assumptions!$I$38:$I$57,MATCH(O71,Assumptions!$I$38:$I$57,-1)),
INDEX(Assumptions!$I$38:$I$57,MATCH(O71,Assumptions!$I$38:$I$57,-1)+1)),
INDEX(Assumptions!$I$38:$I$57,MATCH(O71,Assumptions!$I$38:$I$57,-1)),
INDEX(Assumptions!$I$38:$I$57,MATCH(O71,Assumptions!$I$38:$I$57,-1)+1)),
IF(O71&gt;=AVERAGE(
INDEX(Assumptions!$I$13:$I$32,MATCH(O71,Assumptions!$I$13:$I$32,-1)),
INDEX(Assumptions!$I$13:$I$32,MATCH(O71,Assumptions!$I$13:$I$32,-1)+1)),
INDEX(Assumptions!$I$13:$I$32,MATCH(O71,Assumptions!$I$13:$I$32,-1)),
INDEX(Assumptions!$I$13:$I$32,MATCH(O71,Assumptions!$I$13:$I$32,-1)+1))),
"")</f>
        <v/>
      </c>
      <c r="AF71" s="95" t="str">
        <f>IFERROR(
IF(C71="VTS",
VLOOKUP(AE71,Assumptions!$I$38:$K$57,MATCH(P71,Assumptions!$I$37:$K$37,0),FALSE),
VLOOKUP(AE71,Assumptions!$I$13:$K$32,MATCH(P71,Assumptions!$I$12:$K$12,0),FALSE)),
"")</f>
        <v/>
      </c>
      <c r="AG71" s="95" t="str">
        <f t="shared" si="12"/>
        <v/>
      </c>
      <c r="AH71" s="95" t="str">
        <f>IFERROR(AG71*
(Assumptions!$S$7*(V71/(AK71*Assumptions!$AB$9/100)/O71)^3+
Assumptions!$S$8*(V71/(AK71*Assumptions!$AB$9/100)/O71)^2+
Assumptions!$S$9*(V71/(AK71*Assumptions!$AB$9/100)/O71)+
Assumptions!$S$10),"")</f>
        <v/>
      </c>
      <c r="AI71" s="95" t="str">
        <f>IFERROR(AG71*
(Assumptions!$S$7*(Z71/(AK71*Assumptions!$AB$8/100)/O71)^3+
Assumptions!$S$8*(Z71/(AK71*Assumptions!$AB$8/100)/O71)^2+
Assumptions!$S$9*(Z71/(AK71*Assumptions!$AB$8/100)/O71)+
Assumptions!$S$10),"")</f>
        <v/>
      </c>
      <c r="AJ71" s="95" t="str">
        <f>IFERROR(AG71*
(Assumptions!$S$7*(AD71/(AK71*Assumptions!$AB$10/100)/O71)^3+
Assumptions!$S$8*(AD71/(AK71*Assumptions!$AB$10/100)/O71)^2+
Assumptions!$S$9*(AD71/(AK71*Assumptions!$AB$10/100)/O71)+
Assumptions!$S$10),"")</f>
        <v/>
      </c>
      <c r="AK71" s="95" t="str">
        <f>IFERROR(
Assumptions!$AD$8*LN(S71)^2+
Assumptions!$AE$8*LN(R71)*LN(S71)+
Assumptions!$AF$8*LN(R71)^2+
Assumptions!$AG$8*LN(S71)+
Assumptions!$AH$8*LN(R71)-
(IF(Q71=1800,
VLOOKUP(C71,Assumptions!$AA$13:$AC$17,3),
IF(Q71=3600,
VLOOKUP(C71,Assumptions!$AA$18:$AC$22,3),
""))+Assumptions!$AI$8),
"")</f>
        <v/>
      </c>
      <c r="AL71" s="96" t="str">
        <f>IFERROR(
Assumptions!$D$11*(V71/(Assumptions!$AB$9*AK71/100)+AH71)+
Assumptions!$D$10*(Z71/(Assumptions!$AB$8*AK71/100)+AI71)+
Assumptions!$D$12*(AD71/(Assumptions!$AB$10*AK71/100)+AJ71),
"")</f>
        <v/>
      </c>
      <c r="AM71" s="67" t="str">
        <f>IFERROR(
U71*Assumptions!$D$11+
Y71*Assumptions!$D$10+
AC71*Assumptions!$D$12,
"")</f>
        <v/>
      </c>
      <c r="AN71" s="77" t="str">
        <f t="shared" si="13"/>
        <v/>
      </c>
      <c r="AO71" s="30" t="str">
        <f t="shared" si="14"/>
        <v/>
      </c>
    </row>
    <row r="72" spans="1:41" x14ac:dyDescent="0.25">
      <c r="A72" s="264"/>
      <c r="B72" s="265"/>
      <c r="C72" s="265"/>
      <c r="D72" s="265"/>
      <c r="E72" s="266"/>
      <c r="F72" s="270"/>
      <c r="G72" s="271"/>
      <c r="H72" s="272"/>
      <c r="I72" s="270"/>
      <c r="J72" s="308"/>
      <c r="K72" s="272"/>
      <c r="L72" s="270"/>
      <c r="M72" s="308"/>
      <c r="N72" s="310"/>
      <c r="O72" s="306"/>
      <c r="P72" s="84" t="str">
        <f t="shared" si="15"/>
        <v/>
      </c>
      <c r="Q72" s="84" t="str">
        <f t="shared" si="1"/>
        <v/>
      </c>
      <c r="R72" s="93" t="str">
        <f t="shared" si="2"/>
        <v/>
      </c>
      <c r="S72" s="100" t="str">
        <f t="shared" si="3"/>
        <v/>
      </c>
      <c r="T72" s="95" t="str">
        <f t="shared" si="4"/>
        <v/>
      </c>
      <c r="U72" s="95" t="str">
        <f t="shared" si="5"/>
        <v/>
      </c>
      <c r="V72" s="96" t="str">
        <f>IFERROR(S72*T72*Assumptions!$B$15/3956,"")</f>
        <v/>
      </c>
      <c r="W72" s="102" t="str">
        <f t="shared" si="6"/>
        <v/>
      </c>
      <c r="X72" s="95" t="str">
        <f t="shared" si="7"/>
        <v/>
      </c>
      <c r="Y72" s="95" t="str">
        <f t="shared" si="8"/>
        <v/>
      </c>
      <c r="Z72" s="96" t="str">
        <f>IFERROR(W72*X72*Assumptions!$B$15/3956,"")</f>
        <v/>
      </c>
      <c r="AA72" s="100" t="str">
        <f t="shared" si="9"/>
        <v/>
      </c>
      <c r="AB72" s="95" t="str">
        <f t="shared" si="10"/>
        <v/>
      </c>
      <c r="AC72" s="95" t="str">
        <f t="shared" si="11"/>
        <v/>
      </c>
      <c r="AD72" s="96" t="str">
        <f>IFERROR(AA72*AB72*Assumptions!$B$15/3956,"")</f>
        <v/>
      </c>
      <c r="AE72" s="244" t="str">
        <f>IFERROR(
IF(C72="VTS",
IF(O72&gt;=AVERAGE(
INDEX(Assumptions!$I$38:$I$57,MATCH(O72,Assumptions!$I$38:$I$57,-1)),
INDEX(Assumptions!$I$38:$I$57,MATCH(O72,Assumptions!$I$38:$I$57,-1)+1)),
INDEX(Assumptions!$I$38:$I$57,MATCH(O72,Assumptions!$I$38:$I$57,-1)),
INDEX(Assumptions!$I$38:$I$57,MATCH(O72,Assumptions!$I$38:$I$57,-1)+1)),
IF(O72&gt;=AVERAGE(
INDEX(Assumptions!$I$13:$I$32,MATCH(O72,Assumptions!$I$13:$I$32,-1)),
INDEX(Assumptions!$I$13:$I$32,MATCH(O72,Assumptions!$I$13:$I$32,-1)+1)),
INDEX(Assumptions!$I$13:$I$32,MATCH(O72,Assumptions!$I$13:$I$32,-1)),
INDEX(Assumptions!$I$13:$I$32,MATCH(O72,Assumptions!$I$13:$I$32,-1)+1))),
"")</f>
        <v/>
      </c>
      <c r="AF72" s="95" t="str">
        <f>IFERROR(
IF(C72="VTS",
VLOOKUP(AE72,Assumptions!$I$38:$K$57,MATCH(P72,Assumptions!$I$37:$K$37,0),FALSE),
VLOOKUP(AE72,Assumptions!$I$13:$K$32,MATCH(P72,Assumptions!$I$12:$K$12,0),FALSE)),
"")</f>
        <v/>
      </c>
      <c r="AG72" s="95" t="str">
        <f t="shared" si="12"/>
        <v/>
      </c>
      <c r="AH72" s="95" t="str">
        <f>IFERROR(AG72*
(Assumptions!$S$7*(V72/(AK72*Assumptions!$AB$9/100)/O72)^3+
Assumptions!$S$8*(V72/(AK72*Assumptions!$AB$9/100)/O72)^2+
Assumptions!$S$9*(V72/(AK72*Assumptions!$AB$9/100)/O72)+
Assumptions!$S$10),"")</f>
        <v/>
      </c>
      <c r="AI72" s="95" t="str">
        <f>IFERROR(AG72*
(Assumptions!$S$7*(Z72/(AK72*Assumptions!$AB$8/100)/O72)^3+
Assumptions!$S$8*(Z72/(AK72*Assumptions!$AB$8/100)/O72)^2+
Assumptions!$S$9*(Z72/(AK72*Assumptions!$AB$8/100)/O72)+
Assumptions!$S$10),"")</f>
        <v/>
      </c>
      <c r="AJ72" s="95" t="str">
        <f>IFERROR(AG72*
(Assumptions!$S$7*(AD72/(AK72*Assumptions!$AB$10/100)/O72)^3+
Assumptions!$S$8*(AD72/(AK72*Assumptions!$AB$10/100)/O72)^2+
Assumptions!$S$9*(AD72/(AK72*Assumptions!$AB$10/100)/O72)+
Assumptions!$S$10),"")</f>
        <v/>
      </c>
      <c r="AK72" s="95" t="str">
        <f>IFERROR(
Assumptions!$AD$8*LN(S72)^2+
Assumptions!$AE$8*LN(R72)*LN(S72)+
Assumptions!$AF$8*LN(R72)^2+
Assumptions!$AG$8*LN(S72)+
Assumptions!$AH$8*LN(R72)-
(IF(Q72=1800,
VLOOKUP(C72,Assumptions!$AA$13:$AC$17,3),
IF(Q72=3600,
VLOOKUP(C72,Assumptions!$AA$18:$AC$22,3),
""))+Assumptions!$AI$8),
"")</f>
        <v/>
      </c>
      <c r="AL72" s="96" t="str">
        <f>IFERROR(
Assumptions!$D$11*(V72/(Assumptions!$AB$9*AK72/100)+AH72)+
Assumptions!$D$10*(Z72/(Assumptions!$AB$8*AK72/100)+AI72)+
Assumptions!$D$12*(AD72/(Assumptions!$AB$10*AK72/100)+AJ72),
"")</f>
        <v/>
      </c>
      <c r="AM72" s="67" t="str">
        <f>IFERROR(
U72*Assumptions!$D$11+
Y72*Assumptions!$D$10+
AC72*Assumptions!$D$12,
"")</f>
        <v/>
      </c>
      <c r="AN72" s="77" t="str">
        <f t="shared" si="13"/>
        <v/>
      </c>
      <c r="AO72" s="30" t="str">
        <f t="shared" si="14"/>
        <v/>
      </c>
    </row>
    <row r="73" spans="1:41" x14ac:dyDescent="0.25">
      <c r="A73" s="264"/>
      <c r="B73" s="265"/>
      <c r="C73" s="265"/>
      <c r="D73" s="265"/>
      <c r="E73" s="266"/>
      <c r="F73" s="270"/>
      <c r="G73" s="271"/>
      <c r="H73" s="272"/>
      <c r="I73" s="270"/>
      <c r="J73" s="308"/>
      <c r="K73" s="272"/>
      <c r="L73" s="270"/>
      <c r="M73" s="308"/>
      <c r="N73" s="310"/>
      <c r="O73" s="306"/>
      <c r="P73" s="84" t="str">
        <f t="shared" si="15"/>
        <v/>
      </c>
      <c r="Q73" s="84" t="str">
        <f t="shared" si="1"/>
        <v/>
      </c>
      <c r="R73" s="93" t="str">
        <f t="shared" si="2"/>
        <v/>
      </c>
      <c r="S73" s="100" t="str">
        <f t="shared" si="3"/>
        <v/>
      </c>
      <c r="T73" s="95" t="str">
        <f t="shared" si="4"/>
        <v/>
      </c>
      <c r="U73" s="95" t="str">
        <f t="shared" si="5"/>
        <v/>
      </c>
      <c r="V73" s="96" t="str">
        <f>IFERROR(S73*T73*Assumptions!$B$15/3956,"")</f>
        <v/>
      </c>
      <c r="W73" s="102" t="str">
        <f t="shared" si="6"/>
        <v/>
      </c>
      <c r="X73" s="95" t="str">
        <f t="shared" si="7"/>
        <v/>
      </c>
      <c r="Y73" s="95" t="str">
        <f t="shared" si="8"/>
        <v/>
      </c>
      <c r="Z73" s="96" t="str">
        <f>IFERROR(W73*X73*Assumptions!$B$15/3956,"")</f>
        <v/>
      </c>
      <c r="AA73" s="100" t="str">
        <f t="shared" si="9"/>
        <v/>
      </c>
      <c r="AB73" s="95" t="str">
        <f t="shared" si="10"/>
        <v/>
      </c>
      <c r="AC73" s="95" t="str">
        <f t="shared" si="11"/>
        <v/>
      </c>
      <c r="AD73" s="96" t="str">
        <f>IFERROR(AA73*AB73*Assumptions!$B$15/3956,"")</f>
        <v/>
      </c>
      <c r="AE73" s="244" t="str">
        <f>IFERROR(
IF(C73="VTS",
IF(O73&gt;=AVERAGE(
INDEX(Assumptions!$I$38:$I$57,MATCH(O73,Assumptions!$I$38:$I$57,-1)),
INDEX(Assumptions!$I$38:$I$57,MATCH(O73,Assumptions!$I$38:$I$57,-1)+1)),
INDEX(Assumptions!$I$38:$I$57,MATCH(O73,Assumptions!$I$38:$I$57,-1)),
INDEX(Assumptions!$I$38:$I$57,MATCH(O73,Assumptions!$I$38:$I$57,-1)+1)),
IF(O73&gt;=AVERAGE(
INDEX(Assumptions!$I$13:$I$32,MATCH(O73,Assumptions!$I$13:$I$32,-1)),
INDEX(Assumptions!$I$13:$I$32,MATCH(O73,Assumptions!$I$13:$I$32,-1)+1)),
INDEX(Assumptions!$I$13:$I$32,MATCH(O73,Assumptions!$I$13:$I$32,-1)),
INDEX(Assumptions!$I$13:$I$32,MATCH(O73,Assumptions!$I$13:$I$32,-1)+1))),
"")</f>
        <v/>
      </c>
      <c r="AF73" s="95" t="str">
        <f>IFERROR(
IF(C73="VTS",
VLOOKUP(AE73,Assumptions!$I$38:$K$57,MATCH(P73,Assumptions!$I$37:$K$37,0),FALSE),
VLOOKUP(AE73,Assumptions!$I$13:$K$32,MATCH(P73,Assumptions!$I$12:$K$12,0),FALSE)),
"")</f>
        <v/>
      </c>
      <c r="AG73" s="95" t="str">
        <f t="shared" si="12"/>
        <v/>
      </c>
      <c r="AH73" s="95" t="str">
        <f>IFERROR(AG73*
(Assumptions!$S$7*(V73/(AK73*Assumptions!$AB$9/100)/O73)^3+
Assumptions!$S$8*(V73/(AK73*Assumptions!$AB$9/100)/O73)^2+
Assumptions!$S$9*(V73/(AK73*Assumptions!$AB$9/100)/O73)+
Assumptions!$S$10),"")</f>
        <v/>
      </c>
      <c r="AI73" s="95" t="str">
        <f>IFERROR(AG73*
(Assumptions!$S$7*(Z73/(AK73*Assumptions!$AB$8/100)/O73)^3+
Assumptions!$S$8*(Z73/(AK73*Assumptions!$AB$8/100)/O73)^2+
Assumptions!$S$9*(Z73/(AK73*Assumptions!$AB$8/100)/O73)+
Assumptions!$S$10),"")</f>
        <v/>
      </c>
      <c r="AJ73" s="95" t="str">
        <f>IFERROR(AG73*
(Assumptions!$S$7*(AD73/(AK73*Assumptions!$AB$10/100)/O73)^3+
Assumptions!$S$8*(AD73/(AK73*Assumptions!$AB$10/100)/O73)^2+
Assumptions!$S$9*(AD73/(AK73*Assumptions!$AB$10/100)/O73)+
Assumptions!$S$10),"")</f>
        <v/>
      </c>
      <c r="AK73" s="95" t="str">
        <f>IFERROR(
Assumptions!$AD$8*LN(S73)^2+
Assumptions!$AE$8*LN(R73)*LN(S73)+
Assumptions!$AF$8*LN(R73)^2+
Assumptions!$AG$8*LN(S73)+
Assumptions!$AH$8*LN(R73)-
(IF(Q73=1800,
VLOOKUP(C73,Assumptions!$AA$13:$AC$17,3),
IF(Q73=3600,
VLOOKUP(C73,Assumptions!$AA$18:$AC$22,3),
""))+Assumptions!$AI$8),
"")</f>
        <v/>
      </c>
      <c r="AL73" s="96" t="str">
        <f>IFERROR(
Assumptions!$D$11*(V73/(Assumptions!$AB$9*AK73/100)+AH73)+
Assumptions!$D$10*(Z73/(Assumptions!$AB$8*AK73/100)+AI73)+
Assumptions!$D$12*(AD73/(Assumptions!$AB$10*AK73/100)+AJ73),
"")</f>
        <v/>
      </c>
      <c r="AM73" s="67" t="str">
        <f>IFERROR(
U73*Assumptions!$D$11+
Y73*Assumptions!$D$10+
AC73*Assumptions!$D$12,
"")</f>
        <v/>
      </c>
      <c r="AN73" s="77" t="str">
        <f t="shared" si="13"/>
        <v/>
      </c>
      <c r="AO73" s="30" t="str">
        <f t="shared" si="14"/>
        <v/>
      </c>
    </row>
    <row r="74" spans="1:41" x14ac:dyDescent="0.25">
      <c r="A74" s="264"/>
      <c r="B74" s="265"/>
      <c r="C74" s="265"/>
      <c r="D74" s="265"/>
      <c r="E74" s="266"/>
      <c r="F74" s="270"/>
      <c r="G74" s="271"/>
      <c r="H74" s="272"/>
      <c r="I74" s="270"/>
      <c r="J74" s="308"/>
      <c r="K74" s="272"/>
      <c r="L74" s="270"/>
      <c r="M74" s="308"/>
      <c r="N74" s="310"/>
      <c r="O74" s="306"/>
      <c r="P74" s="84" t="str">
        <f t="shared" ref="P74:P109" si="16">IF(AND(E74&gt;=1440,E74&lt;=2160),4,IF(AND(E74&gt;=2880,E74&lt;=4320),2,""))</f>
        <v/>
      </c>
      <c r="Q74" s="84" t="str">
        <f t="shared" si="1"/>
        <v/>
      </c>
      <c r="R74" s="93" t="str">
        <f t="shared" si="2"/>
        <v/>
      </c>
      <c r="S74" s="100" t="str">
        <f t="shared" si="3"/>
        <v/>
      </c>
      <c r="T74" s="95" t="str">
        <f t="shared" si="4"/>
        <v/>
      </c>
      <c r="U74" s="95" t="str">
        <f t="shared" si="5"/>
        <v/>
      </c>
      <c r="V74" s="96" t="str">
        <f>IFERROR(S74*T74*Assumptions!$B$15/3956,"")</f>
        <v/>
      </c>
      <c r="W74" s="102" t="str">
        <f t="shared" si="6"/>
        <v/>
      </c>
      <c r="X74" s="95" t="str">
        <f t="shared" si="7"/>
        <v/>
      </c>
      <c r="Y74" s="95" t="str">
        <f t="shared" si="8"/>
        <v/>
      </c>
      <c r="Z74" s="96" t="str">
        <f>IFERROR(W74*X74*Assumptions!$B$15/3956,"")</f>
        <v/>
      </c>
      <c r="AA74" s="100" t="str">
        <f t="shared" si="9"/>
        <v/>
      </c>
      <c r="AB74" s="95" t="str">
        <f t="shared" si="10"/>
        <v/>
      </c>
      <c r="AC74" s="95" t="str">
        <f t="shared" si="11"/>
        <v/>
      </c>
      <c r="AD74" s="96" t="str">
        <f>IFERROR(AA74*AB74*Assumptions!$B$15/3956,"")</f>
        <v/>
      </c>
      <c r="AE74" s="244" t="str">
        <f>IFERROR(
IF(C74="VTS",
IF(O74&gt;=AVERAGE(
INDEX(Assumptions!$I$38:$I$57,MATCH(O74,Assumptions!$I$38:$I$57,-1)),
INDEX(Assumptions!$I$38:$I$57,MATCH(O74,Assumptions!$I$38:$I$57,-1)+1)),
INDEX(Assumptions!$I$38:$I$57,MATCH(O74,Assumptions!$I$38:$I$57,-1)),
INDEX(Assumptions!$I$38:$I$57,MATCH(O74,Assumptions!$I$38:$I$57,-1)+1)),
IF(O74&gt;=AVERAGE(
INDEX(Assumptions!$I$13:$I$32,MATCH(O74,Assumptions!$I$13:$I$32,-1)),
INDEX(Assumptions!$I$13:$I$32,MATCH(O74,Assumptions!$I$13:$I$32,-1)+1)),
INDEX(Assumptions!$I$13:$I$32,MATCH(O74,Assumptions!$I$13:$I$32,-1)),
INDEX(Assumptions!$I$13:$I$32,MATCH(O74,Assumptions!$I$13:$I$32,-1)+1))),
"")</f>
        <v/>
      </c>
      <c r="AF74" s="95" t="str">
        <f>IFERROR(
IF(C74="VTS",
VLOOKUP(AE74,Assumptions!$I$38:$K$57,MATCH(P74,Assumptions!$I$37:$K$37,0),FALSE),
VLOOKUP(AE74,Assumptions!$I$13:$K$32,MATCH(P74,Assumptions!$I$12:$K$12,0),FALSE)),
"")</f>
        <v/>
      </c>
      <c r="AG74" s="95" t="str">
        <f t="shared" si="12"/>
        <v/>
      </c>
      <c r="AH74" s="95" t="str">
        <f>IFERROR(AG74*
(Assumptions!$S$7*(V74/(AK74*Assumptions!$AB$9/100)/O74)^3+
Assumptions!$S$8*(V74/(AK74*Assumptions!$AB$9/100)/O74)^2+
Assumptions!$S$9*(V74/(AK74*Assumptions!$AB$9/100)/O74)+
Assumptions!$S$10),"")</f>
        <v/>
      </c>
      <c r="AI74" s="95" t="str">
        <f>IFERROR(AG74*
(Assumptions!$S$7*(Z74/(AK74*Assumptions!$AB$8/100)/O74)^3+
Assumptions!$S$8*(Z74/(AK74*Assumptions!$AB$8/100)/O74)^2+
Assumptions!$S$9*(Z74/(AK74*Assumptions!$AB$8/100)/O74)+
Assumptions!$S$10),"")</f>
        <v/>
      </c>
      <c r="AJ74" s="95" t="str">
        <f>IFERROR(AG74*
(Assumptions!$S$7*(AD74/(AK74*Assumptions!$AB$10/100)/O74)^3+
Assumptions!$S$8*(AD74/(AK74*Assumptions!$AB$10/100)/O74)^2+
Assumptions!$S$9*(AD74/(AK74*Assumptions!$AB$10/100)/O74)+
Assumptions!$S$10),"")</f>
        <v/>
      </c>
      <c r="AK74" s="95" t="str">
        <f>IFERROR(
Assumptions!$AD$8*LN(S74)^2+
Assumptions!$AE$8*LN(R74)*LN(S74)+
Assumptions!$AF$8*LN(R74)^2+
Assumptions!$AG$8*LN(S74)+
Assumptions!$AH$8*LN(R74)-
(IF(Q74=1800,
VLOOKUP(C74,Assumptions!$AA$13:$AC$17,3),
IF(Q74=3600,
VLOOKUP(C74,Assumptions!$AA$18:$AC$22,3),
""))+Assumptions!$AI$8),
"")</f>
        <v/>
      </c>
      <c r="AL74" s="96" t="str">
        <f>IFERROR(
Assumptions!$D$11*(V74/(Assumptions!$AB$9*AK74/100)+AH74)+
Assumptions!$D$10*(Z74/(Assumptions!$AB$8*AK74/100)+AI74)+
Assumptions!$D$12*(AD74/(Assumptions!$AB$10*AK74/100)+AJ74),
"")</f>
        <v/>
      </c>
      <c r="AM74" s="67" t="str">
        <f>IFERROR(
U74*Assumptions!$D$11+
Y74*Assumptions!$D$10+
AC74*Assumptions!$D$12,
"")</f>
        <v/>
      </c>
      <c r="AN74" s="77" t="str">
        <f t="shared" si="13"/>
        <v/>
      </c>
      <c r="AO74" s="30" t="str">
        <f t="shared" si="14"/>
        <v/>
      </c>
    </row>
    <row r="75" spans="1:41" x14ac:dyDescent="0.25">
      <c r="A75" s="264"/>
      <c r="B75" s="265"/>
      <c r="C75" s="265"/>
      <c r="D75" s="265"/>
      <c r="E75" s="266"/>
      <c r="F75" s="270"/>
      <c r="G75" s="271"/>
      <c r="H75" s="272"/>
      <c r="I75" s="270"/>
      <c r="J75" s="308"/>
      <c r="K75" s="272"/>
      <c r="L75" s="270"/>
      <c r="M75" s="308"/>
      <c r="N75" s="310"/>
      <c r="O75" s="306"/>
      <c r="P75" s="84" t="str">
        <f t="shared" si="16"/>
        <v/>
      </c>
      <c r="Q75" s="84" t="str">
        <f t="shared" ref="Q75:Q109" si="17">IF(P75=4,1800,IF(P75=2,3600,""))</f>
        <v/>
      </c>
      <c r="R75" s="93" t="str">
        <f t="shared" ref="R75:R109" si="18">IFERROR(Q75*S75^0.5/(T75/D75)^0.75,"")</f>
        <v/>
      </c>
      <c r="S75" s="100" t="str">
        <f t="shared" ref="S75:S109" si="19">IFERROR(F75*(Q75/E75),"")</f>
        <v/>
      </c>
      <c r="T75" s="95" t="str">
        <f t="shared" ref="T75:T109" si="20">IFERROR(G75*(Q75/E75)^2,"")</f>
        <v/>
      </c>
      <c r="U75" s="95" t="str">
        <f t="shared" ref="U75:U109" si="21">IFERROR(H75*(Q75/E75)^3,"")</f>
        <v/>
      </c>
      <c r="V75" s="96" t="str">
        <f>IFERROR(S75*T75*Assumptions!$B$15/3956,"")</f>
        <v/>
      </c>
      <c r="W75" s="102" t="str">
        <f t="shared" ref="W75:W109" si="22">IFERROR(I75*(Q75/E75),"")</f>
        <v/>
      </c>
      <c r="X75" s="95" t="str">
        <f t="shared" ref="X75:X109" si="23">IFERROR(J75*(Q75/E75)^2,"")</f>
        <v/>
      </c>
      <c r="Y75" s="95" t="str">
        <f t="shared" ref="Y75:Y109" si="24">IFERROR(K75*(Q75/E75)^3,"")</f>
        <v/>
      </c>
      <c r="Z75" s="96" t="str">
        <f>IFERROR(W75*X75*Assumptions!$B$15/3956,"")</f>
        <v/>
      </c>
      <c r="AA75" s="100" t="str">
        <f t="shared" ref="AA75:AA109" si="25">IFERROR(L75*(Q75/E75),"")</f>
        <v/>
      </c>
      <c r="AB75" s="95" t="str">
        <f t="shared" ref="AB75:AB109" si="26">IFERROR(M75*(Q75/E75)^2,"")</f>
        <v/>
      </c>
      <c r="AC75" s="95" t="str">
        <f t="shared" ref="AC75:AC109" si="27">IFERROR(N75*(Q75/E75)^3,"")</f>
        <v/>
      </c>
      <c r="AD75" s="96" t="str">
        <f>IFERROR(AA75*AB75*Assumptions!$B$15/3956,"")</f>
        <v/>
      </c>
      <c r="AE75" s="244" t="str">
        <f>IFERROR(
IF(C75="VTS",
IF(O75&gt;=AVERAGE(
INDEX(Assumptions!$I$38:$I$57,MATCH(O75,Assumptions!$I$38:$I$57,-1)),
INDEX(Assumptions!$I$38:$I$57,MATCH(O75,Assumptions!$I$38:$I$57,-1)+1)),
INDEX(Assumptions!$I$38:$I$57,MATCH(O75,Assumptions!$I$38:$I$57,-1)),
INDEX(Assumptions!$I$38:$I$57,MATCH(O75,Assumptions!$I$38:$I$57,-1)+1)),
IF(O75&gt;=AVERAGE(
INDEX(Assumptions!$I$13:$I$32,MATCH(O75,Assumptions!$I$13:$I$32,-1)),
INDEX(Assumptions!$I$13:$I$32,MATCH(O75,Assumptions!$I$13:$I$32,-1)+1)),
INDEX(Assumptions!$I$13:$I$32,MATCH(O75,Assumptions!$I$13:$I$32,-1)),
INDEX(Assumptions!$I$13:$I$32,MATCH(O75,Assumptions!$I$13:$I$32,-1)+1))),
"")</f>
        <v/>
      </c>
      <c r="AF75" s="95" t="str">
        <f>IFERROR(
IF(C75="VTS",
VLOOKUP(AE75,Assumptions!$I$38:$K$57,MATCH(P75,Assumptions!$I$37:$K$37,0),FALSE),
VLOOKUP(AE75,Assumptions!$I$13:$K$32,MATCH(P75,Assumptions!$I$12:$K$12,0),FALSE)),
"")</f>
        <v/>
      </c>
      <c r="AG75" s="95" t="str">
        <f t="shared" ref="AG75:AG109" si="28">IFERROR(O75/(AF75/100)-O75,"")</f>
        <v/>
      </c>
      <c r="AH75" s="95" t="str">
        <f>IFERROR(AG75*
(Assumptions!$S$7*(V75/(AK75*Assumptions!$AB$9/100)/O75)^3+
Assumptions!$S$8*(V75/(AK75*Assumptions!$AB$9/100)/O75)^2+
Assumptions!$S$9*(V75/(AK75*Assumptions!$AB$9/100)/O75)+
Assumptions!$S$10),"")</f>
        <v/>
      </c>
      <c r="AI75" s="95" t="str">
        <f>IFERROR(AG75*
(Assumptions!$S$7*(Z75/(AK75*Assumptions!$AB$8/100)/O75)^3+
Assumptions!$S$8*(Z75/(AK75*Assumptions!$AB$8/100)/O75)^2+
Assumptions!$S$9*(Z75/(AK75*Assumptions!$AB$8/100)/O75)+
Assumptions!$S$10),"")</f>
        <v/>
      </c>
      <c r="AJ75" s="95" t="str">
        <f>IFERROR(AG75*
(Assumptions!$S$7*(AD75/(AK75*Assumptions!$AB$10/100)/O75)^3+
Assumptions!$S$8*(AD75/(AK75*Assumptions!$AB$10/100)/O75)^2+
Assumptions!$S$9*(AD75/(AK75*Assumptions!$AB$10/100)/O75)+
Assumptions!$S$10),"")</f>
        <v/>
      </c>
      <c r="AK75" s="95" t="str">
        <f>IFERROR(
Assumptions!$AD$8*LN(S75)^2+
Assumptions!$AE$8*LN(R75)*LN(S75)+
Assumptions!$AF$8*LN(R75)^2+
Assumptions!$AG$8*LN(S75)+
Assumptions!$AH$8*LN(R75)-
(IF(Q75=1800,
VLOOKUP(C75,Assumptions!$AA$13:$AC$17,3),
IF(Q75=3600,
VLOOKUP(C75,Assumptions!$AA$18:$AC$22,3),
""))+Assumptions!$AI$8),
"")</f>
        <v/>
      </c>
      <c r="AL75" s="96" t="str">
        <f>IFERROR(
Assumptions!$D$11*(V75/(Assumptions!$AB$9*AK75/100)+AH75)+
Assumptions!$D$10*(Z75/(Assumptions!$AB$8*AK75/100)+AI75)+
Assumptions!$D$12*(AD75/(Assumptions!$AB$10*AK75/100)+AJ75),
"")</f>
        <v/>
      </c>
      <c r="AM75" s="67" t="str">
        <f>IFERROR(
U75*Assumptions!$D$11+
Y75*Assumptions!$D$10+
AC75*Assumptions!$D$12,
"")</f>
        <v/>
      </c>
      <c r="AN75" s="77" t="str">
        <f t="shared" ref="AN75:AN107" si="29">IFERROR(AM75/AL75,"")</f>
        <v/>
      </c>
      <c r="AO75" s="30" t="str">
        <f t="shared" ref="AO75:AO109" si="30">IF(AN75="","",IF(AN75&gt;1,"FAIL","PASS"))</f>
        <v/>
      </c>
    </row>
    <row r="76" spans="1:41" x14ac:dyDescent="0.25">
      <c r="A76" s="264"/>
      <c r="B76" s="265"/>
      <c r="C76" s="265"/>
      <c r="D76" s="265"/>
      <c r="E76" s="266"/>
      <c r="F76" s="270"/>
      <c r="G76" s="271"/>
      <c r="H76" s="272"/>
      <c r="I76" s="270"/>
      <c r="J76" s="308"/>
      <c r="K76" s="272"/>
      <c r="L76" s="270"/>
      <c r="M76" s="308"/>
      <c r="N76" s="310"/>
      <c r="O76" s="306"/>
      <c r="P76" s="84" t="str">
        <f t="shared" si="16"/>
        <v/>
      </c>
      <c r="Q76" s="84" t="str">
        <f t="shared" si="17"/>
        <v/>
      </c>
      <c r="R76" s="93" t="str">
        <f t="shared" si="18"/>
        <v/>
      </c>
      <c r="S76" s="100" t="str">
        <f t="shared" si="19"/>
        <v/>
      </c>
      <c r="T76" s="95" t="str">
        <f t="shared" si="20"/>
        <v/>
      </c>
      <c r="U76" s="95" t="str">
        <f t="shared" si="21"/>
        <v/>
      </c>
      <c r="V76" s="96" t="str">
        <f>IFERROR(S76*T76*Assumptions!$B$15/3956,"")</f>
        <v/>
      </c>
      <c r="W76" s="102" t="str">
        <f t="shared" si="22"/>
        <v/>
      </c>
      <c r="X76" s="95" t="str">
        <f t="shared" si="23"/>
        <v/>
      </c>
      <c r="Y76" s="95" t="str">
        <f t="shared" si="24"/>
        <v/>
      </c>
      <c r="Z76" s="96" t="str">
        <f>IFERROR(W76*X76*Assumptions!$B$15/3956,"")</f>
        <v/>
      </c>
      <c r="AA76" s="100" t="str">
        <f t="shared" si="25"/>
        <v/>
      </c>
      <c r="AB76" s="95" t="str">
        <f t="shared" si="26"/>
        <v/>
      </c>
      <c r="AC76" s="95" t="str">
        <f t="shared" si="27"/>
        <v/>
      </c>
      <c r="AD76" s="96" t="str">
        <f>IFERROR(AA76*AB76*Assumptions!$B$15/3956,"")</f>
        <v/>
      </c>
      <c r="AE76" s="244" t="str">
        <f>IFERROR(
IF(C76="VTS",
IF(O76&gt;=AVERAGE(
INDEX(Assumptions!$I$38:$I$57,MATCH(O76,Assumptions!$I$38:$I$57,-1)),
INDEX(Assumptions!$I$38:$I$57,MATCH(O76,Assumptions!$I$38:$I$57,-1)+1)),
INDEX(Assumptions!$I$38:$I$57,MATCH(O76,Assumptions!$I$38:$I$57,-1)),
INDEX(Assumptions!$I$38:$I$57,MATCH(O76,Assumptions!$I$38:$I$57,-1)+1)),
IF(O76&gt;=AVERAGE(
INDEX(Assumptions!$I$13:$I$32,MATCH(O76,Assumptions!$I$13:$I$32,-1)),
INDEX(Assumptions!$I$13:$I$32,MATCH(O76,Assumptions!$I$13:$I$32,-1)+1)),
INDEX(Assumptions!$I$13:$I$32,MATCH(O76,Assumptions!$I$13:$I$32,-1)),
INDEX(Assumptions!$I$13:$I$32,MATCH(O76,Assumptions!$I$13:$I$32,-1)+1))),
"")</f>
        <v/>
      </c>
      <c r="AF76" s="95" t="str">
        <f>IFERROR(
IF(C76="VTS",
VLOOKUP(AE76,Assumptions!$I$38:$K$57,MATCH(P76,Assumptions!$I$37:$K$37,0),FALSE),
VLOOKUP(AE76,Assumptions!$I$13:$K$32,MATCH(P76,Assumptions!$I$12:$K$12,0),FALSE)),
"")</f>
        <v/>
      </c>
      <c r="AG76" s="95" t="str">
        <f t="shared" si="28"/>
        <v/>
      </c>
      <c r="AH76" s="95" t="str">
        <f>IFERROR(AG76*
(Assumptions!$S$7*(V76/(AK76*Assumptions!$AB$9/100)/O76)^3+
Assumptions!$S$8*(V76/(AK76*Assumptions!$AB$9/100)/O76)^2+
Assumptions!$S$9*(V76/(AK76*Assumptions!$AB$9/100)/O76)+
Assumptions!$S$10),"")</f>
        <v/>
      </c>
      <c r="AI76" s="95" t="str">
        <f>IFERROR(AG76*
(Assumptions!$S$7*(Z76/(AK76*Assumptions!$AB$8/100)/O76)^3+
Assumptions!$S$8*(Z76/(AK76*Assumptions!$AB$8/100)/O76)^2+
Assumptions!$S$9*(Z76/(AK76*Assumptions!$AB$8/100)/O76)+
Assumptions!$S$10),"")</f>
        <v/>
      </c>
      <c r="AJ76" s="95" t="str">
        <f>IFERROR(AG76*
(Assumptions!$S$7*(AD76/(AK76*Assumptions!$AB$10/100)/O76)^3+
Assumptions!$S$8*(AD76/(AK76*Assumptions!$AB$10/100)/O76)^2+
Assumptions!$S$9*(AD76/(AK76*Assumptions!$AB$10/100)/O76)+
Assumptions!$S$10),"")</f>
        <v/>
      </c>
      <c r="AK76" s="95" t="str">
        <f>IFERROR(
Assumptions!$AD$8*LN(S76)^2+
Assumptions!$AE$8*LN(R76)*LN(S76)+
Assumptions!$AF$8*LN(R76)^2+
Assumptions!$AG$8*LN(S76)+
Assumptions!$AH$8*LN(R76)-
(IF(Q76=1800,
VLOOKUP(C76,Assumptions!$AA$13:$AC$17,3),
IF(Q76=3600,
VLOOKUP(C76,Assumptions!$AA$18:$AC$22,3),
""))+Assumptions!$AI$8),
"")</f>
        <v/>
      </c>
      <c r="AL76" s="96" t="str">
        <f>IFERROR(
Assumptions!$D$11*(V76/(Assumptions!$AB$9*AK76/100)+AH76)+
Assumptions!$D$10*(Z76/(Assumptions!$AB$8*AK76/100)+AI76)+
Assumptions!$D$12*(AD76/(Assumptions!$AB$10*AK76/100)+AJ76),
"")</f>
        <v/>
      </c>
      <c r="AM76" s="67" t="str">
        <f>IFERROR(
U76*Assumptions!$D$11+
Y76*Assumptions!$D$10+
AC76*Assumptions!$D$12,
"")</f>
        <v/>
      </c>
      <c r="AN76" s="77" t="str">
        <f t="shared" si="29"/>
        <v/>
      </c>
      <c r="AO76" s="30" t="str">
        <f t="shared" si="30"/>
        <v/>
      </c>
    </row>
    <row r="77" spans="1:41" x14ac:dyDescent="0.25">
      <c r="A77" s="264"/>
      <c r="B77" s="265"/>
      <c r="C77" s="265"/>
      <c r="D77" s="265"/>
      <c r="E77" s="266"/>
      <c r="F77" s="270"/>
      <c r="G77" s="271"/>
      <c r="H77" s="272"/>
      <c r="I77" s="270"/>
      <c r="J77" s="308"/>
      <c r="K77" s="272"/>
      <c r="L77" s="270"/>
      <c r="M77" s="308"/>
      <c r="N77" s="310"/>
      <c r="O77" s="306"/>
      <c r="P77" s="84" t="str">
        <f t="shared" si="16"/>
        <v/>
      </c>
      <c r="Q77" s="84" t="str">
        <f t="shared" si="17"/>
        <v/>
      </c>
      <c r="R77" s="93" t="str">
        <f t="shared" si="18"/>
        <v/>
      </c>
      <c r="S77" s="100" t="str">
        <f t="shared" si="19"/>
        <v/>
      </c>
      <c r="T77" s="95" t="str">
        <f t="shared" si="20"/>
        <v/>
      </c>
      <c r="U77" s="95" t="str">
        <f t="shared" si="21"/>
        <v/>
      </c>
      <c r="V77" s="96" t="str">
        <f>IFERROR(S77*T77*Assumptions!$B$15/3956,"")</f>
        <v/>
      </c>
      <c r="W77" s="102" t="str">
        <f t="shared" si="22"/>
        <v/>
      </c>
      <c r="X77" s="95" t="str">
        <f t="shared" si="23"/>
        <v/>
      </c>
      <c r="Y77" s="95" t="str">
        <f t="shared" si="24"/>
        <v/>
      </c>
      <c r="Z77" s="96" t="str">
        <f>IFERROR(W77*X77*Assumptions!$B$15/3956,"")</f>
        <v/>
      </c>
      <c r="AA77" s="100" t="str">
        <f t="shared" si="25"/>
        <v/>
      </c>
      <c r="AB77" s="95" t="str">
        <f t="shared" si="26"/>
        <v/>
      </c>
      <c r="AC77" s="95" t="str">
        <f t="shared" si="27"/>
        <v/>
      </c>
      <c r="AD77" s="96" t="str">
        <f>IFERROR(AA77*AB77*Assumptions!$B$15/3956,"")</f>
        <v/>
      </c>
      <c r="AE77" s="244" t="str">
        <f>IFERROR(
IF(C77="VTS",
IF(O77&gt;=AVERAGE(
INDEX(Assumptions!$I$38:$I$57,MATCH(O77,Assumptions!$I$38:$I$57,-1)),
INDEX(Assumptions!$I$38:$I$57,MATCH(O77,Assumptions!$I$38:$I$57,-1)+1)),
INDEX(Assumptions!$I$38:$I$57,MATCH(O77,Assumptions!$I$38:$I$57,-1)),
INDEX(Assumptions!$I$38:$I$57,MATCH(O77,Assumptions!$I$38:$I$57,-1)+1)),
IF(O77&gt;=AVERAGE(
INDEX(Assumptions!$I$13:$I$32,MATCH(O77,Assumptions!$I$13:$I$32,-1)),
INDEX(Assumptions!$I$13:$I$32,MATCH(O77,Assumptions!$I$13:$I$32,-1)+1)),
INDEX(Assumptions!$I$13:$I$32,MATCH(O77,Assumptions!$I$13:$I$32,-1)),
INDEX(Assumptions!$I$13:$I$32,MATCH(O77,Assumptions!$I$13:$I$32,-1)+1))),
"")</f>
        <v/>
      </c>
      <c r="AF77" s="95" t="str">
        <f>IFERROR(
IF(C77="VTS",
VLOOKUP(AE77,Assumptions!$I$38:$K$57,MATCH(P77,Assumptions!$I$37:$K$37,0),FALSE),
VLOOKUP(AE77,Assumptions!$I$13:$K$32,MATCH(P77,Assumptions!$I$12:$K$12,0),FALSE)),
"")</f>
        <v/>
      </c>
      <c r="AG77" s="95" t="str">
        <f t="shared" si="28"/>
        <v/>
      </c>
      <c r="AH77" s="95" t="str">
        <f>IFERROR(AG77*
(Assumptions!$S$7*(V77/(AK77*Assumptions!$AB$9/100)/O77)^3+
Assumptions!$S$8*(V77/(AK77*Assumptions!$AB$9/100)/O77)^2+
Assumptions!$S$9*(V77/(AK77*Assumptions!$AB$9/100)/O77)+
Assumptions!$S$10),"")</f>
        <v/>
      </c>
      <c r="AI77" s="95" t="str">
        <f>IFERROR(AG77*
(Assumptions!$S$7*(Z77/(AK77*Assumptions!$AB$8/100)/O77)^3+
Assumptions!$S$8*(Z77/(AK77*Assumptions!$AB$8/100)/O77)^2+
Assumptions!$S$9*(Z77/(AK77*Assumptions!$AB$8/100)/O77)+
Assumptions!$S$10),"")</f>
        <v/>
      </c>
      <c r="AJ77" s="95" t="str">
        <f>IFERROR(AG77*
(Assumptions!$S$7*(AD77/(AK77*Assumptions!$AB$10/100)/O77)^3+
Assumptions!$S$8*(AD77/(AK77*Assumptions!$AB$10/100)/O77)^2+
Assumptions!$S$9*(AD77/(AK77*Assumptions!$AB$10/100)/O77)+
Assumptions!$S$10),"")</f>
        <v/>
      </c>
      <c r="AK77" s="95" t="str">
        <f>IFERROR(
Assumptions!$AD$8*LN(S77)^2+
Assumptions!$AE$8*LN(R77)*LN(S77)+
Assumptions!$AF$8*LN(R77)^2+
Assumptions!$AG$8*LN(S77)+
Assumptions!$AH$8*LN(R77)-
(IF(Q77=1800,
VLOOKUP(C77,Assumptions!$AA$13:$AC$17,3),
IF(Q77=3600,
VLOOKUP(C77,Assumptions!$AA$18:$AC$22,3),
""))+Assumptions!$AI$8),
"")</f>
        <v/>
      </c>
      <c r="AL77" s="96" t="str">
        <f>IFERROR(
Assumptions!$D$11*(V77/(Assumptions!$AB$9*AK77/100)+AH77)+
Assumptions!$D$10*(Z77/(Assumptions!$AB$8*AK77/100)+AI77)+
Assumptions!$D$12*(AD77/(Assumptions!$AB$10*AK77/100)+AJ77),
"")</f>
        <v/>
      </c>
      <c r="AM77" s="67" t="str">
        <f>IFERROR(
U77*Assumptions!$D$11+
Y77*Assumptions!$D$10+
AC77*Assumptions!$D$12,
"")</f>
        <v/>
      </c>
      <c r="AN77" s="77" t="str">
        <f t="shared" si="29"/>
        <v/>
      </c>
      <c r="AO77" s="30" t="str">
        <f t="shared" si="30"/>
        <v/>
      </c>
    </row>
    <row r="78" spans="1:41" x14ac:dyDescent="0.25">
      <c r="A78" s="264"/>
      <c r="B78" s="265"/>
      <c r="C78" s="265"/>
      <c r="D78" s="265"/>
      <c r="E78" s="266"/>
      <c r="F78" s="270"/>
      <c r="G78" s="271"/>
      <c r="H78" s="272"/>
      <c r="I78" s="270"/>
      <c r="J78" s="308"/>
      <c r="K78" s="272"/>
      <c r="L78" s="270"/>
      <c r="M78" s="308"/>
      <c r="N78" s="310"/>
      <c r="O78" s="306"/>
      <c r="P78" s="84" t="str">
        <f t="shared" si="16"/>
        <v/>
      </c>
      <c r="Q78" s="84" t="str">
        <f t="shared" si="17"/>
        <v/>
      </c>
      <c r="R78" s="93" t="str">
        <f t="shared" si="18"/>
        <v/>
      </c>
      <c r="S78" s="100" t="str">
        <f t="shared" si="19"/>
        <v/>
      </c>
      <c r="T78" s="95" t="str">
        <f t="shared" si="20"/>
        <v/>
      </c>
      <c r="U78" s="95" t="str">
        <f t="shared" si="21"/>
        <v/>
      </c>
      <c r="V78" s="96" t="str">
        <f>IFERROR(S78*T78*Assumptions!$B$15/3956,"")</f>
        <v/>
      </c>
      <c r="W78" s="102" t="str">
        <f t="shared" si="22"/>
        <v/>
      </c>
      <c r="X78" s="95" t="str">
        <f t="shared" si="23"/>
        <v/>
      </c>
      <c r="Y78" s="95" t="str">
        <f t="shared" si="24"/>
        <v/>
      </c>
      <c r="Z78" s="96" t="str">
        <f>IFERROR(W78*X78*Assumptions!$B$15/3956,"")</f>
        <v/>
      </c>
      <c r="AA78" s="100" t="str">
        <f t="shared" si="25"/>
        <v/>
      </c>
      <c r="AB78" s="95" t="str">
        <f t="shared" si="26"/>
        <v/>
      </c>
      <c r="AC78" s="95" t="str">
        <f t="shared" si="27"/>
        <v/>
      </c>
      <c r="AD78" s="96" t="str">
        <f>IFERROR(AA78*AB78*Assumptions!$B$15/3956,"")</f>
        <v/>
      </c>
      <c r="AE78" s="244" t="str">
        <f>IFERROR(
IF(C78="VTS",
IF(O78&gt;=AVERAGE(
INDEX(Assumptions!$I$38:$I$57,MATCH(O78,Assumptions!$I$38:$I$57,-1)),
INDEX(Assumptions!$I$38:$I$57,MATCH(O78,Assumptions!$I$38:$I$57,-1)+1)),
INDEX(Assumptions!$I$38:$I$57,MATCH(O78,Assumptions!$I$38:$I$57,-1)),
INDEX(Assumptions!$I$38:$I$57,MATCH(O78,Assumptions!$I$38:$I$57,-1)+1)),
IF(O78&gt;=AVERAGE(
INDEX(Assumptions!$I$13:$I$32,MATCH(O78,Assumptions!$I$13:$I$32,-1)),
INDEX(Assumptions!$I$13:$I$32,MATCH(O78,Assumptions!$I$13:$I$32,-1)+1)),
INDEX(Assumptions!$I$13:$I$32,MATCH(O78,Assumptions!$I$13:$I$32,-1)),
INDEX(Assumptions!$I$13:$I$32,MATCH(O78,Assumptions!$I$13:$I$32,-1)+1))),
"")</f>
        <v/>
      </c>
      <c r="AF78" s="95" t="str">
        <f>IFERROR(
IF(C78="VTS",
VLOOKUP(AE78,Assumptions!$I$38:$K$57,MATCH(P78,Assumptions!$I$37:$K$37,0),FALSE),
VLOOKUP(AE78,Assumptions!$I$13:$K$32,MATCH(P78,Assumptions!$I$12:$K$12,0),FALSE)),
"")</f>
        <v/>
      </c>
      <c r="AG78" s="95" t="str">
        <f t="shared" si="28"/>
        <v/>
      </c>
      <c r="AH78" s="95" t="str">
        <f>IFERROR(AG78*
(Assumptions!$S$7*(V78/(AK78*Assumptions!$AB$9/100)/O78)^3+
Assumptions!$S$8*(V78/(AK78*Assumptions!$AB$9/100)/O78)^2+
Assumptions!$S$9*(V78/(AK78*Assumptions!$AB$9/100)/O78)+
Assumptions!$S$10),"")</f>
        <v/>
      </c>
      <c r="AI78" s="95" t="str">
        <f>IFERROR(AG78*
(Assumptions!$S$7*(Z78/(AK78*Assumptions!$AB$8/100)/O78)^3+
Assumptions!$S$8*(Z78/(AK78*Assumptions!$AB$8/100)/O78)^2+
Assumptions!$S$9*(Z78/(AK78*Assumptions!$AB$8/100)/O78)+
Assumptions!$S$10),"")</f>
        <v/>
      </c>
      <c r="AJ78" s="95" t="str">
        <f>IFERROR(AG78*
(Assumptions!$S$7*(AD78/(AK78*Assumptions!$AB$10/100)/O78)^3+
Assumptions!$S$8*(AD78/(AK78*Assumptions!$AB$10/100)/O78)^2+
Assumptions!$S$9*(AD78/(AK78*Assumptions!$AB$10/100)/O78)+
Assumptions!$S$10),"")</f>
        <v/>
      </c>
      <c r="AK78" s="95" t="str">
        <f>IFERROR(
Assumptions!$AD$8*LN(S78)^2+
Assumptions!$AE$8*LN(R78)*LN(S78)+
Assumptions!$AF$8*LN(R78)^2+
Assumptions!$AG$8*LN(S78)+
Assumptions!$AH$8*LN(R78)-
(IF(Q78=1800,
VLOOKUP(C78,Assumptions!$AA$13:$AC$17,3),
IF(Q78=3600,
VLOOKUP(C78,Assumptions!$AA$18:$AC$22,3),
""))+Assumptions!$AI$8),
"")</f>
        <v/>
      </c>
      <c r="AL78" s="96" t="str">
        <f>IFERROR(
Assumptions!$D$11*(V78/(Assumptions!$AB$9*AK78/100)+AH78)+
Assumptions!$D$10*(Z78/(Assumptions!$AB$8*AK78/100)+AI78)+
Assumptions!$D$12*(AD78/(Assumptions!$AB$10*AK78/100)+AJ78),
"")</f>
        <v/>
      </c>
      <c r="AM78" s="67" t="str">
        <f>IFERROR(
U78*Assumptions!$D$11+
Y78*Assumptions!$D$10+
AC78*Assumptions!$D$12,
"")</f>
        <v/>
      </c>
      <c r="AN78" s="77" t="str">
        <f t="shared" si="29"/>
        <v/>
      </c>
      <c r="AO78" s="30" t="str">
        <f t="shared" si="30"/>
        <v/>
      </c>
    </row>
    <row r="79" spans="1:41" x14ac:dyDescent="0.25">
      <c r="A79" s="264"/>
      <c r="B79" s="265"/>
      <c r="C79" s="265"/>
      <c r="D79" s="265"/>
      <c r="E79" s="266"/>
      <c r="F79" s="270"/>
      <c r="G79" s="271"/>
      <c r="H79" s="272"/>
      <c r="I79" s="270"/>
      <c r="J79" s="308"/>
      <c r="K79" s="272"/>
      <c r="L79" s="270"/>
      <c r="M79" s="308"/>
      <c r="N79" s="310"/>
      <c r="O79" s="306"/>
      <c r="P79" s="84" t="str">
        <f t="shared" si="16"/>
        <v/>
      </c>
      <c r="Q79" s="84" t="str">
        <f t="shared" si="17"/>
        <v/>
      </c>
      <c r="R79" s="93" t="str">
        <f t="shared" si="18"/>
        <v/>
      </c>
      <c r="S79" s="100" t="str">
        <f t="shared" si="19"/>
        <v/>
      </c>
      <c r="T79" s="95" t="str">
        <f t="shared" si="20"/>
        <v/>
      </c>
      <c r="U79" s="95" t="str">
        <f t="shared" si="21"/>
        <v/>
      </c>
      <c r="V79" s="96" t="str">
        <f>IFERROR(S79*T79*Assumptions!$B$15/3956,"")</f>
        <v/>
      </c>
      <c r="W79" s="102" t="str">
        <f t="shared" si="22"/>
        <v/>
      </c>
      <c r="X79" s="95" t="str">
        <f t="shared" si="23"/>
        <v/>
      </c>
      <c r="Y79" s="95" t="str">
        <f t="shared" si="24"/>
        <v/>
      </c>
      <c r="Z79" s="96" t="str">
        <f>IFERROR(W79*X79*Assumptions!$B$15/3956,"")</f>
        <v/>
      </c>
      <c r="AA79" s="100" t="str">
        <f t="shared" si="25"/>
        <v/>
      </c>
      <c r="AB79" s="95" t="str">
        <f t="shared" si="26"/>
        <v/>
      </c>
      <c r="AC79" s="95" t="str">
        <f t="shared" si="27"/>
        <v/>
      </c>
      <c r="AD79" s="96" t="str">
        <f>IFERROR(AA79*AB79*Assumptions!$B$15/3956,"")</f>
        <v/>
      </c>
      <c r="AE79" s="244" t="str">
        <f>IFERROR(
IF(C79="VTS",
IF(O79&gt;=AVERAGE(
INDEX(Assumptions!$I$38:$I$57,MATCH(O79,Assumptions!$I$38:$I$57,-1)),
INDEX(Assumptions!$I$38:$I$57,MATCH(O79,Assumptions!$I$38:$I$57,-1)+1)),
INDEX(Assumptions!$I$38:$I$57,MATCH(O79,Assumptions!$I$38:$I$57,-1)),
INDEX(Assumptions!$I$38:$I$57,MATCH(O79,Assumptions!$I$38:$I$57,-1)+1)),
IF(O79&gt;=AVERAGE(
INDEX(Assumptions!$I$13:$I$32,MATCH(O79,Assumptions!$I$13:$I$32,-1)),
INDEX(Assumptions!$I$13:$I$32,MATCH(O79,Assumptions!$I$13:$I$32,-1)+1)),
INDEX(Assumptions!$I$13:$I$32,MATCH(O79,Assumptions!$I$13:$I$32,-1)),
INDEX(Assumptions!$I$13:$I$32,MATCH(O79,Assumptions!$I$13:$I$32,-1)+1))),
"")</f>
        <v/>
      </c>
      <c r="AF79" s="95" t="str">
        <f>IFERROR(
IF(C79="VTS",
VLOOKUP(AE79,Assumptions!$I$38:$K$57,MATCH(P79,Assumptions!$I$37:$K$37,0),FALSE),
VLOOKUP(AE79,Assumptions!$I$13:$K$32,MATCH(P79,Assumptions!$I$12:$K$12,0),FALSE)),
"")</f>
        <v/>
      </c>
      <c r="AG79" s="95" t="str">
        <f t="shared" si="28"/>
        <v/>
      </c>
      <c r="AH79" s="95" t="str">
        <f>IFERROR(AG79*
(Assumptions!$S$7*(V79/(AK79*Assumptions!$AB$9/100)/O79)^3+
Assumptions!$S$8*(V79/(AK79*Assumptions!$AB$9/100)/O79)^2+
Assumptions!$S$9*(V79/(AK79*Assumptions!$AB$9/100)/O79)+
Assumptions!$S$10),"")</f>
        <v/>
      </c>
      <c r="AI79" s="95" t="str">
        <f>IFERROR(AG79*
(Assumptions!$S$7*(Z79/(AK79*Assumptions!$AB$8/100)/O79)^3+
Assumptions!$S$8*(Z79/(AK79*Assumptions!$AB$8/100)/O79)^2+
Assumptions!$S$9*(Z79/(AK79*Assumptions!$AB$8/100)/O79)+
Assumptions!$S$10),"")</f>
        <v/>
      </c>
      <c r="AJ79" s="95" t="str">
        <f>IFERROR(AG79*
(Assumptions!$S$7*(AD79/(AK79*Assumptions!$AB$10/100)/O79)^3+
Assumptions!$S$8*(AD79/(AK79*Assumptions!$AB$10/100)/O79)^2+
Assumptions!$S$9*(AD79/(AK79*Assumptions!$AB$10/100)/O79)+
Assumptions!$S$10),"")</f>
        <v/>
      </c>
      <c r="AK79" s="95" t="str">
        <f>IFERROR(
Assumptions!$AD$8*LN(S79)^2+
Assumptions!$AE$8*LN(R79)*LN(S79)+
Assumptions!$AF$8*LN(R79)^2+
Assumptions!$AG$8*LN(S79)+
Assumptions!$AH$8*LN(R79)-
(IF(Q79=1800,
VLOOKUP(C79,Assumptions!$AA$13:$AC$17,3),
IF(Q79=3600,
VLOOKUP(C79,Assumptions!$AA$18:$AC$22,3),
""))+Assumptions!$AI$8),
"")</f>
        <v/>
      </c>
      <c r="AL79" s="96" t="str">
        <f>IFERROR(
Assumptions!$D$11*(V79/(Assumptions!$AB$9*AK79/100)+AH79)+
Assumptions!$D$10*(Z79/(Assumptions!$AB$8*AK79/100)+AI79)+
Assumptions!$D$12*(AD79/(Assumptions!$AB$10*AK79/100)+AJ79),
"")</f>
        <v/>
      </c>
      <c r="AM79" s="67" t="str">
        <f>IFERROR(
U79*Assumptions!$D$11+
Y79*Assumptions!$D$10+
AC79*Assumptions!$D$12,
"")</f>
        <v/>
      </c>
      <c r="AN79" s="77" t="str">
        <f t="shared" si="29"/>
        <v/>
      </c>
      <c r="AO79" s="30" t="str">
        <f t="shared" si="30"/>
        <v/>
      </c>
    </row>
    <row r="80" spans="1:41" x14ac:dyDescent="0.25">
      <c r="A80" s="264"/>
      <c r="B80" s="265"/>
      <c r="C80" s="265"/>
      <c r="D80" s="265"/>
      <c r="E80" s="266"/>
      <c r="F80" s="270"/>
      <c r="G80" s="271"/>
      <c r="H80" s="272"/>
      <c r="I80" s="270"/>
      <c r="J80" s="308"/>
      <c r="K80" s="272"/>
      <c r="L80" s="270"/>
      <c r="M80" s="308"/>
      <c r="N80" s="310"/>
      <c r="O80" s="306"/>
      <c r="P80" s="84" t="str">
        <f t="shared" si="16"/>
        <v/>
      </c>
      <c r="Q80" s="84" t="str">
        <f t="shared" si="17"/>
        <v/>
      </c>
      <c r="R80" s="93" t="str">
        <f t="shared" si="18"/>
        <v/>
      </c>
      <c r="S80" s="100" t="str">
        <f t="shared" si="19"/>
        <v/>
      </c>
      <c r="T80" s="95" t="str">
        <f t="shared" si="20"/>
        <v/>
      </c>
      <c r="U80" s="95" t="str">
        <f t="shared" si="21"/>
        <v/>
      </c>
      <c r="V80" s="96" t="str">
        <f>IFERROR(S80*T80*Assumptions!$B$15/3956,"")</f>
        <v/>
      </c>
      <c r="W80" s="102" t="str">
        <f t="shared" si="22"/>
        <v/>
      </c>
      <c r="X80" s="95" t="str">
        <f t="shared" si="23"/>
        <v/>
      </c>
      <c r="Y80" s="95" t="str">
        <f t="shared" si="24"/>
        <v/>
      </c>
      <c r="Z80" s="96" t="str">
        <f>IFERROR(W80*X80*Assumptions!$B$15/3956,"")</f>
        <v/>
      </c>
      <c r="AA80" s="100" t="str">
        <f t="shared" si="25"/>
        <v/>
      </c>
      <c r="AB80" s="95" t="str">
        <f t="shared" si="26"/>
        <v/>
      </c>
      <c r="AC80" s="95" t="str">
        <f t="shared" si="27"/>
        <v/>
      </c>
      <c r="AD80" s="96" t="str">
        <f>IFERROR(AA80*AB80*Assumptions!$B$15/3956,"")</f>
        <v/>
      </c>
      <c r="AE80" s="244" t="str">
        <f>IFERROR(
IF(C80="VTS",
IF(O80&gt;=AVERAGE(
INDEX(Assumptions!$I$38:$I$57,MATCH(O80,Assumptions!$I$38:$I$57,-1)),
INDEX(Assumptions!$I$38:$I$57,MATCH(O80,Assumptions!$I$38:$I$57,-1)+1)),
INDEX(Assumptions!$I$38:$I$57,MATCH(O80,Assumptions!$I$38:$I$57,-1)),
INDEX(Assumptions!$I$38:$I$57,MATCH(O80,Assumptions!$I$38:$I$57,-1)+1)),
IF(O80&gt;=AVERAGE(
INDEX(Assumptions!$I$13:$I$32,MATCH(O80,Assumptions!$I$13:$I$32,-1)),
INDEX(Assumptions!$I$13:$I$32,MATCH(O80,Assumptions!$I$13:$I$32,-1)+1)),
INDEX(Assumptions!$I$13:$I$32,MATCH(O80,Assumptions!$I$13:$I$32,-1)),
INDEX(Assumptions!$I$13:$I$32,MATCH(O80,Assumptions!$I$13:$I$32,-1)+1))),
"")</f>
        <v/>
      </c>
      <c r="AF80" s="95" t="str">
        <f>IFERROR(
IF(C80="VTS",
VLOOKUP(AE80,Assumptions!$I$38:$K$57,MATCH(P80,Assumptions!$I$37:$K$37,0),FALSE),
VLOOKUP(AE80,Assumptions!$I$13:$K$32,MATCH(P80,Assumptions!$I$12:$K$12,0),FALSE)),
"")</f>
        <v/>
      </c>
      <c r="AG80" s="95" t="str">
        <f t="shared" si="28"/>
        <v/>
      </c>
      <c r="AH80" s="95" t="str">
        <f>IFERROR(AG80*
(Assumptions!$S$7*(V80/(AK80*Assumptions!$AB$9/100)/O80)^3+
Assumptions!$S$8*(V80/(AK80*Assumptions!$AB$9/100)/O80)^2+
Assumptions!$S$9*(V80/(AK80*Assumptions!$AB$9/100)/O80)+
Assumptions!$S$10),"")</f>
        <v/>
      </c>
      <c r="AI80" s="95" t="str">
        <f>IFERROR(AG80*
(Assumptions!$S$7*(Z80/(AK80*Assumptions!$AB$8/100)/O80)^3+
Assumptions!$S$8*(Z80/(AK80*Assumptions!$AB$8/100)/O80)^2+
Assumptions!$S$9*(Z80/(AK80*Assumptions!$AB$8/100)/O80)+
Assumptions!$S$10),"")</f>
        <v/>
      </c>
      <c r="AJ80" s="95" t="str">
        <f>IFERROR(AG80*
(Assumptions!$S$7*(AD80/(AK80*Assumptions!$AB$10/100)/O80)^3+
Assumptions!$S$8*(AD80/(AK80*Assumptions!$AB$10/100)/O80)^2+
Assumptions!$S$9*(AD80/(AK80*Assumptions!$AB$10/100)/O80)+
Assumptions!$S$10),"")</f>
        <v/>
      </c>
      <c r="AK80" s="95" t="str">
        <f>IFERROR(
Assumptions!$AD$8*LN(S80)^2+
Assumptions!$AE$8*LN(R80)*LN(S80)+
Assumptions!$AF$8*LN(R80)^2+
Assumptions!$AG$8*LN(S80)+
Assumptions!$AH$8*LN(R80)-
(IF(Q80=1800,
VLOOKUP(C80,Assumptions!$AA$13:$AC$17,3),
IF(Q80=3600,
VLOOKUP(C80,Assumptions!$AA$18:$AC$22,3),
""))+Assumptions!$AI$8),
"")</f>
        <v/>
      </c>
      <c r="AL80" s="96" t="str">
        <f>IFERROR(
Assumptions!$D$11*(V80/(Assumptions!$AB$9*AK80/100)+AH80)+
Assumptions!$D$10*(Z80/(Assumptions!$AB$8*AK80/100)+AI80)+
Assumptions!$D$12*(AD80/(Assumptions!$AB$10*AK80/100)+AJ80),
"")</f>
        <v/>
      </c>
      <c r="AM80" s="67" t="str">
        <f>IFERROR(
U80*Assumptions!$D$11+
Y80*Assumptions!$D$10+
AC80*Assumptions!$D$12,
"")</f>
        <v/>
      </c>
      <c r="AN80" s="77" t="str">
        <f t="shared" si="29"/>
        <v/>
      </c>
      <c r="AO80" s="30" t="str">
        <f t="shared" si="30"/>
        <v/>
      </c>
    </row>
    <row r="81" spans="1:41" x14ac:dyDescent="0.25">
      <c r="A81" s="264"/>
      <c r="B81" s="265"/>
      <c r="C81" s="265"/>
      <c r="D81" s="265"/>
      <c r="E81" s="266"/>
      <c r="F81" s="270"/>
      <c r="G81" s="271"/>
      <c r="H81" s="272"/>
      <c r="I81" s="270"/>
      <c r="J81" s="308"/>
      <c r="K81" s="272"/>
      <c r="L81" s="270"/>
      <c r="M81" s="308"/>
      <c r="N81" s="310"/>
      <c r="O81" s="306"/>
      <c r="P81" s="84" t="str">
        <f t="shared" si="16"/>
        <v/>
      </c>
      <c r="Q81" s="84" t="str">
        <f t="shared" si="17"/>
        <v/>
      </c>
      <c r="R81" s="93" t="str">
        <f t="shared" si="18"/>
        <v/>
      </c>
      <c r="S81" s="100" t="str">
        <f t="shared" si="19"/>
        <v/>
      </c>
      <c r="T81" s="95" t="str">
        <f t="shared" si="20"/>
        <v/>
      </c>
      <c r="U81" s="95" t="str">
        <f t="shared" si="21"/>
        <v/>
      </c>
      <c r="V81" s="96" t="str">
        <f>IFERROR(S81*T81*Assumptions!$B$15/3956,"")</f>
        <v/>
      </c>
      <c r="W81" s="102" t="str">
        <f t="shared" si="22"/>
        <v/>
      </c>
      <c r="X81" s="95" t="str">
        <f t="shared" si="23"/>
        <v/>
      </c>
      <c r="Y81" s="95" t="str">
        <f t="shared" si="24"/>
        <v/>
      </c>
      <c r="Z81" s="96" t="str">
        <f>IFERROR(W81*X81*Assumptions!$B$15/3956,"")</f>
        <v/>
      </c>
      <c r="AA81" s="100" t="str">
        <f t="shared" si="25"/>
        <v/>
      </c>
      <c r="AB81" s="95" t="str">
        <f t="shared" si="26"/>
        <v/>
      </c>
      <c r="AC81" s="95" t="str">
        <f t="shared" si="27"/>
        <v/>
      </c>
      <c r="AD81" s="96" t="str">
        <f>IFERROR(AA81*AB81*Assumptions!$B$15/3956,"")</f>
        <v/>
      </c>
      <c r="AE81" s="244" t="str">
        <f>IFERROR(
IF(C81="VTS",
IF(O81&gt;=AVERAGE(
INDEX(Assumptions!$I$38:$I$57,MATCH(O81,Assumptions!$I$38:$I$57,-1)),
INDEX(Assumptions!$I$38:$I$57,MATCH(O81,Assumptions!$I$38:$I$57,-1)+1)),
INDEX(Assumptions!$I$38:$I$57,MATCH(O81,Assumptions!$I$38:$I$57,-1)),
INDEX(Assumptions!$I$38:$I$57,MATCH(O81,Assumptions!$I$38:$I$57,-1)+1)),
IF(O81&gt;=AVERAGE(
INDEX(Assumptions!$I$13:$I$32,MATCH(O81,Assumptions!$I$13:$I$32,-1)),
INDEX(Assumptions!$I$13:$I$32,MATCH(O81,Assumptions!$I$13:$I$32,-1)+1)),
INDEX(Assumptions!$I$13:$I$32,MATCH(O81,Assumptions!$I$13:$I$32,-1)),
INDEX(Assumptions!$I$13:$I$32,MATCH(O81,Assumptions!$I$13:$I$32,-1)+1))),
"")</f>
        <v/>
      </c>
      <c r="AF81" s="95" t="str">
        <f>IFERROR(
IF(C81="VTS",
VLOOKUP(AE81,Assumptions!$I$38:$K$57,MATCH(P81,Assumptions!$I$37:$K$37,0),FALSE),
VLOOKUP(AE81,Assumptions!$I$13:$K$32,MATCH(P81,Assumptions!$I$12:$K$12,0),FALSE)),
"")</f>
        <v/>
      </c>
      <c r="AG81" s="95" t="str">
        <f t="shared" si="28"/>
        <v/>
      </c>
      <c r="AH81" s="95" t="str">
        <f>IFERROR(AG81*
(Assumptions!$S$7*(V81/(AK81*Assumptions!$AB$9/100)/O81)^3+
Assumptions!$S$8*(V81/(AK81*Assumptions!$AB$9/100)/O81)^2+
Assumptions!$S$9*(V81/(AK81*Assumptions!$AB$9/100)/O81)+
Assumptions!$S$10),"")</f>
        <v/>
      </c>
      <c r="AI81" s="95" t="str">
        <f>IFERROR(AG81*
(Assumptions!$S$7*(Z81/(AK81*Assumptions!$AB$8/100)/O81)^3+
Assumptions!$S$8*(Z81/(AK81*Assumptions!$AB$8/100)/O81)^2+
Assumptions!$S$9*(Z81/(AK81*Assumptions!$AB$8/100)/O81)+
Assumptions!$S$10),"")</f>
        <v/>
      </c>
      <c r="AJ81" s="95" t="str">
        <f>IFERROR(AG81*
(Assumptions!$S$7*(AD81/(AK81*Assumptions!$AB$10/100)/O81)^3+
Assumptions!$S$8*(AD81/(AK81*Assumptions!$AB$10/100)/O81)^2+
Assumptions!$S$9*(AD81/(AK81*Assumptions!$AB$10/100)/O81)+
Assumptions!$S$10),"")</f>
        <v/>
      </c>
      <c r="AK81" s="95" t="str">
        <f>IFERROR(
Assumptions!$AD$8*LN(S81)^2+
Assumptions!$AE$8*LN(R81)*LN(S81)+
Assumptions!$AF$8*LN(R81)^2+
Assumptions!$AG$8*LN(S81)+
Assumptions!$AH$8*LN(R81)-
(IF(Q81=1800,
VLOOKUP(C81,Assumptions!$AA$13:$AC$17,3),
IF(Q81=3600,
VLOOKUP(C81,Assumptions!$AA$18:$AC$22,3),
""))+Assumptions!$AI$8),
"")</f>
        <v/>
      </c>
      <c r="AL81" s="96" t="str">
        <f>IFERROR(
Assumptions!$D$11*(V81/(Assumptions!$AB$9*AK81/100)+AH81)+
Assumptions!$D$10*(Z81/(Assumptions!$AB$8*AK81/100)+AI81)+
Assumptions!$D$12*(AD81/(Assumptions!$AB$10*AK81/100)+AJ81),
"")</f>
        <v/>
      </c>
      <c r="AM81" s="67" t="str">
        <f>IFERROR(
U81*Assumptions!$D$11+
Y81*Assumptions!$D$10+
AC81*Assumptions!$D$12,
"")</f>
        <v/>
      </c>
      <c r="AN81" s="77" t="str">
        <f t="shared" si="29"/>
        <v/>
      </c>
      <c r="AO81" s="30" t="str">
        <f t="shared" si="30"/>
        <v/>
      </c>
    </row>
    <row r="82" spans="1:41" x14ac:dyDescent="0.25">
      <c r="A82" s="264"/>
      <c r="B82" s="265"/>
      <c r="C82" s="265"/>
      <c r="D82" s="265"/>
      <c r="E82" s="266"/>
      <c r="F82" s="270"/>
      <c r="G82" s="271"/>
      <c r="H82" s="272"/>
      <c r="I82" s="270"/>
      <c r="J82" s="308"/>
      <c r="K82" s="272"/>
      <c r="L82" s="270"/>
      <c r="M82" s="308"/>
      <c r="N82" s="310"/>
      <c r="O82" s="306"/>
      <c r="P82" s="84" t="str">
        <f t="shared" si="16"/>
        <v/>
      </c>
      <c r="Q82" s="84" t="str">
        <f t="shared" si="17"/>
        <v/>
      </c>
      <c r="R82" s="93" t="str">
        <f t="shared" si="18"/>
        <v/>
      </c>
      <c r="S82" s="100" t="str">
        <f t="shared" si="19"/>
        <v/>
      </c>
      <c r="T82" s="95" t="str">
        <f t="shared" si="20"/>
        <v/>
      </c>
      <c r="U82" s="95" t="str">
        <f t="shared" si="21"/>
        <v/>
      </c>
      <c r="V82" s="96" t="str">
        <f>IFERROR(S82*T82*Assumptions!$B$15/3956,"")</f>
        <v/>
      </c>
      <c r="W82" s="102" t="str">
        <f t="shared" si="22"/>
        <v/>
      </c>
      <c r="X82" s="95" t="str">
        <f t="shared" si="23"/>
        <v/>
      </c>
      <c r="Y82" s="95" t="str">
        <f t="shared" si="24"/>
        <v/>
      </c>
      <c r="Z82" s="96" t="str">
        <f>IFERROR(W82*X82*Assumptions!$B$15/3956,"")</f>
        <v/>
      </c>
      <c r="AA82" s="100" t="str">
        <f t="shared" si="25"/>
        <v/>
      </c>
      <c r="AB82" s="95" t="str">
        <f t="shared" si="26"/>
        <v/>
      </c>
      <c r="AC82" s="95" t="str">
        <f t="shared" si="27"/>
        <v/>
      </c>
      <c r="AD82" s="96" t="str">
        <f>IFERROR(AA82*AB82*Assumptions!$B$15/3956,"")</f>
        <v/>
      </c>
      <c r="AE82" s="244" t="str">
        <f>IFERROR(
IF(C82="VTS",
IF(O82&gt;=AVERAGE(
INDEX(Assumptions!$I$38:$I$57,MATCH(O82,Assumptions!$I$38:$I$57,-1)),
INDEX(Assumptions!$I$38:$I$57,MATCH(O82,Assumptions!$I$38:$I$57,-1)+1)),
INDEX(Assumptions!$I$38:$I$57,MATCH(O82,Assumptions!$I$38:$I$57,-1)),
INDEX(Assumptions!$I$38:$I$57,MATCH(O82,Assumptions!$I$38:$I$57,-1)+1)),
IF(O82&gt;=AVERAGE(
INDEX(Assumptions!$I$13:$I$32,MATCH(O82,Assumptions!$I$13:$I$32,-1)),
INDEX(Assumptions!$I$13:$I$32,MATCH(O82,Assumptions!$I$13:$I$32,-1)+1)),
INDEX(Assumptions!$I$13:$I$32,MATCH(O82,Assumptions!$I$13:$I$32,-1)),
INDEX(Assumptions!$I$13:$I$32,MATCH(O82,Assumptions!$I$13:$I$32,-1)+1))),
"")</f>
        <v/>
      </c>
      <c r="AF82" s="95" t="str">
        <f>IFERROR(
IF(C82="VTS",
VLOOKUP(AE82,Assumptions!$I$38:$K$57,MATCH(P82,Assumptions!$I$37:$K$37,0),FALSE),
VLOOKUP(AE82,Assumptions!$I$13:$K$32,MATCH(P82,Assumptions!$I$12:$K$12,0),FALSE)),
"")</f>
        <v/>
      </c>
      <c r="AG82" s="95" t="str">
        <f t="shared" si="28"/>
        <v/>
      </c>
      <c r="AH82" s="95" t="str">
        <f>IFERROR(AG82*
(Assumptions!$S$7*(V82/(AK82*Assumptions!$AB$9/100)/O82)^3+
Assumptions!$S$8*(V82/(AK82*Assumptions!$AB$9/100)/O82)^2+
Assumptions!$S$9*(V82/(AK82*Assumptions!$AB$9/100)/O82)+
Assumptions!$S$10),"")</f>
        <v/>
      </c>
      <c r="AI82" s="95" t="str">
        <f>IFERROR(AG82*
(Assumptions!$S$7*(Z82/(AK82*Assumptions!$AB$8/100)/O82)^3+
Assumptions!$S$8*(Z82/(AK82*Assumptions!$AB$8/100)/O82)^2+
Assumptions!$S$9*(Z82/(AK82*Assumptions!$AB$8/100)/O82)+
Assumptions!$S$10),"")</f>
        <v/>
      </c>
      <c r="AJ82" s="95" t="str">
        <f>IFERROR(AG82*
(Assumptions!$S$7*(AD82/(AK82*Assumptions!$AB$10/100)/O82)^3+
Assumptions!$S$8*(AD82/(AK82*Assumptions!$AB$10/100)/O82)^2+
Assumptions!$S$9*(AD82/(AK82*Assumptions!$AB$10/100)/O82)+
Assumptions!$S$10),"")</f>
        <v/>
      </c>
      <c r="AK82" s="95" t="str">
        <f>IFERROR(
Assumptions!$AD$8*LN(S82)^2+
Assumptions!$AE$8*LN(R82)*LN(S82)+
Assumptions!$AF$8*LN(R82)^2+
Assumptions!$AG$8*LN(S82)+
Assumptions!$AH$8*LN(R82)-
(IF(Q82=1800,
VLOOKUP(C82,Assumptions!$AA$13:$AC$17,3),
IF(Q82=3600,
VLOOKUP(C82,Assumptions!$AA$18:$AC$22,3),
""))+Assumptions!$AI$8),
"")</f>
        <v/>
      </c>
      <c r="AL82" s="96" t="str">
        <f>IFERROR(
Assumptions!$D$11*(V82/(Assumptions!$AB$9*AK82/100)+AH82)+
Assumptions!$D$10*(Z82/(Assumptions!$AB$8*AK82/100)+AI82)+
Assumptions!$D$12*(AD82/(Assumptions!$AB$10*AK82/100)+AJ82),
"")</f>
        <v/>
      </c>
      <c r="AM82" s="67" t="str">
        <f>IFERROR(
U82*Assumptions!$D$11+
Y82*Assumptions!$D$10+
AC82*Assumptions!$D$12,
"")</f>
        <v/>
      </c>
      <c r="AN82" s="77" t="str">
        <f t="shared" si="29"/>
        <v/>
      </c>
      <c r="AO82" s="30" t="str">
        <f t="shared" si="30"/>
        <v/>
      </c>
    </row>
    <row r="83" spans="1:41" x14ac:dyDescent="0.25">
      <c r="A83" s="264"/>
      <c r="B83" s="265"/>
      <c r="C83" s="265"/>
      <c r="D83" s="265"/>
      <c r="E83" s="266"/>
      <c r="F83" s="270"/>
      <c r="G83" s="271"/>
      <c r="H83" s="272"/>
      <c r="I83" s="270"/>
      <c r="J83" s="308"/>
      <c r="K83" s="272"/>
      <c r="L83" s="270"/>
      <c r="M83" s="308"/>
      <c r="N83" s="310"/>
      <c r="O83" s="306"/>
      <c r="P83" s="84" t="str">
        <f t="shared" si="16"/>
        <v/>
      </c>
      <c r="Q83" s="84" t="str">
        <f t="shared" si="17"/>
        <v/>
      </c>
      <c r="R83" s="93" t="str">
        <f t="shared" si="18"/>
        <v/>
      </c>
      <c r="S83" s="100" t="str">
        <f t="shared" si="19"/>
        <v/>
      </c>
      <c r="T83" s="95" t="str">
        <f t="shared" si="20"/>
        <v/>
      </c>
      <c r="U83" s="95" t="str">
        <f t="shared" si="21"/>
        <v/>
      </c>
      <c r="V83" s="96" t="str">
        <f>IFERROR(S83*T83*Assumptions!$B$15/3956,"")</f>
        <v/>
      </c>
      <c r="W83" s="102" t="str">
        <f t="shared" si="22"/>
        <v/>
      </c>
      <c r="X83" s="95" t="str">
        <f t="shared" si="23"/>
        <v/>
      </c>
      <c r="Y83" s="95" t="str">
        <f t="shared" si="24"/>
        <v/>
      </c>
      <c r="Z83" s="96" t="str">
        <f>IFERROR(W83*X83*Assumptions!$B$15/3956,"")</f>
        <v/>
      </c>
      <c r="AA83" s="100" t="str">
        <f t="shared" si="25"/>
        <v/>
      </c>
      <c r="AB83" s="95" t="str">
        <f t="shared" si="26"/>
        <v/>
      </c>
      <c r="AC83" s="95" t="str">
        <f t="shared" si="27"/>
        <v/>
      </c>
      <c r="AD83" s="96" t="str">
        <f>IFERROR(AA83*AB83*Assumptions!$B$15/3956,"")</f>
        <v/>
      </c>
      <c r="AE83" s="244" t="str">
        <f>IFERROR(
IF(C83="VTS",
IF(O83&gt;=AVERAGE(
INDEX(Assumptions!$I$38:$I$57,MATCH(O83,Assumptions!$I$38:$I$57,-1)),
INDEX(Assumptions!$I$38:$I$57,MATCH(O83,Assumptions!$I$38:$I$57,-1)+1)),
INDEX(Assumptions!$I$38:$I$57,MATCH(O83,Assumptions!$I$38:$I$57,-1)),
INDEX(Assumptions!$I$38:$I$57,MATCH(O83,Assumptions!$I$38:$I$57,-1)+1)),
IF(O83&gt;=AVERAGE(
INDEX(Assumptions!$I$13:$I$32,MATCH(O83,Assumptions!$I$13:$I$32,-1)),
INDEX(Assumptions!$I$13:$I$32,MATCH(O83,Assumptions!$I$13:$I$32,-1)+1)),
INDEX(Assumptions!$I$13:$I$32,MATCH(O83,Assumptions!$I$13:$I$32,-1)),
INDEX(Assumptions!$I$13:$I$32,MATCH(O83,Assumptions!$I$13:$I$32,-1)+1))),
"")</f>
        <v/>
      </c>
      <c r="AF83" s="95" t="str">
        <f>IFERROR(
IF(C83="VTS",
VLOOKUP(AE83,Assumptions!$I$38:$K$57,MATCH(P83,Assumptions!$I$37:$K$37,0),FALSE),
VLOOKUP(AE83,Assumptions!$I$13:$K$32,MATCH(P83,Assumptions!$I$12:$K$12,0),FALSE)),
"")</f>
        <v/>
      </c>
      <c r="AG83" s="95" t="str">
        <f t="shared" si="28"/>
        <v/>
      </c>
      <c r="AH83" s="95" t="str">
        <f>IFERROR(AG83*
(Assumptions!$S$7*(V83/(AK83*Assumptions!$AB$9/100)/O83)^3+
Assumptions!$S$8*(V83/(AK83*Assumptions!$AB$9/100)/O83)^2+
Assumptions!$S$9*(V83/(AK83*Assumptions!$AB$9/100)/O83)+
Assumptions!$S$10),"")</f>
        <v/>
      </c>
      <c r="AI83" s="95" t="str">
        <f>IFERROR(AG83*
(Assumptions!$S$7*(Z83/(AK83*Assumptions!$AB$8/100)/O83)^3+
Assumptions!$S$8*(Z83/(AK83*Assumptions!$AB$8/100)/O83)^2+
Assumptions!$S$9*(Z83/(AK83*Assumptions!$AB$8/100)/O83)+
Assumptions!$S$10),"")</f>
        <v/>
      </c>
      <c r="AJ83" s="95" t="str">
        <f>IFERROR(AG83*
(Assumptions!$S$7*(AD83/(AK83*Assumptions!$AB$10/100)/O83)^3+
Assumptions!$S$8*(AD83/(AK83*Assumptions!$AB$10/100)/O83)^2+
Assumptions!$S$9*(AD83/(AK83*Assumptions!$AB$10/100)/O83)+
Assumptions!$S$10),"")</f>
        <v/>
      </c>
      <c r="AK83" s="95" t="str">
        <f>IFERROR(
Assumptions!$AD$8*LN(S83)^2+
Assumptions!$AE$8*LN(R83)*LN(S83)+
Assumptions!$AF$8*LN(R83)^2+
Assumptions!$AG$8*LN(S83)+
Assumptions!$AH$8*LN(R83)-
(IF(Q83=1800,
VLOOKUP(C83,Assumptions!$AA$13:$AC$17,3),
IF(Q83=3600,
VLOOKUP(C83,Assumptions!$AA$18:$AC$22,3),
""))+Assumptions!$AI$8),
"")</f>
        <v/>
      </c>
      <c r="AL83" s="96" t="str">
        <f>IFERROR(
Assumptions!$D$11*(V83/(Assumptions!$AB$9*AK83/100)+AH83)+
Assumptions!$D$10*(Z83/(Assumptions!$AB$8*AK83/100)+AI83)+
Assumptions!$D$12*(AD83/(Assumptions!$AB$10*AK83/100)+AJ83),
"")</f>
        <v/>
      </c>
      <c r="AM83" s="67" t="str">
        <f>IFERROR(
U83*Assumptions!$D$11+
Y83*Assumptions!$D$10+
AC83*Assumptions!$D$12,
"")</f>
        <v/>
      </c>
      <c r="AN83" s="77" t="str">
        <f t="shared" si="29"/>
        <v/>
      </c>
      <c r="AO83" s="30" t="str">
        <f t="shared" si="30"/>
        <v/>
      </c>
    </row>
    <row r="84" spans="1:41" x14ac:dyDescent="0.25">
      <c r="A84" s="264"/>
      <c r="B84" s="265"/>
      <c r="C84" s="265"/>
      <c r="D84" s="265"/>
      <c r="E84" s="266"/>
      <c r="F84" s="270"/>
      <c r="G84" s="271"/>
      <c r="H84" s="272"/>
      <c r="I84" s="270"/>
      <c r="J84" s="308"/>
      <c r="K84" s="272"/>
      <c r="L84" s="270"/>
      <c r="M84" s="308"/>
      <c r="N84" s="310"/>
      <c r="O84" s="306"/>
      <c r="P84" s="84" t="str">
        <f t="shared" si="16"/>
        <v/>
      </c>
      <c r="Q84" s="84" t="str">
        <f t="shared" si="17"/>
        <v/>
      </c>
      <c r="R84" s="93" t="str">
        <f t="shared" si="18"/>
        <v/>
      </c>
      <c r="S84" s="100" t="str">
        <f t="shared" si="19"/>
        <v/>
      </c>
      <c r="T84" s="95" t="str">
        <f t="shared" si="20"/>
        <v/>
      </c>
      <c r="U84" s="95" t="str">
        <f t="shared" si="21"/>
        <v/>
      </c>
      <c r="V84" s="96" t="str">
        <f>IFERROR(S84*T84*Assumptions!$B$15/3956,"")</f>
        <v/>
      </c>
      <c r="W84" s="102" t="str">
        <f t="shared" si="22"/>
        <v/>
      </c>
      <c r="X84" s="95" t="str">
        <f t="shared" si="23"/>
        <v/>
      </c>
      <c r="Y84" s="95" t="str">
        <f t="shared" si="24"/>
        <v/>
      </c>
      <c r="Z84" s="96" t="str">
        <f>IFERROR(W84*X84*Assumptions!$B$15/3956,"")</f>
        <v/>
      </c>
      <c r="AA84" s="100" t="str">
        <f t="shared" si="25"/>
        <v/>
      </c>
      <c r="AB84" s="95" t="str">
        <f t="shared" si="26"/>
        <v/>
      </c>
      <c r="AC84" s="95" t="str">
        <f t="shared" si="27"/>
        <v/>
      </c>
      <c r="AD84" s="96" t="str">
        <f>IFERROR(AA84*AB84*Assumptions!$B$15/3956,"")</f>
        <v/>
      </c>
      <c r="AE84" s="244" t="str">
        <f>IFERROR(
IF(C84="VTS",
IF(O84&gt;=AVERAGE(
INDEX(Assumptions!$I$38:$I$57,MATCH(O84,Assumptions!$I$38:$I$57,-1)),
INDEX(Assumptions!$I$38:$I$57,MATCH(O84,Assumptions!$I$38:$I$57,-1)+1)),
INDEX(Assumptions!$I$38:$I$57,MATCH(O84,Assumptions!$I$38:$I$57,-1)),
INDEX(Assumptions!$I$38:$I$57,MATCH(O84,Assumptions!$I$38:$I$57,-1)+1)),
IF(O84&gt;=AVERAGE(
INDEX(Assumptions!$I$13:$I$32,MATCH(O84,Assumptions!$I$13:$I$32,-1)),
INDEX(Assumptions!$I$13:$I$32,MATCH(O84,Assumptions!$I$13:$I$32,-1)+1)),
INDEX(Assumptions!$I$13:$I$32,MATCH(O84,Assumptions!$I$13:$I$32,-1)),
INDEX(Assumptions!$I$13:$I$32,MATCH(O84,Assumptions!$I$13:$I$32,-1)+1))),
"")</f>
        <v/>
      </c>
      <c r="AF84" s="95" t="str">
        <f>IFERROR(
IF(C84="VTS",
VLOOKUP(AE84,Assumptions!$I$38:$K$57,MATCH(P84,Assumptions!$I$37:$K$37,0),FALSE),
VLOOKUP(AE84,Assumptions!$I$13:$K$32,MATCH(P84,Assumptions!$I$12:$K$12,0),FALSE)),
"")</f>
        <v/>
      </c>
      <c r="AG84" s="95" t="str">
        <f t="shared" si="28"/>
        <v/>
      </c>
      <c r="AH84" s="95" t="str">
        <f>IFERROR(AG84*
(Assumptions!$S$7*(V84/(AK84*Assumptions!$AB$9/100)/O84)^3+
Assumptions!$S$8*(V84/(AK84*Assumptions!$AB$9/100)/O84)^2+
Assumptions!$S$9*(V84/(AK84*Assumptions!$AB$9/100)/O84)+
Assumptions!$S$10),"")</f>
        <v/>
      </c>
      <c r="AI84" s="95" t="str">
        <f>IFERROR(AG84*
(Assumptions!$S$7*(Z84/(AK84*Assumptions!$AB$8/100)/O84)^3+
Assumptions!$S$8*(Z84/(AK84*Assumptions!$AB$8/100)/O84)^2+
Assumptions!$S$9*(Z84/(AK84*Assumptions!$AB$8/100)/O84)+
Assumptions!$S$10),"")</f>
        <v/>
      </c>
      <c r="AJ84" s="95" t="str">
        <f>IFERROR(AG84*
(Assumptions!$S$7*(AD84/(AK84*Assumptions!$AB$10/100)/O84)^3+
Assumptions!$S$8*(AD84/(AK84*Assumptions!$AB$10/100)/O84)^2+
Assumptions!$S$9*(AD84/(AK84*Assumptions!$AB$10/100)/O84)+
Assumptions!$S$10),"")</f>
        <v/>
      </c>
      <c r="AK84" s="95" t="str">
        <f>IFERROR(
Assumptions!$AD$8*LN(S84)^2+
Assumptions!$AE$8*LN(R84)*LN(S84)+
Assumptions!$AF$8*LN(R84)^2+
Assumptions!$AG$8*LN(S84)+
Assumptions!$AH$8*LN(R84)-
(IF(Q84=1800,
VLOOKUP(C84,Assumptions!$AA$13:$AC$17,3),
IF(Q84=3600,
VLOOKUP(C84,Assumptions!$AA$18:$AC$22,3),
""))+Assumptions!$AI$8),
"")</f>
        <v/>
      </c>
      <c r="AL84" s="96" t="str">
        <f>IFERROR(
Assumptions!$D$11*(V84/(Assumptions!$AB$9*AK84/100)+AH84)+
Assumptions!$D$10*(Z84/(Assumptions!$AB$8*AK84/100)+AI84)+
Assumptions!$D$12*(AD84/(Assumptions!$AB$10*AK84/100)+AJ84),
"")</f>
        <v/>
      </c>
      <c r="AM84" s="67" t="str">
        <f>IFERROR(
U84*Assumptions!$D$11+
Y84*Assumptions!$D$10+
AC84*Assumptions!$D$12,
"")</f>
        <v/>
      </c>
      <c r="AN84" s="77" t="str">
        <f t="shared" si="29"/>
        <v/>
      </c>
      <c r="AO84" s="30" t="str">
        <f t="shared" si="30"/>
        <v/>
      </c>
    </row>
    <row r="85" spans="1:41" x14ac:dyDescent="0.25">
      <c r="A85" s="264"/>
      <c r="B85" s="265"/>
      <c r="C85" s="265"/>
      <c r="D85" s="265"/>
      <c r="E85" s="266"/>
      <c r="F85" s="270"/>
      <c r="G85" s="271"/>
      <c r="H85" s="272"/>
      <c r="I85" s="270"/>
      <c r="J85" s="308"/>
      <c r="K85" s="272"/>
      <c r="L85" s="270"/>
      <c r="M85" s="308"/>
      <c r="N85" s="310"/>
      <c r="O85" s="306"/>
      <c r="P85" s="84" t="str">
        <f t="shared" si="16"/>
        <v/>
      </c>
      <c r="Q85" s="84" t="str">
        <f t="shared" si="17"/>
        <v/>
      </c>
      <c r="R85" s="93" t="str">
        <f t="shared" si="18"/>
        <v/>
      </c>
      <c r="S85" s="100" t="str">
        <f t="shared" si="19"/>
        <v/>
      </c>
      <c r="T85" s="95" t="str">
        <f t="shared" si="20"/>
        <v/>
      </c>
      <c r="U85" s="95" t="str">
        <f t="shared" si="21"/>
        <v/>
      </c>
      <c r="V85" s="96" t="str">
        <f>IFERROR(S85*T85*Assumptions!$B$15/3956,"")</f>
        <v/>
      </c>
      <c r="W85" s="102" t="str">
        <f t="shared" si="22"/>
        <v/>
      </c>
      <c r="X85" s="95" t="str">
        <f t="shared" si="23"/>
        <v/>
      </c>
      <c r="Y85" s="95" t="str">
        <f t="shared" si="24"/>
        <v/>
      </c>
      <c r="Z85" s="96" t="str">
        <f>IFERROR(W85*X85*Assumptions!$B$15/3956,"")</f>
        <v/>
      </c>
      <c r="AA85" s="100" t="str">
        <f t="shared" si="25"/>
        <v/>
      </c>
      <c r="AB85" s="95" t="str">
        <f t="shared" si="26"/>
        <v/>
      </c>
      <c r="AC85" s="95" t="str">
        <f t="shared" si="27"/>
        <v/>
      </c>
      <c r="AD85" s="96" t="str">
        <f>IFERROR(AA85*AB85*Assumptions!$B$15/3956,"")</f>
        <v/>
      </c>
      <c r="AE85" s="244" t="str">
        <f>IFERROR(
IF(C85="VTS",
IF(O85&gt;=AVERAGE(
INDEX(Assumptions!$I$38:$I$57,MATCH(O85,Assumptions!$I$38:$I$57,-1)),
INDEX(Assumptions!$I$38:$I$57,MATCH(O85,Assumptions!$I$38:$I$57,-1)+1)),
INDEX(Assumptions!$I$38:$I$57,MATCH(O85,Assumptions!$I$38:$I$57,-1)),
INDEX(Assumptions!$I$38:$I$57,MATCH(O85,Assumptions!$I$38:$I$57,-1)+1)),
IF(O85&gt;=AVERAGE(
INDEX(Assumptions!$I$13:$I$32,MATCH(O85,Assumptions!$I$13:$I$32,-1)),
INDEX(Assumptions!$I$13:$I$32,MATCH(O85,Assumptions!$I$13:$I$32,-1)+1)),
INDEX(Assumptions!$I$13:$I$32,MATCH(O85,Assumptions!$I$13:$I$32,-1)),
INDEX(Assumptions!$I$13:$I$32,MATCH(O85,Assumptions!$I$13:$I$32,-1)+1))),
"")</f>
        <v/>
      </c>
      <c r="AF85" s="95" t="str">
        <f>IFERROR(
IF(C85="VTS",
VLOOKUP(AE85,Assumptions!$I$38:$K$57,MATCH(P85,Assumptions!$I$37:$K$37,0),FALSE),
VLOOKUP(AE85,Assumptions!$I$13:$K$32,MATCH(P85,Assumptions!$I$12:$K$12,0),FALSE)),
"")</f>
        <v/>
      </c>
      <c r="AG85" s="95" t="str">
        <f t="shared" si="28"/>
        <v/>
      </c>
      <c r="AH85" s="95" t="str">
        <f>IFERROR(AG85*
(Assumptions!$S$7*(V85/(AK85*Assumptions!$AB$9/100)/O85)^3+
Assumptions!$S$8*(V85/(AK85*Assumptions!$AB$9/100)/O85)^2+
Assumptions!$S$9*(V85/(AK85*Assumptions!$AB$9/100)/O85)+
Assumptions!$S$10),"")</f>
        <v/>
      </c>
      <c r="AI85" s="95" t="str">
        <f>IFERROR(AG85*
(Assumptions!$S$7*(Z85/(AK85*Assumptions!$AB$8/100)/O85)^3+
Assumptions!$S$8*(Z85/(AK85*Assumptions!$AB$8/100)/O85)^2+
Assumptions!$S$9*(Z85/(AK85*Assumptions!$AB$8/100)/O85)+
Assumptions!$S$10),"")</f>
        <v/>
      </c>
      <c r="AJ85" s="95" t="str">
        <f>IFERROR(AG85*
(Assumptions!$S$7*(AD85/(AK85*Assumptions!$AB$10/100)/O85)^3+
Assumptions!$S$8*(AD85/(AK85*Assumptions!$AB$10/100)/O85)^2+
Assumptions!$S$9*(AD85/(AK85*Assumptions!$AB$10/100)/O85)+
Assumptions!$S$10),"")</f>
        <v/>
      </c>
      <c r="AK85" s="95" t="str">
        <f>IFERROR(
Assumptions!$AD$8*LN(S85)^2+
Assumptions!$AE$8*LN(R85)*LN(S85)+
Assumptions!$AF$8*LN(R85)^2+
Assumptions!$AG$8*LN(S85)+
Assumptions!$AH$8*LN(R85)-
(IF(Q85=1800,
VLOOKUP(C85,Assumptions!$AA$13:$AC$17,3),
IF(Q85=3600,
VLOOKUP(C85,Assumptions!$AA$18:$AC$22,3),
""))+Assumptions!$AI$8),
"")</f>
        <v/>
      </c>
      <c r="AL85" s="96" t="str">
        <f>IFERROR(
Assumptions!$D$11*(V85/(Assumptions!$AB$9*AK85/100)+AH85)+
Assumptions!$D$10*(Z85/(Assumptions!$AB$8*AK85/100)+AI85)+
Assumptions!$D$12*(AD85/(Assumptions!$AB$10*AK85/100)+AJ85),
"")</f>
        <v/>
      </c>
      <c r="AM85" s="67" t="str">
        <f>IFERROR(
U85*Assumptions!$D$11+
Y85*Assumptions!$D$10+
AC85*Assumptions!$D$12,
"")</f>
        <v/>
      </c>
      <c r="AN85" s="77" t="str">
        <f t="shared" si="29"/>
        <v/>
      </c>
      <c r="AO85" s="30" t="str">
        <f t="shared" si="30"/>
        <v/>
      </c>
    </row>
    <row r="86" spans="1:41" x14ac:dyDescent="0.25">
      <c r="A86" s="264"/>
      <c r="B86" s="265"/>
      <c r="C86" s="265"/>
      <c r="D86" s="265"/>
      <c r="E86" s="266"/>
      <c r="F86" s="270"/>
      <c r="G86" s="271"/>
      <c r="H86" s="272"/>
      <c r="I86" s="270"/>
      <c r="J86" s="308"/>
      <c r="K86" s="272"/>
      <c r="L86" s="270"/>
      <c r="M86" s="308"/>
      <c r="N86" s="310"/>
      <c r="O86" s="306"/>
      <c r="P86" s="84" t="str">
        <f t="shared" si="16"/>
        <v/>
      </c>
      <c r="Q86" s="84" t="str">
        <f t="shared" si="17"/>
        <v/>
      </c>
      <c r="R86" s="93" t="str">
        <f t="shared" si="18"/>
        <v/>
      </c>
      <c r="S86" s="100" t="str">
        <f t="shared" si="19"/>
        <v/>
      </c>
      <c r="T86" s="95" t="str">
        <f t="shared" si="20"/>
        <v/>
      </c>
      <c r="U86" s="95" t="str">
        <f t="shared" si="21"/>
        <v/>
      </c>
      <c r="V86" s="96" t="str">
        <f>IFERROR(S86*T86*Assumptions!$B$15/3956,"")</f>
        <v/>
      </c>
      <c r="W86" s="102" t="str">
        <f t="shared" si="22"/>
        <v/>
      </c>
      <c r="X86" s="95" t="str">
        <f t="shared" si="23"/>
        <v/>
      </c>
      <c r="Y86" s="95" t="str">
        <f t="shared" si="24"/>
        <v/>
      </c>
      <c r="Z86" s="96" t="str">
        <f>IFERROR(W86*X86*Assumptions!$B$15/3956,"")</f>
        <v/>
      </c>
      <c r="AA86" s="100" t="str">
        <f t="shared" si="25"/>
        <v/>
      </c>
      <c r="AB86" s="95" t="str">
        <f t="shared" si="26"/>
        <v/>
      </c>
      <c r="AC86" s="95" t="str">
        <f t="shared" si="27"/>
        <v/>
      </c>
      <c r="AD86" s="96" t="str">
        <f>IFERROR(AA86*AB86*Assumptions!$B$15/3956,"")</f>
        <v/>
      </c>
      <c r="AE86" s="244" t="str">
        <f>IFERROR(
IF(C86="VTS",
IF(O86&gt;=AVERAGE(
INDEX(Assumptions!$I$38:$I$57,MATCH(O86,Assumptions!$I$38:$I$57,-1)),
INDEX(Assumptions!$I$38:$I$57,MATCH(O86,Assumptions!$I$38:$I$57,-1)+1)),
INDEX(Assumptions!$I$38:$I$57,MATCH(O86,Assumptions!$I$38:$I$57,-1)),
INDEX(Assumptions!$I$38:$I$57,MATCH(O86,Assumptions!$I$38:$I$57,-1)+1)),
IF(O86&gt;=AVERAGE(
INDEX(Assumptions!$I$13:$I$32,MATCH(O86,Assumptions!$I$13:$I$32,-1)),
INDEX(Assumptions!$I$13:$I$32,MATCH(O86,Assumptions!$I$13:$I$32,-1)+1)),
INDEX(Assumptions!$I$13:$I$32,MATCH(O86,Assumptions!$I$13:$I$32,-1)),
INDEX(Assumptions!$I$13:$I$32,MATCH(O86,Assumptions!$I$13:$I$32,-1)+1))),
"")</f>
        <v/>
      </c>
      <c r="AF86" s="95" t="str">
        <f>IFERROR(
IF(C86="VTS",
VLOOKUP(AE86,Assumptions!$I$38:$K$57,MATCH(P86,Assumptions!$I$37:$K$37,0),FALSE),
VLOOKUP(AE86,Assumptions!$I$13:$K$32,MATCH(P86,Assumptions!$I$12:$K$12,0),FALSE)),
"")</f>
        <v/>
      </c>
      <c r="AG86" s="95" t="str">
        <f t="shared" si="28"/>
        <v/>
      </c>
      <c r="AH86" s="95" t="str">
        <f>IFERROR(AG86*
(Assumptions!$S$7*(V86/(AK86*Assumptions!$AB$9/100)/O86)^3+
Assumptions!$S$8*(V86/(AK86*Assumptions!$AB$9/100)/O86)^2+
Assumptions!$S$9*(V86/(AK86*Assumptions!$AB$9/100)/O86)+
Assumptions!$S$10),"")</f>
        <v/>
      </c>
      <c r="AI86" s="95" t="str">
        <f>IFERROR(AG86*
(Assumptions!$S$7*(Z86/(AK86*Assumptions!$AB$8/100)/O86)^3+
Assumptions!$S$8*(Z86/(AK86*Assumptions!$AB$8/100)/O86)^2+
Assumptions!$S$9*(Z86/(AK86*Assumptions!$AB$8/100)/O86)+
Assumptions!$S$10),"")</f>
        <v/>
      </c>
      <c r="AJ86" s="95" t="str">
        <f>IFERROR(AG86*
(Assumptions!$S$7*(AD86/(AK86*Assumptions!$AB$10/100)/O86)^3+
Assumptions!$S$8*(AD86/(AK86*Assumptions!$AB$10/100)/O86)^2+
Assumptions!$S$9*(AD86/(AK86*Assumptions!$AB$10/100)/O86)+
Assumptions!$S$10),"")</f>
        <v/>
      </c>
      <c r="AK86" s="95" t="str">
        <f>IFERROR(
Assumptions!$AD$8*LN(S86)^2+
Assumptions!$AE$8*LN(R86)*LN(S86)+
Assumptions!$AF$8*LN(R86)^2+
Assumptions!$AG$8*LN(S86)+
Assumptions!$AH$8*LN(R86)-
(IF(Q86=1800,
VLOOKUP(C86,Assumptions!$AA$13:$AC$17,3),
IF(Q86=3600,
VLOOKUP(C86,Assumptions!$AA$18:$AC$22,3),
""))+Assumptions!$AI$8),
"")</f>
        <v/>
      </c>
      <c r="AL86" s="96" t="str">
        <f>IFERROR(
Assumptions!$D$11*(V86/(Assumptions!$AB$9*AK86/100)+AH86)+
Assumptions!$D$10*(Z86/(Assumptions!$AB$8*AK86/100)+AI86)+
Assumptions!$D$12*(AD86/(Assumptions!$AB$10*AK86/100)+AJ86),
"")</f>
        <v/>
      </c>
      <c r="AM86" s="67" t="str">
        <f>IFERROR(
U86*Assumptions!$D$11+
Y86*Assumptions!$D$10+
AC86*Assumptions!$D$12,
"")</f>
        <v/>
      </c>
      <c r="AN86" s="77" t="str">
        <f t="shared" si="29"/>
        <v/>
      </c>
      <c r="AO86" s="30" t="str">
        <f t="shared" si="30"/>
        <v/>
      </c>
    </row>
    <row r="87" spans="1:41" x14ac:dyDescent="0.25">
      <c r="A87" s="264"/>
      <c r="B87" s="265"/>
      <c r="C87" s="265"/>
      <c r="D87" s="265"/>
      <c r="E87" s="266"/>
      <c r="F87" s="270"/>
      <c r="G87" s="271"/>
      <c r="H87" s="272"/>
      <c r="I87" s="270"/>
      <c r="J87" s="308"/>
      <c r="K87" s="272"/>
      <c r="L87" s="270"/>
      <c r="M87" s="308"/>
      <c r="N87" s="310"/>
      <c r="O87" s="306"/>
      <c r="P87" s="84" t="str">
        <f t="shared" si="16"/>
        <v/>
      </c>
      <c r="Q87" s="84" t="str">
        <f t="shared" si="17"/>
        <v/>
      </c>
      <c r="R87" s="93" t="str">
        <f t="shared" si="18"/>
        <v/>
      </c>
      <c r="S87" s="100" t="str">
        <f t="shared" si="19"/>
        <v/>
      </c>
      <c r="T87" s="95" t="str">
        <f t="shared" si="20"/>
        <v/>
      </c>
      <c r="U87" s="95" t="str">
        <f t="shared" si="21"/>
        <v/>
      </c>
      <c r="V87" s="96" t="str">
        <f>IFERROR(S87*T87*Assumptions!$B$15/3956,"")</f>
        <v/>
      </c>
      <c r="W87" s="102" t="str">
        <f t="shared" si="22"/>
        <v/>
      </c>
      <c r="X87" s="95" t="str">
        <f t="shared" si="23"/>
        <v/>
      </c>
      <c r="Y87" s="95" t="str">
        <f t="shared" si="24"/>
        <v/>
      </c>
      <c r="Z87" s="96" t="str">
        <f>IFERROR(W87*X87*Assumptions!$B$15/3956,"")</f>
        <v/>
      </c>
      <c r="AA87" s="100" t="str">
        <f t="shared" si="25"/>
        <v/>
      </c>
      <c r="AB87" s="95" t="str">
        <f t="shared" si="26"/>
        <v/>
      </c>
      <c r="AC87" s="95" t="str">
        <f t="shared" si="27"/>
        <v/>
      </c>
      <c r="AD87" s="96" t="str">
        <f>IFERROR(AA87*AB87*Assumptions!$B$15/3956,"")</f>
        <v/>
      </c>
      <c r="AE87" s="244" t="str">
        <f>IFERROR(
IF(C87="VTS",
IF(O87&gt;=AVERAGE(
INDEX(Assumptions!$I$38:$I$57,MATCH(O87,Assumptions!$I$38:$I$57,-1)),
INDEX(Assumptions!$I$38:$I$57,MATCH(O87,Assumptions!$I$38:$I$57,-1)+1)),
INDEX(Assumptions!$I$38:$I$57,MATCH(O87,Assumptions!$I$38:$I$57,-1)),
INDEX(Assumptions!$I$38:$I$57,MATCH(O87,Assumptions!$I$38:$I$57,-1)+1)),
IF(O87&gt;=AVERAGE(
INDEX(Assumptions!$I$13:$I$32,MATCH(O87,Assumptions!$I$13:$I$32,-1)),
INDEX(Assumptions!$I$13:$I$32,MATCH(O87,Assumptions!$I$13:$I$32,-1)+1)),
INDEX(Assumptions!$I$13:$I$32,MATCH(O87,Assumptions!$I$13:$I$32,-1)),
INDEX(Assumptions!$I$13:$I$32,MATCH(O87,Assumptions!$I$13:$I$32,-1)+1))),
"")</f>
        <v/>
      </c>
      <c r="AF87" s="95" t="str">
        <f>IFERROR(
IF(C87="VTS",
VLOOKUP(AE87,Assumptions!$I$38:$K$57,MATCH(P87,Assumptions!$I$37:$K$37,0),FALSE),
VLOOKUP(AE87,Assumptions!$I$13:$K$32,MATCH(P87,Assumptions!$I$12:$K$12,0),FALSE)),
"")</f>
        <v/>
      </c>
      <c r="AG87" s="95" t="str">
        <f t="shared" si="28"/>
        <v/>
      </c>
      <c r="AH87" s="95" t="str">
        <f>IFERROR(AG87*
(Assumptions!$S$7*(V87/(AK87*Assumptions!$AB$9/100)/O87)^3+
Assumptions!$S$8*(V87/(AK87*Assumptions!$AB$9/100)/O87)^2+
Assumptions!$S$9*(V87/(AK87*Assumptions!$AB$9/100)/O87)+
Assumptions!$S$10),"")</f>
        <v/>
      </c>
      <c r="AI87" s="95" t="str">
        <f>IFERROR(AG87*
(Assumptions!$S$7*(Z87/(AK87*Assumptions!$AB$8/100)/O87)^3+
Assumptions!$S$8*(Z87/(AK87*Assumptions!$AB$8/100)/O87)^2+
Assumptions!$S$9*(Z87/(AK87*Assumptions!$AB$8/100)/O87)+
Assumptions!$S$10),"")</f>
        <v/>
      </c>
      <c r="AJ87" s="95" t="str">
        <f>IFERROR(AG87*
(Assumptions!$S$7*(AD87/(AK87*Assumptions!$AB$10/100)/O87)^3+
Assumptions!$S$8*(AD87/(AK87*Assumptions!$AB$10/100)/O87)^2+
Assumptions!$S$9*(AD87/(AK87*Assumptions!$AB$10/100)/O87)+
Assumptions!$S$10),"")</f>
        <v/>
      </c>
      <c r="AK87" s="95" t="str">
        <f>IFERROR(
Assumptions!$AD$8*LN(S87)^2+
Assumptions!$AE$8*LN(R87)*LN(S87)+
Assumptions!$AF$8*LN(R87)^2+
Assumptions!$AG$8*LN(S87)+
Assumptions!$AH$8*LN(R87)-
(IF(Q87=1800,
VLOOKUP(C87,Assumptions!$AA$13:$AC$17,3),
IF(Q87=3600,
VLOOKUP(C87,Assumptions!$AA$18:$AC$22,3),
""))+Assumptions!$AI$8),
"")</f>
        <v/>
      </c>
      <c r="AL87" s="96" t="str">
        <f>IFERROR(
Assumptions!$D$11*(V87/(Assumptions!$AB$9*AK87/100)+AH87)+
Assumptions!$D$10*(Z87/(Assumptions!$AB$8*AK87/100)+AI87)+
Assumptions!$D$12*(AD87/(Assumptions!$AB$10*AK87/100)+AJ87),
"")</f>
        <v/>
      </c>
      <c r="AM87" s="67" t="str">
        <f>IFERROR(
U87*Assumptions!$D$11+
Y87*Assumptions!$D$10+
AC87*Assumptions!$D$12,
"")</f>
        <v/>
      </c>
      <c r="AN87" s="77" t="str">
        <f t="shared" si="29"/>
        <v/>
      </c>
      <c r="AO87" s="30" t="str">
        <f t="shared" si="30"/>
        <v/>
      </c>
    </row>
    <row r="88" spans="1:41" x14ac:dyDescent="0.25">
      <c r="A88" s="264"/>
      <c r="B88" s="265"/>
      <c r="C88" s="265"/>
      <c r="D88" s="265"/>
      <c r="E88" s="266"/>
      <c r="F88" s="270"/>
      <c r="G88" s="271"/>
      <c r="H88" s="272"/>
      <c r="I88" s="270"/>
      <c r="J88" s="308"/>
      <c r="K88" s="272"/>
      <c r="L88" s="270"/>
      <c r="M88" s="308"/>
      <c r="N88" s="310"/>
      <c r="O88" s="306"/>
      <c r="P88" s="84" t="str">
        <f t="shared" si="16"/>
        <v/>
      </c>
      <c r="Q88" s="84" t="str">
        <f t="shared" si="17"/>
        <v/>
      </c>
      <c r="R88" s="93" t="str">
        <f t="shared" si="18"/>
        <v/>
      </c>
      <c r="S88" s="100" t="str">
        <f t="shared" si="19"/>
        <v/>
      </c>
      <c r="T88" s="95" t="str">
        <f t="shared" si="20"/>
        <v/>
      </c>
      <c r="U88" s="95" t="str">
        <f t="shared" si="21"/>
        <v/>
      </c>
      <c r="V88" s="96" t="str">
        <f>IFERROR(S88*T88*Assumptions!$B$15/3956,"")</f>
        <v/>
      </c>
      <c r="W88" s="102" t="str">
        <f t="shared" si="22"/>
        <v/>
      </c>
      <c r="X88" s="95" t="str">
        <f t="shared" si="23"/>
        <v/>
      </c>
      <c r="Y88" s="95" t="str">
        <f t="shared" si="24"/>
        <v/>
      </c>
      <c r="Z88" s="96" t="str">
        <f>IFERROR(W88*X88*Assumptions!$B$15/3956,"")</f>
        <v/>
      </c>
      <c r="AA88" s="100" t="str">
        <f t="shared" si="25"/>
        <v/>
      </c>
      <c r="AB88" s="95" t="str">
        <f t="shared" si="26"/>
        <v/>
      </c>
      <c r="AC88" s="95" t="str">
        <f t="shared" si="27"/>
        <v/>
      </c>
      <c r="AD88" s="96" t="str">
        <f>IFERROR(AA88*AB88*Assumptions!$B$15/3956,"")</f>
        <v/>
      </c>
      <c r="AE88" s="244" t="str">
        <f>IFERROR(
IF(C88="VTS",
IF(O88&gt;=AVERAGE(
INDEX(Assumptions!$I$38:$I$57,MATCH(O88,Assumptions!$I$38:$I$57,-1)),
INDEX(Assumptions!$I$38:$I$57,MATCH(O88,Assumptions!$I$38:$I$57,-1)+1)),
INDEX(Assumptions!$I$38:$I$57,MATCH(O88,Assumptions!$I$38:$I$57,-1)),
INDEX(Assumptions!$I$38:$I$57,MATCH(O88,Assumptions!$I$38:$I$57,-1)+1)),
IF(O88&gt;=AVERAGE(
INDEX(Assumptions!$I$13:$I$32,MATCH(O88,Assumptions!$I$13:$I$32,-1)),
INDEX(Assumptions!$I$13:$I$32,MATCH(O88,Assumptions!$I$13:$I$32,-1)+1)),
INDEX(Assumptions!$I$13:$I$32,MATCH(O88,Assumptions!$I$13:$I$32,-1)),
INDEX(Assumptions!$I$13:$I$32,MATCH(O88,Assumptions!$I$13:$I$32,-1)+1))),
"")</f>
        <v/>
      </c>
      <c r="AF88" s="95" t="str">
        <f>IFERROR(
IF(C88="VTS",
VLOOKUP(AE88,Assumptions!$I$38:$K$57,MATCH(P88,Assumptions!$I$37:$K$37,0),FALSE),
VLOOKUP(AE88,Assumptions!$I$13:$K$32,MATCH(P88,Assumptions!$I$12:$K$12,0),FALSE)),
"")</f>
        <v/>
      </c>
      <c r="AG88" s="95" t="str">
        <f t="shared" si="28"/>
        <v/>
      </c>
      <c r="AH88" s="95" t="str">
        <f>IFERROR(AG88*
(Assumptions!$S$7*(V88/(AK88*Assumptions!$AB$9/100)/O88)^3+
Assumptions!$S$8*(V88/(AK88*Assumptions!$AB$9/100)/O88)^2+
Assumptions!$S$9*(V88/(AK88*Assumptions!$AB$9/100)/O88)+
Assumptions!$S$10),"")</f>
        <v/>
      </c>
      <c r="AI88" s="95" t="str">
        <f>IFERROR(AG88*
(Assumptions!$S$7*(Z88/(AK88*Assumptions!$AB$8/100)/O88)^3+
Assumptions!$S$8*(Z88/(AK88*Assumptions!$AB$8/100)/O88)^2+
Assumptions!$S$9*(Z88/(AK88*Assumptions!$AB$8/100)/O88)+
Assumptions!$S$10),"")</f>
        <v/>
      </c>
      <c r="AJ88" s="95" t="str">
        <f>IFERROR(AG88*
(Assumptions!$S$7*(AD88/(AK88*Assumptions!$AB$10/100)/O88)^3+
Assumptions!$S$8*(AD88/(AK88*Assumptions!$AB$10/100)/O88)^2+
Assumptions!$S$9*(AD88/(AK88*Assumptions!$AB$10/100)/O88)+
Assumptions!$S$10),"")</f>
        <v/>
      </c>
      <c r="AK88" s="95" t="str">
        <f>IFERROR(
Assumptions!$AD$8*LN(S88)^2+
Assumptions!$AE$8*LN(R88)*LN(S88)+
Assumptions!$AF$8*LN(R88)^2+
Assumptions!$AG$8*LN(S88)+
Assumptions!$AH$8*LN(R88)-
(IF(Q88=1800,
VLOOKUP(C88,Assumptions!$AA$13:$AC$17,3),
IF(Q88=3600,
VLOOKUP(C88,Assumptions!$AA$18:$AC$22,3),
""))+Assumptions!$AI$8),
"")</f>
        <v/>
      </c>
      <c r="AL88" s="96" t="str">
        <f>IFERROR(
Assumptions!$D$11*(V88/(Assumptions!$AB$9*AK88/100)+AH88)+
Assumptions!$D$10*(Z88/(Assumptions!$AB$8*AK88/100)+AI88)+
Assumptions!$D$12*(AD88/(Assumptions!$AB$10*AK88/100)+AJ88),
"")</f>
        <v/>
      </c>
      <c r="AM88" s="67" t="str">
        <f>IFERROR(
U88*Assumptions!$D$11+
Y88*Assumptions!$D$10+
AC88*Assumptions!$D$12,
"")</f>
        <v/>
      </c>
      <c r="AN88" s="77" t="str">
        <f t="shared" si="29"/>
        <v/>
      </c>
      <c r="AO88" s="30" t="str">
        <f t="shared" si="30"/>
        <v/>
      </c>
    </row>
    <row r="89" spans="1:41" x14ac:dyDescent="0.25">
      <c r="A89" s="264"/>
      <c r="B89" s="265"/>
      <c r="C89" s="265"/>
      <c r="D89" s="265"/>
      <c r="E89" s="266"/>
      <c r="F89" s="270"/>
      <c r="G89" s="271"/>
      <c r="H89" s="272"/>
      <c r="I89" s="270"/>
      <c r="J89" s="308"/>
      <c r="K89" s="272"/>
      <c r="L89" s="270"/>
      <c r="M89" s="308"/>
      <c r="N89" s="310"/>
      <c r="O89" s="306"/>
      <c r="P89" s="84" t="str">
        <f t="shared" si="16"/>
        <v/>
      </c>
      <c r="Q89" s="84" t="str">
        <f t="shared" si="17"/>
        <v/>
      </c>
      <c r="R89" s="93" t="str">
        <f t="shared" si="18"/>
        <v/>
      </c>
      <c r="S89" s="100" t="str">
        <f t="shared" si="19"/>
        <v/>
      </c>
      <c r="T89" s="95" t="str">
        <f t="shared" si="20"/>
        <v/>
      </c>
      <c r="U89" s="95" t="str">
        <f t="shared" si="21"/>
        <v/>
      </c>
      <c r="V89" s="96" t="str">
        <f>IFERROR(S89*T89*Assumptions!$B$15/3956,"")</f>
        <v/>
      </c>
      <c r="W89" s="102" t="str">
        <f t="shared" si="22"/>
        <v/>
      </c>
      <c r="X89" s="95" t="str">
        <f t="shared" si="23"/>
        <v/>
      </c>
      <c r="Y89" s="95" t="str">
        <f t="shared" si="24"/>
        <v/>
      </c>
      <c r="Z89" s="96" t="str">
        <f>IFERROR(W89*X89*Assumptions!$B$15/3956,"")</f>
        <v/>
      </c>
      <c r="AA89" s="100" t="str">
        <f t="shared" si="25"/>
        <v/>
      </c>
      <c r="AB89" s="95" t="str">
        <f t="shared" si="26"/>
        <v/>
      </c>
      <c r="AC89" s="95" t="str">
        <f t="shared" si="27"/>
        <v/>
      </c>
      <c r="AD89" s="96" t="str">
        <f>IFERROR(AA89*AB89*Assumptions!$B$15/3956,"")</f>
        <v/>
      </c>
      <c r="AE89" s="244" t="str">
        <f>IFERROR(
IF(C89="VTS",
IF(O89&gt;=AVERAGE(
INDEX(Assumptions!$I$38:$I$57,MATCH(O89,Assumptions!$I$38:$I$57,-1)),
INDEX(Assumptions!$I$38:$I$57,MATCH(O89,Assumptions!$I$38:$I$57,-1)+1)),
INDEX(Assumptions!$I$38:$I$57,MATCH(O89,Assumptions!$I$38:$I$57,-1)),
INDEX(Assumptions!$I$38:$I$57,MATCH(O89,Assumptions!$I$38:$I$57,-1)+1)),
IF(O89&gt;=AVERAGE(
INDEX(Assumptions!$I$13:$I$32,MATCH(O89,Assumptions!$I$13:$I$32,-1)),
INDEX(Assumptions!$I$13:$I$32,MATCH(O89,Assumptions!$I$13:$I$32,-1)+1)),
INDEX(Assumptions!$I$13:$I$32,MATCH(O89,Assumptions!$I$13:$I$32,-1)),
INDEX(Assumptions!$I$13:$I$32,MATCH(O89,Assumptions!$I$13:$I$32,-1)+1))),
"")</f>
        <v/>
      </c>
      <c r="AF89" s="95" t="str">
        <f>IFERROR(
IF(C89="VTS",
VLOOKUP(AE89,Assumptions!$I$38:$K$57,MATCH(P89,Assumptions!$I$37:$K$37,0),FALSE),
VLOOKUP(AE89,Assumptions!$I$13:$K$32,MATCH(P89,Assumptions!$I$12:$K$12,0),FALSE)),
"")</f>
        <v/>
      </c>
      <c r="AG89" s="95" t="str">
        <f t="shared" si="28"/>
        <v/>
      </c>
      <c r="AH89" s="95" t="str">
        <f>IFERROR(AG89*
(Assumptions!$S$7*(V89/(AK89*Assumptions!$AB$9/100)/O89)^3+
Assumptions!$S$8*(V89/(AK89*Assumptions!$AB$9/100)/O89)^2+
Assumptions!$S$9*(V89/(AK89*Assumptions!$AB$9/100)/O89)+
Assumptions!$S$10),"")</f>
        <v/>
      </c>
      <c r="AI89" s="95" t="str">
        <f>IFERROR(AG89*
(Assumptions!$S$7*(Z89/(AK89*Assumptions!$AB$8/100)/O89)^3+
Assumptions!$S$8*(Z89/(AK89*Assumptions!$AB$8/100)/O89)^2+
Assumptions!$S$9*(Z89/(AK89*Assumptions!$AB$8/100)/O89)+
Assumptions!$S$10),"")</f>
        <v/>
      </c>
      <c r="AJ89" s="95" t="str">
        <f>IFERROR(AG89*
(Assumptions!$S$7*(AD89/(AK89*Assumptions!$AB$10/100)/O89)^3+
Assumptions!$S$8*(AD89/(AK89*Assumptions!$AB$10/100)/O89)^2+
Assumptions!$S$9*(AD89/(AK89*Assumptions!$AB$10/100)/O89)+
Assumptions!$S$10),"")</f>
        <v/>
      </c>
      <c r="AK89" s="95" t="str">
        <f>IFERROR(
Assumptions!$AD$8*LN(S89)^2+
Assumptions!$AE$8*LN(R89)*LN(S89)+
Assumptions!$AF$8*LN(R89)^2+
Assumptions!$AG$8*LN(S89)+
Assumptions!$AH$8*LN(R89)-
(IF(Q89=1800,
VLOOKUP(C89,Assumptions!$AA$13:$AC$17,3),
IF(Q89=3600,
VLOOKUP(C89,Assumptions!$AA$18:$AC$22,3),
""))+Assumptions!$AI$8),
"")</f>
        <v/>
      </c>
      <c r="AL89" s="96" t="str">
        <f>IFERROR(
Assumptions!$D$11*(V89/(Assumptions!$AB$9*AK89/100)+AH89)+
Assumptions!$D$10*(Z89/(Assumptions!$AB$8*AK89/100)+AI89)+
Assumptions!$D$12*(AD89/(Assumptions!$AB$10*AK89/100)+AJ89),
"")</f>
        <v/>
      </c>
      <c r="AM89" s="67" t="str">
        <f>IFERROR(
U89*Assumptions!$D$11+
Y89*Assumptions!$D$10+
AC89*Assumptions!$D$12,
"")</f>
        <v/>
      </c>
      <c r="AN89" s="77" t="str">
        <f t="shared" si="29"/>
        <v/>
      </c>
      <c r="AO89" s="30" t="str">
        <f t="shared" si="30"/>
        <v/>
      </c>
    </row>
    <row r="90" spans="1:41" x14ac:dyDescent="0.25">
      <c r="A90" s="264"/>
      <c r="B90" s="265"/>
      <c r="C90" s="265"/>
      <c r="D90" s="265"/>
      <c r="E90" s="266"/>
      <c r="F90" s="270"/>
      <c r="G90" s="271"/>
      <c r="H90" s="272"/>
      <c r="I90" s="270"/>
      <c r="J90" s="308"/>
      <c r="K90" s="272"/>
      <c r="L90" s="270"/>
      <c r="M90" s="308"/>
      <c r="N90" s="310"/>
      <c r="O90" s="306"/>
      <c r="P90" s="84" t="str">
        <f t="shared" si="16"/>
        <v/>
      </c>
      <c r="Q90" s="84" t="str">
        <f t="shared" si="17"/>
        <v/>
      </c>
      <c r="R90" s="93" t="str">
        <f t="shared" si="18"/>
        <v/>
      </c>
      <c r="S90" s="100" t="str">
        <f t="shared" si="19"/>
        <v/>
      </c>
      <c r="T90" s="95" t="str">
        <f t="shared" si="20"/>
        <v/>
      </c>
      <c r="U90" s="95" t="str">
        <f t="shared" si="21"/>
        <v/>
      </c>
      <c r="V90" s="96" t="str">
        <f>IFERROR(S90*T90*Assumptions!$B$15/3956,"")</f>
        <v/>
      </c>
      <c r="W90" s="102" t="str">
        <f t="shared" si="22"/>
        <v/>
      </c>
      <c r="X90" s="95" t="str">
        <f t="shared" si="23"/>
        <v/>
      </c>
      <c r="Y90" s="95" t="str">
        <f t="shared" si="24"/>
        <v/>
      </c>
      <c r="Z90" s="96" t="str">
        <f>IFERROR(W90*X90*Assumptions!$B$15/3956,"")</f>
        <v/>
      </c>
      <c r="AA90" s="100" t="str">
        <f t="shared" si="25"/>
        <v/>
      </c>
      <c r="AB90" s="95" t="str">
        <f t="shared" si="26"/>
        <v/>
      </c>
      <c r="AC90" s="95" t="str">
        <f t="shared" si="27"/>
        <v/>
      </c>
      <c r="AD90" s="96" t="str">
        <f>IFERROR(AA90*AB90*Assumptions!$B$15/3956,"")</f>
        <v/>
      </c>
      <c r="AE90" s="244" t="str">
        <f>IFERROR(
IF(C90="VTS",
IF(O90&gt;=AVERAGE(
INDEX(Assumptions!$I$38:$I$57,MATCH(O90,Assumptions!$I$38:$I$57,-1)),
INDEX(Assumptions!$I$38:$I$57,MATCH(O90,Assumptions!$I$38:$I$57,-1)+1)),
INDEX(Assumptions!$I$38:$I$57,MATCH(O90,Assumptions!$I$38:$I$57,-1)),
INDEX(Assumptions!$I$38:$I$57,MATCH(O90,Assumptions!$I$38:$I$57,-1)+1)),
IF(O90&gt;=AVERAGE(
INDEX(Assumptions!$I$13:$I$32,MATCH(O90,Assumptions!$I$13:$I$32,-1)),
INDEX(Assumptions!$I$13:$I$32,MATCH(O90,Assumptions!$I$13:$I$32,-1)+1)),
INDEX(Assumptions!$I$13:$I$32,MATCH(O90,Assumptions!$I$13:$I$32,-1)),
INDEX(Assumptions!$I$13:$I$32,MATCH(O90,Assumptions!$I$13:$I$32,-1)+1))),
"")</f>
        <v/>
      </c>
      <c r="AF90" s="95" t="str">
        <f>IFERROR(
IF(C90="VTS",
VLOOKUP(AE90,Assumptions!$I$38:$K$57,MATCH(P90,Assumptions!$I$37:$K$37,0),FALSE),
VLOOKUP(AE90,Assumptions!$I$13:$K$32,MATCH(P90,Assumptions!$I$12:$K$12,0),FALSE)),
"")</f>
        <v/>
      </c>
      <c r="AG90" s="95" t="str">
        <f t="shared" si="28"/>
        <v/>
      </c>
      <c r="AH90" s="95" t="str">
        <f>IFERROR(AG90*
(Assumptions!$S$7*(V90/(AK90*Assumptions!$AB$9/100)/O90)^3+
Assumptions!$S$8*(V90/(AK90*Assumptions!$AB$9/100)/O90)^2+
Assumptions!$S$9*(V90/(AK90*Assumptions!$AB$9/100)/O90)+
Assumptions!$S$10),"")</f>
        <v/>
      </c>
      <c r="AI90" s="95" t="str">
        <f>IFERROR(AG90*
(Assumptions!$S$7*(Z90/(AK90*Assumptions!$AB$8/100)/O90)^3+
Assumptions!$S$8*(Z90/(AK90*Assumptions!$AB$8/100)/O90)^2+
Assumptions!$S$9*(Z90/(AK90*Assumptions!$AB$8/100)/O90)+
Assumptions!$S$10),"")</f>
        <v/>
      </c>
      <c r="AJ90" s="95" t="str">
        <f>IFERROR(AG90*
(Assumptions!$S$7*(AD90/(AK90*Assumptions!$AB$10/100)/O90)^3+
Assumptions!$S$8*(AD90/(AK90*Assumptions!$AB$10/100)/O90)^2+
Assumptions!$S$9*(AD90/(AK90*Assumptions!$AB$10/100)/O90)+
Assumptions!$S$10),"")</f>
        <v/>
      </c>
      <c r="AK90" s="95" t="str">
        <f>IFERROR(
Assumptions!$AD$8*LN(S90)^2+
Assumptions!$AE$8*LN(R90)*LN(S90)+
Assumptions!$AF$8*LN(R90)^2+
Assumptions!$AG$8*LN(S90)+
Assumptions!$AH$8*LN(R90)-
(IF(Q90=1800,
VLOOKUP(C90,Assumptions!$AA$13:$AC$17,3),
IF(Q90=3600,
VLOOKUP(C90,Assumptions!$AA$18:$AC$22,3),
""))+Assumptions!$AI$8),
"")</f>
        <v/>
      </c>
      <c r="AL90" s="96" t="str">
        <f>IFERROR(
Assumptions!$D$11*(V90/(Assumptions!$AB$9*AK90/100)+AH90)+
Assumptions!$D$10*(Z90/(Assumptions!$AB$8*AK90/100)+AI90)+
Assumptions!$D$12*(AD90/(Assumptions!$AB$10*AK90/100)+AJ90),
"")</f>
        <v/>
      </c>
      <c r="AM90" s="67" t="str">
        <f>IFERROR(
U90*Assumptions!$D$11+
Y90*Assumptions!$D$10+
AC90*Assumptions!$D$12,
"")</f>
        <v/>
      </c>
      <c r="AN90" s="77" t="str">
        <f t="shared" si="29"/>
        <v/>
      </c>
      <c r="AO90" s="30" t="str">
        <f t="shared" si="30"/>
        <v/>
      </c>
    </row>
    <row r="91" spans="1:41" x14ac:dyDescent="0.25">
      <c r="A91" s="264"/>
      <c r="B91" s="265"/>
      <c r="C91" s="265"/>
      <c r="D91" s="265"/>
      <c r="E91" s="266"/>
      <c r="F91" s="270"/>
      <c r="G91" s="271"/>
      <c r="H91" s="272"/>
      <c r="I91" s="270"/>
      <c r="J91" s="308"/>
      <c r="K91" s="272"/>
      <c r="L91" s="270"/>
      <c r="M91" s="308"/>
      <c r="N91" s="310"/>
      <c r="O91" s="306"/>
      <c r="P91" s="84" t="str">
        <f t="shared" si="16"/>
        <v/>
      </c>
      <c r="Q91" s="84" t="str">
        <f t="shared" si="17"/>
        <v/>
      </c>
      <c r="R91" s="93" t="str">
        <f t="shared" si="18"/>
        <v/>
      </c>
      <c r="S91" s="100" t="str">
        <f t="shared" si="19"/>
        <v/>
      </c>
      <c r="T91" s="95" t="str">
        <f t="shared" si="20"/>
        <v/>
      </c>
      <c r="U91" s="95" t="str">
        <f t="shared" si="21"/>
        <v/>
      </c>
      <c r="V91" s="96" t="str">
        <f>IFERROR(S91*T91*Assumptions!$B$15/3956,"")</f>
        <v/>
      </c>
      <c r="W91" s="102" t="str">
        <f t="shared" si="22"/>
        <v/>
      </c>
      <c r="X91" s="95" t="str">
        <f t="shared" si="23"/>
        <v/>
      </c>
      <c r="Y91" s="95" t="str">
        <f t="shared" si="24"/>
        <v/>
      </c>
      <c r="Z91" s="96" t="str">
        <f>IFERROR(W91*X91*Assumptions!$B$15/3956,"")</f>
        <v/>
      </c>
      <c r="AA91" s="100" t="str">
        <f t="shared" si="25"/>
        <v/>
      </c>
      <c r="AB91" s="95" t="str">
        <f t="shared" si="26"/>
        <v/>
      </c>
      <c r="AC91" s="95" t="str">
        <f t="shared" si="27"/>
        <v/>
      </c>
      <c r="AD91" s="96" t="str">
        <f>IFERROR(AA91*AB91*Assumptions!$B$15/3956,"")</f>
        <v/>
      </c>
      <c r="AE91" s="244" t="str">
        <f>IFERROR(
IF(C91="VTS",
IF(O91&gt;=AVERAGE(
INDEX(Assumptions!$I$38:$I$57,MATCH(O91,Assumptions!$I$38:$I$57,-1)),
INDEX(Assumptions!$I$38:$I$57,MATCH(O91,Assumptions!$I$38:$I$57,-1)+1)),
INDEX(Assumptions!$I$38:$I$57,MATCH(O91,Assumptions!$I$38:$I$57,-1)),
INDEX(Assumptions!$I$38:$I$57,MATCH(O91,Assumptions!$I$38:$I$57,-1)+1)),
IF(O91&gt;=AVERAGE(
INDEX(Assumptions!$I$13:$I$32,MATCH(O91,Assumptions!$I$13:$I$32,-1)),
INDEX(Assumptions!$I$13:$I$32,MATCH(O91,Assumptions!$I$13:$I$32,-1)+1)),
INDEX(Assumptions!$I$13:$I$32,MATCH(O91,Assumptions!$I$13:$I$32,-1)),
INDEX(Assumptions!$I$13:$I$32,MATCH(O91,Assumptions!$I$13:$I$32,-1)+1))),
"")</f>
        <v/>
      </c>
      <c r="AF91" s="95" t="str">
        <f>IFERROR(
IF(C91="VTS",
VLOOKUP(AE91,Assumptions!$I$38:$K$57,MATCH(P91,Assumptions!$I$37:$K$37,0),FALSE),
VLOOKUP(AE91,Assumptions!$I$13:$K$32,MATCH(P91,Assumptions!$I$12:$K$12,0),FALSE)),
"")</f>
        <v/>
      </c>
      <c r="AG91" s="95" t="str">
        <f t="shared" si="28"/>
        <v/>
      </c>
      <c r="AH91" s="95" t="str">
        <f>IFERROR(AG91*
(Assumptions!$S$7*(V91/(AK91*Assumptions!$AB$9/100)/O91)^3+
Assumptions!$S$8*(V91/(AK91*Assumptions!$AB$9/100)/O91)^2+
Assumptions!$S$9*(V91/(AK91*Assumptions!$AB$9/100)/O91)+
Assumptions!$S$10),"")</f>
        <v/>
      </c>
      <c r="AI91" s="95" t="str">
        <f>IFERROR(AG91*
(Assumptions!$S$7*(Z91/(AK91*Assumptions!$AB$8/100)/O91)^3+
Assumptions!$S$8*(Z91/(AK91*Assumptions!$AB$8/100)/O91)^2+
Assumptions!$S$9*(Z91/(AK91*Assumptions!$AB$8/100)/O91)+
Assumptions!$S$10),"")</f>
        <v/>
      </c>
      <c r="AJ91" s="95" t="str">
        <f>IFERROR(AG91*
(Assumptions!$S$7*(AD91/(AK91*Assumptions!$AB$10/100)/O91)^3+
Assumptions!$S$8*(AD91/(AK91*Assumptions!$AB$10/100)/O91)^2+
Assumptions!$S$9*(AD91/(AK91*Assumptions!$AB$10/100)/O91)+
Assumptions!$S$10),"")</f>
        <v/>
      </c>
      <c r="AK91" s="95" t="str">
        <f>IFERROR(
Assumptions!$AD$8*LN(S91)^2+
Assumptions!$AE$8*LN(R91)*LN(S91)+
Assumptions!$AF$8*LN(R91)^2+
Assumptions!$AG$8*LN(S91)+
Assumptions!$AH$8*LN(R91)-
(IF(Q91=1800,
VLOOKUP(C91,Assumptions!$AA$13:$AC$17,3),
IF(Q91=3600,
VLOOKUP(C91,Assumptions!$AA$18:$AC$22,3),
""))+Assumptions!$AI$8),
"")</f>
        <v/>
      </c>
      <c r="AL91" s="96" t="str">
        <f>IFERROR(
Assumptions!$D$11*(V91/(Assumptions!$AB$9*AK91/100)+AH91)+
Assumptions!$D$10*(Z91/(Assumptions!$AB$8*AK91/100)+AI91)+
Assumptions!$D$12*(AD91/(Assumptions!$AB$10*AK91/100)+AJ91),
"")</f>
        <v/>
      </c>
      <c r="AM91" s="67" t="str">
        <f>IFERROR(
U91*Assumptions!$D$11+
Y91*Assumptions!$D$10+
AC91*Assumptions!$D$12,
"")</f>
        <v/>
      </c>
      <c r="AN91" s="77" t="str">
        <f t="shared" si="29"/>
        <v/>
      </c>
      <c r="AO91" s="30" t="str">
        <f t="shared" si="30"/>
        <v/>
      </c>
    </row>
    <row r="92" spans="1:41" x14ac:dyDescent="0.25">
      <c r="A92" s="264"/>
      <c r="B92" s="265"/>
      <c r="C92" s="265"/>
      <c r="D92" s="265"/>
      <c r="E92" s="266"/>
      <c r="F92" s="270"/>
      <c r="G92" s="271"/>
      <c r="H92" s="272"/>
      <c r="I92" s="270"/>
      <c r="J92" s="308"/>
      <c r="K92" s="272"/>
      <c r="L92" s="270"/>
      <c r="M92" s="308"/>
      <c r="N92" s="310"/>
      <c r="O92" s="306"/>
      <c r="P92" s="84" t="str">
        <f t="shared" si="16"/>
        <v/>
      </c>
      <c r="Q92" s="84" t="str">
        <f t="shared" si="17"/>
        <v/>
      </c>
      <c r="R92" s="93" t="str">
        <f t="shared" si="18"/>
        <v/>
      </c>
      <c r="S92" s="100" t="str">
        <f t="shared" si="19"/>
        <v/>
      </c>
      <c r="T92" s="95" t="str">
        <f t="shared" si="20"/>
        <v/>
      </c>
      <c r="U92" s="95" t="str">
        <f t="shared" si="21"/>
        <v/>
      </c>
      <c r="V92" s="96" t="str">
        <f>IFERROR(S92*T92*Assumptions!$B$15/3956,"")</f>
        <v/>
      </c>
      <c r="W92" s="102" t="str">
        <f t="shared" si="22"/>
        <v/>
      </c>
      <c r="X92" s="95" t="str">
        <f t="shared" si="23"/>
        <v/>
      </c>
      <c r="Y92" s="95" t="str">
        <f t="shared" si="24"/>
        <v/>
      </c>
      <c r="Z92" s="96" t="str">
        <f>IFERROR(W92*X92*Assumptions!$B$15/3956,"")</f>
        <v/>
      </c>
      <c r="AA92" s="100" t="str">
        <f t="shared" si="25"/>
        <v/>
      </c>
      <c r="AB92" s="95" t="str">
        <f t="shared" si="26"/>
        <v/>
      </c>
      <c r="AC92" s="95" t="str">
        <f t="shared" si="27"/>
        <v/>
      </c>
      <c r="AD92" s="96" t="str">
        <f>IFERROR(AA92*AB92*Assumptions!$B$15/3956,"")</f>
        <v/>
      </c>
      <c r="AE92" s="244" t="str">
        <f>IFERROR(
IF(C92="VTS",
IF(O92&gt;=AVERAGE(
INDEX(Assumptions!$I$38:$I$57,MATCH(O92,Assumptions!$I$38:$I$57,-1)),
INDEX(Assumptions!$I$38:$I$57,MATCH(O92,Assumptions!$I$38:$I$57,-1)+1)),
INDEX(Assumptions!$I$38:$I$57,MATCH(O92,Assumptions!$I$38:$I$57,-1)),
INDEX(Assumptions!$I$38:$I$57,MATCH(O92,Assumptions!$I$38:$I$57,-1)+1)),
IF(O92&gt;=AVERAGE(
INDEX(Assumptions!$I$13:$I$32,MATCH(O92,Assumptions!$I$13:$I$32,-1)),
INDEX(Assumptions!$I$13:$I$32,MATCH(O92,Assumptions!$I$13:$I$32,-1)+1)),
INDEX(Assumptions!$I$13:$I$32,MATCH(O92,Assumptions!$I$13:$I$32,-1)),
INDEX(Assumptions!$I$13:$I$32,MATCH(O92,Assumptions!$I$13:$I$32,-1)+1))),
"")</f>
        <v/>
      </c>
      <c r="AF92" s="95" t="str">
        <f>IFERROR(
IF(C92="VTS",
VLOOKUP(AE92,Assumptions!$I$38:$K$57,MATCH(P92,Assumptions!$I$37:$K$37,0),FALSE),
VLOOKUP(AE92,Assumptions!$I$13:$K$32,MATCH(P92,Assumptions!$I$12:$K$12,0),FALSE)),
"")</f>
        <v/>
      </c>
      <c r="AG92" s="95" t="str">
        <f t="shared" si="28"/>
        <v/>
      </c>
      <c r="AH92" s="95" t="str">
        <f>IFERROR(AG92*
(Assumptions!$S$7*(V92/(AK92*Assumptions!$AB$9/100)/O92)^3+
Assumptions!$S$8*(V92/(AK92*Assumptions!$AB$9/100)/O92)^2+
Assumptions!$S$9*(V92/(AK92*Assumptions!$AB$9/100)/O92)+
Assumptions!$S$10),"")</f>
        <v/>
      </c>
      <c r="AI92" s="95" t="str">
        <f>IFERROR(AG92*
(Assumptions!$S$7*(Z92/(AK92*Assumptions!$AB$8/100)/O92)^3+
Assumptions!$S$8*(Z92/(AK92*Assumptions!$AB$8/100)/O92)^2+
Assumptions!$S$9*(Z92/(AK92*Assumptions!$AB$8/100)/O92)+
Assumptions!$S$10),"")</f>
        <v/>
      </c>
      <c r="AJ92" s="95" t="str">
        <f>IFERROR(AG92*
(Assumptions!$S$7*(AD92/(AK92*Assumptions!$AB$10/100)/O92)^3+
Assumptions!$S$8*(AD92/(AK92*Assumptions!$AB$10/100)/O92)^2+
Assumptions!$S$9*(AD92/(AK92*Assumptions!$AB$10/100)/O92)+
Assumptions!$S$10),"")</f>
        <v/>
      </c>
      <c r="AK92" s="95" t="str">
        <f>IFERROR(
Assumptions!$AD$8*LN(S92)^2+
Assumptions!$AE$8*LN(R92)*LN(S92)+
Assumptions!$AF$8*LN(R92)^2+
Assumptions!$AG$8*LN(S92)+
Assumptions!$AH$8*LN(R92)-
(IF(Q92=1800,
VLOOKUP(C92,Assumptions!$AA$13:$AC$17,3),
IF(Q92=3600,
VLOOKUP(C92,Assumptions!$AA$18:$AC$22,3),
""))+Assumptions!$AI$8),
"")</f>
        <v/>
      </c>
      <c r="AL92" s="96" t="str">
        <f>IFERROR(
Assumptions!$D$11*(V92/(Assumptions!$AB$9*AK92/100)+AH92)+
Assumptions!$D$10*(Z92/(Assumptions!$AB$8*AK92/100)+AI92)+
Assumptions!$D$12*(AD92/(Assumptions!$AB$10*AK92/100)+AJ92),
"")</f>
        <v/>
      </c>
      <c r="AM92" s="67" t="str">
        <f>IFERROR(
U92*Assumptions!$D$11+
Y92*Assumptions!$D$10+
AC92*Assumptions!$D$12,
"")</f>
        <v/>
      </c>
      <c r="AN92" s="77" t="str">
        <f t="shared" si="29"/>
        <v/>
      </c>
      <c r="AO92" s="30" t="str">
        <f t="shared" si="30"/>
        <v/>
      </c>
    </row>
    <row r="93" spans="1:41" x14ac:dyDescent="0.25">
      <c r="A93" s="264"/>
      <c r="B93" s="265"/>
      <c r="C93" s="265"/>
      <c r="D93" s="265"/>
      <c r="E93" s="266"/>
      <c r="F93" s="270"/>
      <c r="G93" s="271"/>
      <c r="H93" s="272"/>
      <c r="I93" s="270"/>
      <c r="J93" s="308"/>
      <c r="K93" s="272"/>
      <c r="L93" s="270"/>
      <c r="M93" s="308"/>
      <c r="N93" s="310"/>
      <c r="O93" s="306"/>
      <c r="P93" s="84" t="str">
        <f t="shared" si="16"/>
        <v/>
      </c>
      <c r="Q93" s="84" t="str">
        <f t="shared" si="17"/>
        <v/>
      </c>
      <c r="R93" s="93" t="str">
        <f t="shared" si="18"/>
        <v/>
      </c>
      <c r="S93" s="100" t="str">
        <f t="shared" si="19"/>
        <v/>
      </c>
      <c r="T93" s="95" t="str">
        <f t="shared" si="20"/>
        <v/>
      </c>
      <c r="U93" s="95" t="str">
        <f t="shared" si="21"/>
        <v/>
      </c>
      <c r="V93" s="96" t="str">
        <f>IFERROR(S93*T93*Assumptions!$B$15/3956,"")</f>
        <v/>
      </c>
      <c r="W93" s="102" t="str">
        <f t="shared" si="22"/>
        <v/>
      </c>
      <c r="X93" s="95" t="str">
        <f t="shared" si="23"/>
        <v/>
      </c>
      <c r="Y93" s="95" t="str">
        <f t="shared" si="24"/>
        <v/>
      </c>
      <c r="Z93" s="96" t="str">
        <f>IFERROR(W93*X93*Assumptions!$B$15/3956,"")</f>
        <v/>
      </c>
      <c r="AA93" s="100" t="str">
        <f t="shared" si="25"/>
        <v/>
      </c>
      <c r="AB93" s="95" t="str">
        <f t="shared" si="26"/>
        <v/>
      </c>
      <c r="AC93" s="95" t="str">
        <f t="shared" si="27"/>
        <v/>
      </c>
      <c r="AD93" s="96" t="str">
        <f>IFERROR(AA93*AB93*Assumptions!$B$15/3956,"")</f>
        <v/>
      </c>
      <c r="AE93" s="244" t="str">
        <f>IFERROR(
IF(C93="VTS",
IF(O93&gt;=AVERAGE(
INDEX(Assumptions!$I$38:$I$57,MATCH(O93,Assumptions!$I$38:$I$57,-1)),
INDEX(Assumptions!$I$38:$I$57,MATCH(O93,Assumptions!$I$38:$I$57,-1)+1)),
INDEX(Assumptions!$I$38:$I$57,MATCH(O93,Assumptions!$I$38:$I$57,-1)),
INDEX(Assumptions!$I$38:$I$57,MATCH(O93,Assumptions!$I$38:$I$57,-1)+1)),
IF(O93&gt;=AVERAGE(
INDEX(Assumptions!$I$13:$I$32,MATCH(O93,Assumptions!$I$13:$I$32,-1)),
INDEX(Assumptions!$I$13:$I$32,MATCH(O93,Assumptions!$I$13:$I$32,-1)+1)),
INDEX(Assumptions!$I$13:$I$32,MATCH(O93,Assumptions!$I$13:$I$32,-1)),
INDEX(Assumptions!$I$13:$I$32,MATCH(O93,Assumptions!$I$13:$I$32,-1)+1))),
"")</f>
        <v/>
      </c>
      <c r="AF93" s="95" t="str">
        <f>IFERROR(
IF(C93="VTS",
VLOOKUP(AE93,Assumptions!$I$38:$K$57,MATCH(P93,Assumptions!$I$37:$K$37,0),FALSE),
VLOOKUP(AE93,Assumptions!$I$13:$K$32,MATCH(P93,Assumptions!$I$12:$K$12,0),FALSE)),
"")</f>
        <v/>
      </c>
      <c r="AG93" s="95" t="str">
        <f t="shared" si="28"/>
        <v/>
      </c>
      <c r="AH93" s="95" t="str">
        <f>IFERROR(AG93*
(Assumptions!$S$7*(V93/(AK93*Assumptions!$AB$9/100)/O93)^3+
Assumptions!$S$8*(V93/(AK93*Assumptions!$AB$9/100)/O93)^2+
Assumptions!$S$9*(V93/(AK93*Assumptions!$AB$9/100)/O93)+
Assumptions!$S$10),"")</f>
        <v/>
      </c>
      <c r="AI93" s="95" t="str">
        <f>IFERROR(AG93*
(Assumptions!$S$7*(Z93/(AK93*Assumptions!$AB$8/100)/O93)^3+
Assumptions!$S$8*(Z93/(AK93*Assumptions!$AB$8/100)/O93)^2+
Assumptions!$S$9*(Z93/(AK93*Assumptions!$AB$8/100)/O93)+
Assumptions!$S$10),"")</f>
        <v/>
      </c>
      <c r="AJ93" s="95" t="str">
        <f>IFERROR(AG93*
(Assumptions!$S$7*(AD93/(AK93*Assumptions!$AB$10/100)/O93)^3+
Assumptions!$S$8*(AD93/(AK93*Assumptions!$AB$10/100)/O93)^2+
Assumptions!$S$9*(AD93/(AK93*Assumptions!$AB$10/100)/O93)+
Assumptions!$S$10),"")</f>
        <v/>
      </c>
      <c r="AK93" s="95" t="str">
        <f>IFERROR(
Assumptions!$AD$8*LN(S93)^2+
Assumptions!$AE$8*LN(R93)*LN(S93)+
Assumptions!$AF$8*LN(R93)^2+
Assumptions!$AG$8*LN(S93)+
Assumptions!$AH$8*LN(R93)-
(IF(Q93=1800,
VLOOKUP(C93,Assumptions!$AA$13:$AC$17,3),
IF(Q93=3600,
VLOOKUP(C93,Assumptions!$AA$18:$AC$22,3),
""))+Assumptions!$AI$8),
"")</f>
        <v/>
      </c>
      <c r="AL93" s="96" t="str">
        <f>IFERROR(
Assumptions!$D$11*(V93/(Assumptions!$AB$9*AK93/100)+AH93)+
Assumptions!$D$10*(Z93/(Assumptions!$AB$8*AK93/100)+AI93)+
Assumptions!$D$12*(AD93/(Assumptions!$AB$10*AK93/100)+AJ93),
"")</f>
        <v/>
      </c>
      <c r="AM93" s="67" t="str">
        <f>IFERROR(
U93*Assumptions!$D$11+
Y93*Assumptions!$D$10+
AC93*Assumptions!$D$12,
"")</f>
        <v/>
      </c>
      <c r="AN93" s="77" t="str">
        <f t="shared" si="29"/>
        <v/>
      </c>
      <c r="AO93" s="30" t="str">
        <f t="shared" si="30"/>
        <v/>
      </c>
    </row>
    <row r="94" spans="1:41" x14ac:dyDescent="0.25">
      <c r="A94" s="264"/>
      <c r="B94" s="265"/>
      <c r="C94" s="265"/>
      <c r="D94" s="265"/>
      <c r="E94" s="266"/>
      <c r="F94" s="270"/>
      <c r="G94" s="271"/>
      <c r="H94" s="272"/>
      <c r="I94" s="270"/>
      <c r="J94" s="308"/>
      <c r="K94" s="272"/>
      <c r="L94" s="270"/>
      <c r="M94" s="308"/>
      <c r="N94" s="310"/>
      <c r="O94" s="306"/>
      <c r="P94" s="84" t="str">
        <f t="shared" si="16"/>
        <v/>
      </c>
      <c r="Q94" s="84" t="str">
        <f t="shared" si="17"/>
        <v/>
      </c>
      <c r="R94" s="93" t="str">
        <f t="shared" si="18"/>
        <v/>
      </c>
      <c r="S94" s="100" t="str">
        <f t="shared" si="19"/>
        <v/>
      </c>
      <c r="T94" s="95" t="str">
        <f t="shared" si="20"/>
        <v/>
      </c>
      <c r="U94" s="95" t="str">
        <f t="shared" si="21"/>
        <v/>
      </c>
      <c r="V94" s="96" t="str">
        <f>IFERROR(S94*T94*Assumptions!$B$15/3956,"")</f>
        <v/>
      </c>
      <c r="W94" s="102" t="str">
        <f t="shared" si="22"/>
        <v/>
      </c>
      <c r="X94" s="95" t="str">
        <f t="shared" si="23"/>
        <v/>
      </c>
      <c r="Y94" s="95" t="str">
        <f t="shared" si="24"/>
        <v/>
      </c>
      <c r="Z94" s="96" t="str">
        <f>IFERROR(W94*X94*Assumptions!$B$15/3956,"")</f>
        <v/>
      </c>
      <c r="AA94" s="100" t="str">
        <f t="shared" si="25"/>
        <v/>
      </c>
      <c r="AB94" s="95" t="str">
        <f t="shared" si="26"/>
        <v/>
      </c>
      <c r="AC94" s="95" t="str">
        <f t="shared" si="27"/>
        <v/>
      </c>
      <c r="AD94" s="96" t="str">
        <f>IFERROR(AA94*AB94*Assumptions!$B$15/3956,"")</f>
        <v/>
      </c>
      <c r="AE94" s="244" t="str">
        <f>IFERROR(
IF(C94="VTS",
IF(O94&gt;=AVERAGE(
INDEX(Assumptions!$I$38:$I$57,MATCH(O94,Assumptions!$I$38:$I$57,-1)),
INDEX(Assumptions!$I$38:$I$57,MATCH(O94,Assumptions!$I$38:$I$57,-1)+1)),
INDEX(Assumptions!$I$38:$I$57,MATCH(O94,Assumptions!$I$38:$I$57,-1)),
INDEX(Assumptions!$I$38:$I$57,MATCH(O94,Assumptions!$I$38:$I$57,-1)+1)),
IF(O94&gt;=AVERAGE(
INDEX(Assumptions!$I$13:$I$32,MATCH(O94,Assumptions!$I$13:$I$32,-1)),
INDEX(Assumptions!$I$13:$I$32,MATCH(O94,Assumptions!$I$13:$I$32,-1)+1)),
INDEX(Assumptions!$I$13:$I$32,MATCH(O94,Assumptions!$I$13:$I$32,-1)),
INDEX(Assumptions!$I$13:$I$32,MATCH(O94,Assumptions!$I$13:$I$32,-1)+1))),
"")</f>
        <v/>
      </c>
      <c r="AF94" s="95" t="str">
        <f>IFERROR(
IF(C94="VTS",
VLOOKUP(AE94,Assumptions!$I$38:$K$57,MATCH(P94,Assumptions!$I$37:$K$37,0),FALSE),
VLOOKUP(AE94,Assumptions!$I$13:$K$32,MATCH(P94,Assumptions!$I$12:$K$12,0),FALSE)),
"")</f>
        <v/>
      </c>
      <c r="AG94" s="95" t="str">
        <f t="shared" si="28"/>
        <v/>
      </c>
      <c r="AH94" s="95" t="str">
        <f>IFERROR(AG94*
(Assumptions!$S$7*(V94/(AK94*Assumptions!$AB$9/100)/O94)^3+
Assumptions!$S$8*(V94/(AK94*Assumptions!$AB$9/100)/O94)^2+
Assumptions!$S$9*(V94/(AK94*Assumptions!$AB$9/100)/O94)+
Assumptions!$S$10),"")</f>
        <v/>
      </c>
      <c r="AI94" s="95" t="str">
        <f>IFERROR(AG94*
(Assumptions!$S$7*(Z94/(AK94*Assumptions!$AB$8/100)/O94)^3+
Assumptions!$S$8*(Z94/(AK94*Assumptions!$AB$8/100)/O94)^2+
Assumptions!$S$9*(Z94/(AK94*Assumptions!$AB$8/100)/O94)+
Assumptions!$S$10),"")</f>
        <v/>
      </c>
      <c r="AJ94" s="95" t="str">
        <f>IFERROR(AG94*
(Assumptions!$S$7*(AD94/(AK94*Assumptions!$AB$10/100)/O94)^3+
Assumptions!$S$8*(AD94/(AK94*Assumptions!$AB$10/100)/O94)^2+
Assumptions!$S$9*(AD94/(AK94*Assumptions!$AB$10/100)/O94)+
Assumptions!$S$10),"")</f>
        <v/>
      </c>
      <c r="AK94" s="95" t="str">
        <f>IFERROR(
Assumptions!$AD$8*LN(S94)^2+
Assumptions!$AE$8*LN(R94)*LN(S94)+
Assumptions!$AF$8*LN(R94)^2+
Assumptions!$AG$8*LN(S94)+
Assumptions!$AH$8*LN(R94)-
(IF(Q94=1800,
VLOOKUP(C94,Assumptions!$AA$13:$AC$17,3),
IF(Q94=3600,
VLOOKUP(C94,Assumptions!$AA$18:$AC$22,3),
""))+Assumptions!$AI$8),
"")</f>
        <v/>
      </c>
      <c r="AL94" s="96" t="str">
        <f>IFERROR(
Assumptions!$D$11*(V94/(Assumptions!$AB$9*AK94/100)+AH94)+
Assumptions!$D$10*(Z94/(Assumptions!$AB$8*AK94/100)+AI94)+
Assumptions!$D$12*(AD94/(Assumptions!$AB$10*AK94/100)+AJ94),
"")</f>
        <v/>
      </c>
      <c r="AM94" s="67" t="str">
        <f>IFERROR(
U94*Assumptions!$D$11+
Y94*Assumptions!$D$10+
AC94*Assumptions!$D$12,
"")</f>
        <v/>
      </c>
      <c r="AN94" s="77" t="str">
        <f t="shared" si="29"/>
        <v/>
      </c>
      <c r="AO94" s="30" t="str">
        <f t="shared" si="30"/>
        <v/>
      </c>
    </row>
    <row r="95" spans="1:41" x14ac:dyDescent="0.25">
      <c r="A95" s="264"/>
      <c r="B95" s="265"/>
      <c r="C95" s="265"/>
      <c r="D95" s="265"/>
      <c r="E95" s="266"/>
      <c r="F95" s="270"/>
      <c r="G95" s="271"/>
      <c r="H95" s="272"/>
      <c r="I95" s="270"/>
      <c r="J95" s="308"/>
      <c r="K95" s="272"/>
      <c r="L95" s="270"/>
      <c r="M95" s="308"/>
      <c r="N95" s="310"/>
      <c r="O95" s="306"/>
      <c r="P95" s="84" t="str">
        <f t="shared" si="16"/>
        <v/>
      </c>
      <c r="Q95" s="84" t="str">
        <f t="shared" si="17"/>
        <v/>
      </c>
      <c r="R95" s="93" t="str">
        <f t="shared" si="18"/>
        <v/>
      </c>
      <c r="S95" s="100" t="str">
        <f t="shared" si="19"/>
        <v/>
      </c>
      <c r="T95" s="95" t="str">
        <f t="shared" si="20"/>
        <v/>
      </c>
      <c r="U95" s="95" t="str">
        <f t="shared" si="21"/>
        <v/>
      </c>
      <c r="V95" s="96" t="str">
        <f>IFERROR(S95*T95*Assumptions!$B$15/3956,"")</f>
        <v/>
      </c>
      <c r="W95" s="102" t="str">
        <f t="shared" si="22"/>
        <v/>
      </c>
      <c r="X95" s="95" t="str">
        <f t="shared" si="23"/>
        <v/>
      </c>
      <c r="Y95" s="95" t="str">
        <f t="shared" si="24"/>
        <v/>
      </c>
      <c r="Z95" s="96" t="str">
        <f>IFERROR(W95*X95*Assumptions!$B$15/3956,"")</f>
        <v/>
      </c>
      <c r="AA95" s="100" t="str">
        <f t="shared" si="25"/>
        <v/>
      </c>
      <c r="AB95" s="95" t="str">
        <f t="shared" si="26"/>
        <v/>
      </c>
      <c r="AC95" s="95" t="str">
        <f t="shared" si="27"/>
        <v/>
      </c>
      <c r="AD95" s="96" t="str">
        <f>IFERROR(AA95*AB95*Assumptions!$B$15/3956,"")</f>
        <v/>
      </c>
      <c r="AE95" s="244" t="str">
        <f>IFERROR(
IF(C95="VTS",
IF(O95&gt;=AVERAGE(
INDEX(Assumptions!$I$38:$I$57,MATCH(O95,Assumptions!$I$38:$I$57,-1)),
INDEX(Assumptions!$I$38:$I$57,MATCH(O95,Assumptions!$I$38:$I$57,-1)+1)),
INDEX(Assumptions!$I$38:$I$57,MATCH(O95,Assumptions!$I$38:$I$57,-1)),
INDEX(Assumptions!$I$38:$I$57,MATCH(O95,Assumptions!$I$38:$I$57,-1)+1)),
IF(O95&gt;=AVERAGE(
INDEX(Assumptions!$I$13:$I$32,MATCH(O95,Assumptions!$I$13:$I$32,-1)),
INDEX(Assumptions!$I$13:$I$32,MATCH(O95,Assumptions!$I$13:$I$32,-1)+1)),
INDEX(Assumptions!$I$13:$I$32,MATCH(O95,Assumptions!$I$13:$I$32,-1)),
INDEX(Assumptions!$I$13:$I$32,MATCH(O95,Assumptions!$I$13:$I$32,-1)+1))),
"")</f>
        <v/>
      </c>
      <c r="AF95" s="95" t="str">
        <f>IFERROR(
IF(C95="VTS",
VLOOKUP(AE95,Assumptions!$I$38:$K$57,MATCH(P95,Assumptions!$I$37:$K$37,0),FALSE),
VLOOKUP(AE95,Assumptions!$I$13:$K$32,MATCH(P95,Assumptions!$I$12:$K$12,0),FALSE)),
"")</f>
        <v/>
      </c>
      <c r="AG95" s="95" t="str">
        <f t="shared" si="28"/>
        <v/>
      </c>
      <c r="AH95" s="95" t="str">
        <f>IFERROR(AG95*
(Assumptions!$S$7*(V95/(AK95*Assumptions!$AB$9/100)/O95)^3+
Assumptions!$S$8*(V95/(AK95*Assumptions!$AB$9/100)/O95)^2+
Assumptions!$S$9*(V95/(AK95*Assumptions!$AB$9/100)/O95)+
Assumptions!$S$10),"")</f>
        <v/>
      </c>
      <c r="AI95" s="95" t="str">
        <f>IFERROR(AG95*
(Assumptions!$S$7*(Z95/(AK95*Assumptions!$AB$8/100)/O95)^3+
Assumptions!$S$8*(Z95/(AK95*Assumptions!$AB$8/100)/O95)^2+
Assumptions!$S$9*(Z95/(AK95*Assumptions!$AB$8/100)/O95)+
Assumptions!$S$10),"")</f>
        <v/>
      </c>
      <c r="AJ95" s="95" t="str">
        <f>IFERROR(AG95*
(Assumptions!$S$7*(AD95/(AK95*Assumptions!$AB$10/100)/O95)^3+
Assumptions!$S$8*(AD95/(AK95*Assumptions!$AB$10/100)/O95)^2+
Assumptions!$S$9*(AD95/(AK95*Assumptions!$AB$10/100)/O95)+
Assumptions!$S$10),"")</f>
        <v/>
      </c>
      <c r="AK95" s="95" t="str">
        <f>IFERROR(
Assumptions!$AD$8*LN(S95)^2+
Assumptions!$AE$8*LN(R95)*LN(S95)+
Assumptions!$AF$8*LN(R95)^2+
Assumptions!$AG$8*LN(S95)+
Assumptions!$AH$8*LN(R95)-
(IF(Q95=1800,
VLOOKUP(C95,Assumptions!$AA$13:$AC$17,3),
IF(Q95=3600,
VLOOKUP(C95,Assumptions!$AA$18:$AC$22,3),
""))+Assumptions!$AI$8),
"")</f>
        <v/>
      </c>
      <c r="AL95" s="96" t="str">
        <f>IFERROR(
Assumptions!$D$11*(V95/(Assumptions!$AB$9*AK95/100)+AH95)+
Assumptions!$D$10*(Z95/(Assumptions!$AB$8*AK95/100)+AI95)+
Assumptions!$D$12*(AD95/(Assumptions!$AB$10*AK95/100)+AJ95),
"")</f>
        <v/>
      </c>
      <c r="AM95" s="67" t="str">
        <f>IFERROR(
U95*Assumptions!$D$11+
Y95*Assumptions!$D$10+
AC95*Assumptions!$D$12,
"")</f>
        <v/>
      </c>
      <c r="AN95" s="77" t="str">
        <f t="shared" si="29"/>
        <v/>
      </c>
      <c r="AO95" s="30" t="str">
        <f t="shared" si="30"/>
        <v/>
      </c>
    </row>
    <row r="96" spans="1:41" x14ac:dyDescent="0.25">
      <c r="A96" s="264"/>
      <c r="B96" s="265"/>
      <c r="C96" s="265"/>
      <c r="D96" s="265"/>
      <c r="E96" s="266"/>
      <c r="F96" s="270"/>
      <c r="G96" s="271"/>
      <c r="H96" s="272"/>
      <c r="I96" s="270"/>
      <c r="J96" s="308"/>
      <c r="K96" s="272"/>
      <c r="L96" s="270"/>
      <c r="M96" s="308"/>
      <c r="N96" s="310"/>
      <c r="O96" s="306"/>
      <c r="P96" s="84" t="str">
        <f t="shared" si="16"/>
        <v/>
      </c>
      <c r="Q96" s="84" t="str">
        <f t="shared" si="17"/>
        <v/>
      </c>
      <c r="R96" s="93" t="str">
        <f t="shared" si="18"/>
        <v/>
      </c>
      <c r="S96" s="100" t="str">
        <f t="shared" si="19"/>
        <v/>
      </c>
      <c r="T96" s="95" t="str">
        <f t="shared" si="20"/>
        <v/>
      </c>
      <c r="U96" s="95" t="str">
        <f t="shared" si="21"/>
        <v/>
      </c>
      <c r="V96" s="96" t="str">
        <f>IFERROR(S96*T96*Assumptions!$B$15/3956,"")</f>
        <v/>
      </c>
      <c r="W96" s="102" t="str">
        <f t="shared" si="22"/>
        <v/>
      </c>
      <c r="X96" s="95" t="str">
        <f t="shared" si="23"/>
        <v/>
      </c>
      <c r="Y96" s="95" t="str">
        <f t="shared" si="24"/>
        <v/>
      </c>
      <c r="Z96" s="96" t="str">
        <f>IFERROR(W96*X96*Assumptions!$B$15/3956,"")</f>
        <v/>
      </c>
      <c r="AA96" s="100" t="str">
        <f t="shared" si="25"/>
        <v/>
      </c>
      <c r="AB96" s="95" t="str">
        <f t="shared" si="26"/>
        <v/>
      </c>
      <c r="AC96" s="95" t="str">
        <f t="shared" si="27"/>
        <v/>
      </c>
      <c r="AD96" s="96" t="str">
        <f>IFERROR(AA96*AB96*Assumptions!$B$15/3956,"")</f>
        <v/>
      </c>
      <c r="AE96" s="244" t="str">
        <f>IFERROR(
IF(C96="VTS",
IF(O96&gt;=AVERAGE(
INDEX(Assumptions!$I$38:$I$57,MATCH(O96,Assumptions!$I$38:$I$57,-1)),
INDEX(Assumptions!$I$38:$I$57,MATCH(O96,Assumptions!$I$38:$I$57,-1)+1)),
INDEX(Assumptions!$I$38:$I$57,MATCH(O96,Assumptions!$I$38:$I$57,-1)),
INDEX(Assumptions!$I$38:$I$57,MATCH(O96,Assumptions!$I$38:$I$57,-1)+1)),
IF(O96&gt;=AVERAGE(
INDEX(Assumptions!$I$13:$I$32,MATCH(O96,Assumptions!$I$13:$I$32,-1)),
INDEX(Assumptions!$I$13:$I$32,MATCH(O96,Assumptions!$I$13:$I$32,-1)+1)),
INDEX(Assumptions!$I$13:$I$32,MATCH(O96,Assumptions!$I$13:$I$32,-1)),
INDEX(Assumptions!$I$13:$I$32,MATCH(O96,Assumptions!$I$13:$I$32,-1)+1))),
"")</f>
        <v/>
      </c>
      <c r="AF96" s="95" t="str">
        <f>IFERROR(
IF(C96="VTS",
VLOOKUP(AE96,Assumptions!$I$38:$K$57,MATCH(P96,Assumptions!$I$37:$K$37,0),FALSE),
VLOOKUP(AE96,Assumptions!$I$13:$K$32,MATCH(P96,Assumptions!$I$12:$K$12,0),FALSE)),
"")</f>
        <v/>
      </c>
      <c r="AG96" s="95" t="str">
        <f t="shared" si="28"/>
        <v/>
      </c>
      <c r="AH96" s="95" t="str">
        <f>IFERROR(AG96*
(Assumptions!$S$7*(V96/(AK96*Assumptions!$AB$9/100)/O96)^3+
Assumptions!$S$8*(V96/(AK96*Assumptions!$AB$9/100)/O96)^2+
Assumptions!$S$9*(V96/(AK96*Assumptions!$AB$9/100)/O96)+
Assumptions!$S$10),"")</f>
        <v/>
      </c>
      <c r="AI96" s="95" t="str">
        <f>IFERROR(AG96*
(Assumptions!$S$7*(Z96/(AK96*Assumptions!$AB$8/100)/O96)^3+
Assumptions!$S$8*(Z96/(AK96*Assumptions!$AB$8/100)/O96)^2+
Assumptions!$S$9*(Z96/(AK96*Assumptions!$AB$8/100)/O96)+
Assumptions!$S$10),"")</f>
        <v/>
      </c>
      <c r="AJ96" s="95" t="str">
        <f>IFERROR(AG96*
(Assumptions!$S$7*(AD96/(AK96*Assumptions!$AB$10/100)/O96)^3+
Assumptions!$S$8*(AD96/(AK96*Assumptions!$AB$10/100)/O96)^2+
Assumptions!$S$9*(AD96/(AK96*Assumptions!$AB$10/100)/O96)+
Assumptions!$S$10),"")</f>
        <v/>
      </c>
      <c r="AK96" s="95" t="str">
        <f>IFERROR(
Assumptions!$AD$8*LN(S96)^2+
Assumptions!$AE$8*LN(R96)*LN(S96)+
Assumptions!$AF$8*LN(R96)^2+
Assumptions!$AG$8*LN(S96)+
Assumptions!$AH$8*LN(R96)-
(IF(Q96=1800,
VLOOKUP(C96,Assumptions!$AA$13:$AC$17,3),
IF(Q96=3600,
VLOOKUP(C96,Assumptions!$AA$18:$AC$22,3),
""))+Assumptions!$AI$8),
"")</f>
        <v/>
      </c>
      <c r="AL96" s="96" t="str">
        <f>IFERROR(
Assumptions!$D$11*(V96/(Assumptions!$AB$9*AK96/100)+AH96)+
Assumptions!$D$10*(Z96/(Assumptions!$AB$8*AK96/100)+AI96)+
Assumptions!$D$12*(AD96/(Assumptions!$AB$10*AK96/100)+AJ96),
"")</f>
        <v/>
      </c>
      <c r="AM96" s="67" t="str">
        <f>IFERROR(
U96*Assumptions!$D$11+
Y96*Assumptions!$D$10+
AC96*Assumptions!$D$12,
"")</f>
        <v/>
      </c>
      <c r="AN96" s="77" t="str">
        <f t="shared" si="29"/>
        <v/>
      </c>
      <c r="AO96" s="30" t="str">
        <f t="shared" si="30"/>
        <v/>
      </c>
    </row>
    <row r="97" spans="1:41" x14ac:dyDescent="0.25">
      <c r="A97" s="264"/>
      <c r="B97" s="265"/>
      <c r="C97" s="265"/>
      <c r="D97" s="265"/>
      <c r="E97" s="266"/>
      <c r="F97" s="270"/>
      <c r="G97" s="271"/>
      <c r="H97" s="272"/>
      <c r="I97" s="270"/>
      <c r="J97" s="308"/>
      <c r="K97" s="272"/>
      <c r="L97" s="270"/>
      <c r="M97" s="308"/>
      <c r="N97" s="310"/>
      <c r="O97" s="306"/>
      <c r="P97" s="84" t="str">
        <f t="shared" si="16"/>
        <v/>
      </c>
      <c r="Q97" s="84" t="str">
        <f t="shared" si="17"/>
        <v/>
      </c>
      <c r="R97" s="93" t="str">
        <f t="shared" si="18"/>
        <v/>
      </c>
      <c r="S97" s="100" t="str">
        <f t="shared" si="19"/>
        <v/>
      </c>
      <c r="T97" s="95" t="str">
        <f t="shared" si="20"/>
        <v/>
      </c>
      <c r="U97" s="95" t="str">
        <f t="shared" si="21"/>
        <v/>
      </c>
      <c r="V97" s="96" t="str">
        <f>IFERROR(S97*T97*Assumptions!$B$15/3956,"")</f>
        <v/>
      </c>
      <c r="W97" s="102" t="str">
        <f t="shared" si="22"/>
        <v/>
      </c>
      <c r="X97" s="95" t="str">
        <f t="shared" si="23"/>
        <v/>
      </c>
      <c r="Y97" s="95" t="str">
        <f t="shared" si="24"/>
        <v/>
      </c>
      <c r="Z97" s="96" t="str">
        <f>IFERROR(W97*X97*Assumptions!$B$15/3956,"")</f>
        <v/>
      </c>
      <c r="AA97" s="100" t="str">
        <f t="shared" si="25"/>
        <v/>
      </c>
      <c r="AB97" s="95" t="str">
        <f t="shared" si="26"/>
        <v/>
      </c>
      <c r="AC97" s="95" t="str">
        <f t="shared" si="27"/>
        <v/>
      </c>
      <c r="AD97" s="96" t="str">
        <f>IFERROR(AA97*AB97*Assumptions!$B$15/3956,"")</f>
        <v/>
      </c>
      <c r="AE97" s="244" t="str">
        <f>IFERROR(
IF(C97="VTS",
IF(O97&gt;=AVERAGE(
INDEX(Assumptions!$I$38:$I$57,MATCH(O97,Assumptions!$I$38:$I$57,-1)),
INDEX(Assumptions!$I$38:$I$57,MATCH(O97,Assumptions!$I$38:$I$57,-1)+1)),
INDEX(Assumptions!$I$38:$I$57,MATCH(O97,Assumptions!$I$38:$I$57,-1)),
INDEX(Assumptions!$I$38:$I$57,MATCH(O97,Assumptions!$I$38:$I$57,-1)+1)),
IF(O97&gt;=AVERAGE(
INDEX(Assumptions!$I$13:$I$32,MATCH(O97,Assumptions!$I$13:$I$32,-1)),
INDEX(Assumptions!$I$13:$I$32,MATCH(O97,Assumptions!$I$13:$I$32,-1)+1)),
INDEX(Assumptions!$I$13:$I$32,MATCH(O97,Assumptions!$I$13:$I$32,-1)),
INDEX(Assumptions!$I$13:$I$32,MATCH(O97,Assumptions!$I$13:$I$32,-1)+1))),
"")</f>
        <v/>
      </c>
      <c r="AF97" s="95" t="str">
        <f>IFERROR(
IF(C97="VTS",
VLOOKUP(AE97,Assumptions!$I$38:$K$57,MATCH(P97,Assumptions!$I$37:$K$37,0),FALSE),
VLOOKUP(AE97,Assumptions!$I$13:$K$32,MATCH(P97,Assumptions!$I$12:$K$12,0),FALSE)),
"")</f>
        <v/>
      </c>
      <c r="AG97" s="95" t="str">
        <f t="shared" si="28"/>
        <v/>
      </c>
      <c r="AH97" s="95" t="str">
        <f>IFERROR(AG97*
(Assumptions!$S$7*(V97/(AK97*Assumptions!$AB$9/100)/O97)^3+
Assumptions!$S$8*(V97/(AK97*Assumptions!$AB$9/100)/O97)^2+
Assumptions!$S$9*(V97/(AK97*Assumptions!$AB$9/100)/O97)+
Assumptions!$S$10),"")</f>
        <v/>
      </c>
      <c r="AI97" s="95" t="str">
        <f>IFERROR(AG97*
(Assumptions!$S$7*(Z97/(AK97*Assumptions!$AB$8/100)/O97)^3+
Assumptions!$S$8*(Z97/(AK97*Assumptions!$AB$8/100)/O97)^2+
Assumptions!$S$9*(Z97/(AK97*Assumptions!$AB$8/100)/O97)+
Assumptions!$S$10),"")</f>
        <v/>
      </c>
      <c r="AJ97" s="95" t="str">
        <f>IFERROR(AG97*
(Assumptions!$S$7*(AD97/(AK97*Assumptions!$AB$10/100)/O97)^3+
Assumptions!$S$8*(AD97/(AK97*Assumptions!$AB$10/100)/O97)^2+
Assumptions!$S$9*(AD97/(AK97*Assumptions!$AB$10/100)/O97)+
Assumptions!$S$10),"")</f>
        <v/>
      </c>
      <c r="AK97" s="95" t="str">
        <f>IFERROR(
Assumptions!$AD$8*LN(S97)^2+
Assumptions!$AE$8*LN(R97)*LN(S97)+
Assumptions!$AF$8*LN(R97)^2+
Assumptions!$AG$8*LN(S97)+
Assumptions!$AH$8*LN(R97)-
(IF(Q97=1800,
VLOOKUP(C97,Assumptions!$AA$13:$AC$17,3),
IF(Q97=3600,
VLOOKUP(C97,Assumptions!$AA$18:$AC$22,3),
""))+Assumptions!$AI$8),
"")</f>
        <v/>
      </c>
      <c r="AL97" s="96" t="str">
        <f>IFERROR(
Assumptions!$D$11*(V97/(Assumptions!$AB$9*AK97/100)+AH97)+
Assumptions!$D$10*(Z97/(Assumptions!$AB$8*AK97/100)+AI97)+
Assumptions!$D$12*(AD97/(Assumptions!$AB$10*AK97/100)+AJ97),
"")</f>
        <v/>
      </c>
      <c r="AM97" s="67" t="str">
        <f>IFERROR(
U97*Assumptions!$D$11+
Y97*Assumptions!$D$10+
AC97*Assumptions!$D$12,
"")</f>
        <v/>
      </c>
      <c r="AN97" s="77" t="str">
        <f t="shared" si="29"/>
        <v/>
      </c>
      <c r="AO97" s="30" t="str">
        <f t="shared" si="30"/>
        <v/>
      </c>
    </row>
    <row r="98" spans="1:41" x14ac:dyDescent="0.25">
      <c r="A98" s="264"/>
      <c r="B98" s="265"/>
      <c r="C98" s="265"/>
      <c r="D98" s="265"/>
      <c r="E98" s="266"/>
      <c r="F98" s="270"/>
      <c r="G98" s="271"/>
      <c r="H98" s="272"/>
      <c r="I98" s="270"/>
      <c r="J98" s="308"/>
      <c r="K98" s="272"/>
      <c r="L98" s="270"/>
      <c r="M98" s="308"/>
      <c r="N98" s="310"/>
      <c r="O98" s="306"/>
      <c r="P98" s="84" t="str">
        <f t="shared" si="16"/>
        <v/>
      </c>
      <c r="Q98" s="84" t="str">
        <f t="shared" si="17"/>
        <v/>
      </c>
      <c r="R98" s="93" t="str">
        <f t="shared" si="18"/>
        <v/>
      </c>
      <c r="S98" s="100" t="str">
        <f t="shared" si="19"/>
        <v/>
      </c>
      <c r="T98" s="95" t="str">
        <f t="shared" si="20"/>
        <v/>
      </c>
      <c r="U98" s="95" t="str">
        <f t="shared" si="21"/>
        <v/>
      </c>
      <c r="V98" s="96" t="str">
        <f>IFERROR(S98*T98*Assumptions!$B$15/3956,"")</f>
        <v/>
      </c>
      <c r="W98" s="102" t="str">
        <f t="shared" si="22"/>
        <v/>
      </c>
      <c r="X98" s="95" t="str">
        <f t="shared" si="23"/>
        <v/>
      </c>
      <c r="Y98" s="95" t="str">
        <f t="shared" si="24"/>
        <v/>
      </c>
      <c r="Z98" s="96" t="str">
        <f>IFERROR(W98*X98*Assumptions!$B$15/3956,"")</f>
        <v/>
      </c>
      <c r="AA98" s="100" t="str">
        <f t="shared" si="25"/>
        <v/>
      </c>
      <c r="AB98" s="95" t="str">
        <f t="shared" si="26"/>
        <v/>
      </c>
      <c r="AC98" s="95" t="str">
        <f t="shared" si="27"/>
        <v/>
      </c>
      <c r="AD98" s="96" t="str">
        <f>IFERROR(AA98*AB98*Assumptions!$B$15/3956,"")</f>
        <v/>
      </c>
      <c r="AE98" s="244" t="str">
        <f>IFERROR(
IF(C98="VTS",
IF(O98&gt;=AVERAGE(
INDEX(Assumptions!$I$38:$I$57,MATCH(O98,Assumptions!$I$38:$I$57,-1)),
INDEX(Assumptions!$I$38:$I$57,MATCH(O98,Assumptions!$I$38:$I$57,-1)+1)),
INDEX(Assumptions!$I$38:$I$57,MATCH(O98,Assumptions!$I$38:$I$57,-1)),
INDEX(Assumptions!$I$38:$I$57,MATCH(O98,Assumptions!$I$38:$I$57,-1)+1)),
IF(O98&gt;=AVERAGE(
INDEX(Assumptions!$I$13:$I$32,MATCH(O98,Assumptions!$I$13:$I$32,-1)),
INDEX(Assumptions!$I$13:$I$32,MATCH(O98,Assumptions!$I$13:$I$32,-1)+1)),
INDEX(Assumptions!$I$13:$I$32,MATCH(O98,Assumptions!$I$13:$I$32,-1)),
INDEX(Assumptions!$I$13:$I$32,MATCH(O98,Assumptions!$I$13:$I$32,-1)+1))),
"")</f>
        <v/>
      </c>
      <c r="AF98" s="95" t="str">
        <f>IFERROR(
IF(C98="VTS",
VLOOKUP(AE98,Assumptions!$I$38:$K$57,MATCH(P98,Assumptions!$I$37:$K$37,0),FALSE),
VLOOKUP(AE98,Assumptions!$I$13:$K$32,MATCH(P98,Assumptions!$I$12:$K$12,0),FALSE)),
"")</f>
        <v/>
      </c>
      <c r="AG98" s="95" t="str">
        <f t="shared" si="28"/>
        <v/>
      </c>
      <c r="AH98" s="95" t="str">
        <f>IFERROR(AG98*
(Assumptions!$S$7*(V98/(AK98*Assumptions!$AB$9/100)/O98)^3+
Assumptions!$S$8*(V98/(AK98*Assumptions!$AB$9/100)/O98)^2+
Assumptions!$S$9*(V98/(AK98*Assumptions!$AB$9/100)/O98)+
Assumptions!$S$10),"")</f>
        <v/>
      </c>
      <c r="AI98" s="95" t="str">
        <f>IFERROR(AG98*
(Assumptions!$S$7*(Z98/(AK98*Assumptions!$AB$8/100)/O98)^3+
Assumptions!$S$8*(Z98/(AK98*Assumptions!$AB$8/100)/O98)^2+
Assumptions!$S$9*(Z98/(AK98*Assumptions!$AB$8/100)/O98)+
Assumptions!$S$10),"")</f>
        <v/>
      </c>
      <c r="AJ98" s="95" t="str">
        <f>IFERROR(AG98*
(Assumptions!$S$7*(AD98/(AK98*Assumptions!$AB$10/100)/O98)^3+
Assumptions!$S$8*(AD98/(AK98*Assumptions!$AB$10/100)/O98)^2+
Assumptions!$S$9*(AD98/(AK98*Assumptions!$AB$10/100)/O98)+
Assumptions!$S$10),"")</f>
        <v/>
      </c>
      <c r="AK98" s="95" t="str">
        <f>IFERROR(
Assumptions!$AD$8*LN(S98)^2+
Assumptions!$AE$8*LN(R98)*LN(S98)+
Assumptions!$AF$8*LN(R98)^2+
Assumptions!$AG$8*LN(S98)+
Assumptions!$AH$8*LN(R98)-
(IF(Q98=1800,
VLOOKUP(C98,Assumptions!$AA$13:$AC$17,3),
IF(Q98=3600,
VLOOKUP(C98,Assumptions!$AA$18:$AC$22,3),
""))+Assumptions!$AI$8),
"")</f>
        <v/>
      </c>
      <c r="AL98" s="96" t="str">
        <f>IFERROR(
Assumptions!$D$11*(V98/(Assumptions!$AB$9*AK98/100)+AH98)+
Assumptions!$D$10*(Z98/(Assumptions!$AB$8*AK98/100)+AI98)+
Assumptions!$D$12*(AD98/(Assumptions!$AB$10*AK98/100)+AJ98),
"")</f>
        <v/>
      </c>
      <c r="AM98" s="67" t="str">
        <f>IFERROR(
U98*Assumptions!$D$11+
Y98*Assumptions!$D$10+
AC98*Assumptions!$D$12,
"")</f>
        <v/>
      </c>
      <c r="AN98" s="77" t="str">
        <f t="shared" si="29"/>
        <v/>
      </c>
      <c r="AO98" s="30" t="str">
        <f t="shared" si="30"/>
        <v/>
      </c>
    </row>
    <row r="99" spans="1:41" x14ac:dyDescent="0.25">
      <c r="A99" s="264"/>
      <c r="B99" s="265"/>
      <c r="C99" s="265"/>
      <c r="D99" s="265"/>
      <c r="E99" s="266"/>
      <c r="F99" s="270"/>
      <c r="G99" s="271"/>
      <c r="H99" s="272"/>
      <c r="I99" s="270"/>
      <c r="J99" s="308"/>
      <c r="K99" s="272"/>
      <c r="L99" s="270"/>
      <c r="M99" s="308"/>
      <c r="N99" s="310"/>
      <c r="O99" s="306"/>
      <c r="P99" s="84" t="str">
        <f t="shared" si="16"/>
        <v/>
      </c>
      <c r="Q99" s="84" t="str">
        <f t="shared" si="17"/>
        <v/>
      </c>
      <c r="R99" s="93" t="str">
        <f t="shared" si="18"/>
        <v/>
      </c>
      <c r="S99" s="100" t="str">
        <f t="shared" si="19"/>
        <v/>
      </c>
      <c r="T99" s="95" t="str">
        <f t="shared" si="20"/>
        <v/>
      </c>
      <c r="U99" s="95" t="str">
        <f t="shared" si="21"/>
        <v/>
      </c>
      <c r="V99" s="96" t="str">
        <f>IFERROR(S99*T99*Assumptions!$B$15/3956,"")</f>
        <v/>
      </c>
      <c r="W99" s="102" t="str">
        <f t="shared" si="22"/>
        <v/>
      </c>
      <c r="X99" s="95" t="str">
        <f t="shared" si="23"/>
        <v/>
      </c>
      <c r="Y99" s="95" t="str">
        <f t="shared" si="24"/>
        <v/>
      </c>
      <c r="Z99" s="96" t="str">
        <f>IFERROR(W99*X99*Assumptions!$B$15/3956,"")</f>
        <v/>
      </c>
      <c r="AA99" s="100" t="str">
        <f t="shared" si="25"/>
        <v/>
      </c>
      <c r="AB99" s="95" t="str">
        <f t="shared" si="26"/>
        <v/>
      </c>
      <c r="AC99" s="95" t="str">
        <f t="shared" si="27"/>
        <v/>
      </c>
      <c r="AD99" s="96" t="str">
        <f>IFERROR(AA99*AB99*Assumptions!$B$15/3956,"")</f>
        <v/>
      </c>
      <c r="AE99" s="244" t="str">
        <f>IFERROR(
IF(C99="VTS",
IF(O99&gt;=AVERAGE(
INDEX(Assumptions!$I$38:$I$57,MATCH(O99,Assumptions!$I$38:$I$57,-1)),
INDEX(Assumptions!$I$38:$I$57,MATCH(O99,Assumptions!$I$38:$I$57,-1)+1)),
INDEX(Assumptions!$I$38:$I$57,MATCH(O99,Assumptions!$I$38:$I$57,-1)),
INDEX(Assumptions!$I$38:$I$57,MATCH(O99,Assumptions!$I$38:$I$57,-1)+1)),
IF(O99&gt;=AVERAGE(
INDEX(Assumptions!$I$13:$I$32,MATCH(O99,Assumptions!$I$13:$I$32,-1)),
INDEX(Assumptions!$I$13:$I$32,MATCH(O99,Assumptions!$I$13:$I$32,-1)+1)),
INDEX(Assumptions!$I$13:$I$32,MATCH(O99,Assumptions!$I$13:$I$32,-1)),
INDEX(Assumptions!$I$13:$I$32,MATCH(O99,Assumptions!$I$13:$I$32,-1)+1))),
"")</f>
        <v/>
      </c>
      <c r="AF99" s="95" t="str">
        <f>IFERROR(
IF(C99="VTS",
VLOOKUP(AE99,Assumptions!$I$38:$K$57,MATCH(P99,Assumptions!$I$37:$K$37,0),FALSE),
VLOOKUP(AE99,Assumptions!$I$13:$K$32,MATCH(P99,Assumptions!$I$12:$K$12,0),FALSE)),
"")</f>
        <v/>
      </c>
      <c r="AG99" s="95" t="str">
        <f t="shared" si="28"/>
        <v/>
      </c>
      <c r="AH99" s="95" t="str">
        <f>IFERROR(AG99*
(Assumptions!$S$7*(V99/(AK99*Assumptions!$AB$9/100)/O99)^3+
Assumptions!$S$8*(V99/(AK99*Assumptions!$AB$9/100)/O99)^2+
Assumptions!$S$9*(V99/(AK99*Assumptions!$AB$9/100)/O99)+
Assumptions!$S$10),"")</f>
        <v/>
      </c>
      <c r="AI99" s="95" t="str">
        <f>IFERROR(AG99*
(Assumptions!$S$7*(Z99/(AK99*Assumptions!$AB$8/100)/O99)^3+
Assumptions!$S$8*(Z99/(AK99*Assumptions!$AB$8/100)/O99)^2+
Assumptions!$S$9*(Z99/(AK99*Assumptions!$AB$8/100)/O99)+
Assumptions!$S$10),"")</f>
        <v/>
      </c>
      <c r="AJ99" s="95" t="str">
        <f>IFERROR(AG99*
(Assumptions!$S$7*(AD99/(AK99*Assumptions!$AB$10/100)/O99)^3+
Assumptions!$S$8*(AD99/(AK99*Assumptions!$AB$10/100)/O99)^2+
Assumptions!$S$9*(AD99/(AK99*Assumptions!$AB$10/100)/O99)+
Assumptions!$S$10),"")</f>
        <v/>
      </c>
      <c r="AK99" s="95" t="str">
        <f>IFERROR(
Assumptions!$AD$8*LN(S99)^2+
Assumptions!$AE$8*LN(R99)*LN(S99)+
Assumptions!$AF$8*LN(R99)^2+
Assumptions!$AG$8*LN(S99)+
Assumptions!$AH$8*LN(R99)-
(IF(Q99=1800,
VLOOKUP(C99,Assumptions!$AA$13:$AC$17,3),
IF(Q99=3600,
VLOOKUP(C99,Assumptions!$AA$18:$AC$22,3),
""))+Assumptions!$AI$8),
"")</f>
        <v/>
      </c>
      <c r="AL99" s="96" t="str">
        <f>IFERROR(
Assumptions!$D$11*(V99/(Assumptions!$AB$9*AK99/100)+AH99)+
Assumptions!$D$10*(Z99/(Assumptions!$AB$8*AK99/100)+AI99)+
Assumptions!$D$12*(AD99/(Assumptions!$AB$10*AK99/100)+AJ99),
"")</f>
        <v/>
      </c>
      <c r="AM99" s="67" t="str">
        <f>IFERROR(
U99*Assumptions!$D$11+
Y99*Assumptions!$D$10+
AC99*Assumptions!$D$12,
"")</f>
        <v/>
      </c>
      <c r="AN99" s="77" t="str">
        <f t="shared" si="29"/>
        <v/>
      </c>
      <c r="AO99" s="30" t="str">
        <f t="shared" si="30"/>
        <v/>
      </c>
    </row>
    <row r="100" spans="1:41" x14ac:dyDescent="0.25">
      <c r="A100" s="264"/>
      <c r="B100" s="265"/>
      <c r="C100" s="265"/>
      <c r="D100" s="265"/>
      <c r="E100" s="266"/>
      <c r="F100" s="270"/>
      <c r="G100" s="271"/>
      <c r="H100" s="272"/>
      <c r="I100" s="270"/>
      <c r="J100" s="308"/>
      <c r="K100" s="272"/>
      <c r="L100" s="270"/>
      <c r="M100" s="308"/>
      <c r="N100" s="310"/>
      <c r="O100" s="306"/>
      <c r="P100" s="84" t="str">
        <f t="shared" si="16"/>
        <v/>
      </c>
      <c r="Q100" s="84" t="str">
        <f t="shared" si="17"/>
        <v/>
      </c>
      <c r="R100" s="93" t="str">
        <f t="shared" si="18"/>
        <v/>
      </c>
      <c r="S100" s="100" t="str">
        <f t="shared" si="19"/>
        <v/>
      </c>
      <c r="T100" s="95" t="str">
        <f t="shared" si="20"/>
        <v/>
      </c>
      <c r="U100" s="95" t="str">
        <f t="shared" si="21"/>
        <v/>
      </c>
      <c r="V100" s="96" t="str">
        <f>IFERROR(S100*T100*Assumptions!$B$15/3956,"")</f>
        <v/>
      </c>
      <c r="W100" s="102" t="str">
        <f t="shared" si="22"/>
        <v/>
      </c>
      <c r="X100" s="95" t="str">
        <f t="shared" si="23"/>
        <v/>
      </c>
      <c r="Y100" s="95" t="str">
        <f t="shared" si="24"/>
        <v/>
      </c>
      <c r="Z100" s="96" t="str">
        <f>IFERROR(W100*X100*Assumptions!$B$15/3956,"")</f>
        <v/>
      </c>
      <c r="AA100" s="100" t="str">
        <f t="shared" si="25"/>
        <v/>
      </c>
      <c r="AB100" s="95" t="str">
        <f t="shared" si="26"/>
        <v/>
      </c>
      <c r="AC100" s="95" t="str">
        <f t="shared" si="27"/>
        <v/>
      </c>
      <c r="AD100" s="96" t="str">
        <f>IFERROR(AA100*AB100*Assumptions!$B$15/3956,"")</f>
        <v/>
      </c>
      <c r="AE100" s="244" t="str">
        <f>IFERROR(
IF(C100="VTS",
IF(O100&gt;=AVERAGE(
INDEX(Assumptions!$I$38:$I$57,MATCH(O100,Assumptions!$I$38:$I$57,-1)),
INDEX(Assumptions!$I$38:$I$57,MATCH(O100,Assumptions!$I$38:$I$57,-1)+1)),
INDEX(Assumptions!$I$38:$I$57,MATCH(O100,Assumptions!$I$38:$I$57,-1)),
INDEX(Assumptions!$I$38:$I$57,MATCH(O100,Assumptions!$I$38:$I$57,-1)+1)),
IF(O100&gt;=AVERAGE(
INDEX(Assumptions!$I$13:$I$32,MATCH(O100,Assumptions!$I$13:$I$32,-1)),
INDEX(Assumptions!$I$13:$I$32,MATCH(O100,Assumptions!$I$13:$I$32,-1)+1)),
INDEX(Assumptions!$I$13:$I$32,MATCH(O100,Assumptions!$I$13:$I$32,-1)),
INDEX(Assumptions!$I$13:$I$32,MATCH(O100,Assumptions!$I$13:$I$32,-1)+1))),
"")</f>
        <v/>
      </c>
      <c r="AF100" s="95" t="str">
        <f>IFERROR(
IF(C100="VTS",
VLOOKUP(AE100,Assumptions!$I$38:$K$57,MATCH(P100,Assumptions!$I$37:$K$37,0),FALSE),
VLOOKUP(AE100,Assumptions!$I$13:$K$32,MATCH(P100,Assumptions!$I$12:$K$12,0),FALSE)),
"")</f>
        <v/>
      </c>
      <c r="AG100" s="95" t="str">
        <f t="shared" si="28"/>
        <v/>
      </c>
      <c r="AH100" s="95" t="str">
        <f>IFERROR(AG100*
(Assumptions!$S$7*(V100/(AK100*Assumptions!$AB$9/100)/O100)^3+
Assumptions!$S$8*(V100/(AK100*Assumptions!$AB$9/100)/O100)^2+
Assumptions!$S$9*(V100/(AK100*Assumptions!$AB$9/100)/O100)+
Assumptions!$S$10),"")</f>
        <v/>
      </c>
      <c r="AI100" s="95" t="str">
        <f>IFERROR(AG100*
(Assumptions!$S$7*(Z100/(AK100*Assumptions!$AB$8/100)/O100)^3+
Assumptions!$S$8*(Z100/(AK100*Assumptions!$AB$8/100)/O100)^2+
Assumptions!$S$9*(Z100/(AK100*Assumptions!$AB$8/100)/O100)+
Assumptions!$S$10),"")</f>
        <v/>
      </c>
      <c r="AJ100" s="95" t="str">
        <f>IFERROR(AG100*
(Assumptions!$S$7*(AD100/(AK100*Assumptions!$AB$10/100)/O100)^3+
Assumptions!$S$8*(AD100/(AK100*Assumptions!$AB$10/100)/O100)^2+
Assumptions!$S$9*(AD100/(AK100*Assumptions!$AB$10/100)/O100)+
Assumptions!$S$10),"")</f>
        <v/>
      </c>
      <c r="AK100" s="95" t="str">
        <f>IFERROR(
Assumptions!$AD$8*LN(S100)^2+
Assumptions!$AE$8*LN(R100)*LN(S100)+
Assumptions!$AF$8*LN(R100)^2+
Assumptions!$AG$8*LN(S100)+
Assumptions!$AH$8*LN(R100)-
(IF(Q100=1800,
VLOOKUP(C100,Assumptions!$AA$13:$AC$17,3),
IF(Q100=3600,
VLOOKUP(C100,Assumptions!$AA$18:$AC$22,3),
""))+Assumptions!$AI$8),
"")</f>
        <v/>
      </c>
      <c r="AL100" s="96" t="str">
        <f>IFERROR(
Assumptions!$D$11*(V100/(Assumptions!$AB$9*AK100/100)+AH100)+
Assumptions!$D$10*(Z100/(Assumptions!$AB$8*AK100/100)+AI100)+
Assumptions!$D$12*(AD100/(Assumptions!$AB$10*AK100/100)+AJ100),
"")</f>
        <v/>
      </c>
      <c r="AM100" s="67" t="str">
        <f>IFERROR(
U100*Assumptions!$D$11+
Y100*Assumptions!$D$10+
AC100*Assumptions!$D$12,
"")</f>
        <v/>
      </c>
      <c r="AN100" s="77" t="str">
        <f t="shared" si="29"/>
        <v/>
      </c>
      <c r="AO100" s="30" t="str">
        <f t="shared" si="30"/>
        <v/>
      </c>
    </row>
    <row r="101" spans="1:41" x14ac:dyDescent="0.25">
      <c r="A101" s="264"/>
      <c r="B101" s="265"/>
      <c r="C101" s="265"/>
      <c r="D101" s="265"/>
      <c r="E101" s="266"/>
      <c r="F101" s="270"/>
      <c r="G101" s="271"/>
      <c r="H101" s="272"/>
      <c r="I101" s="270"/>
      <c r="J101" s="308"/>
      <c r="K101" s="272"/>
      <c r="L101" s="270"/>
      <c r="M101" s="308"/>
      <c r="N101" s="310"/>
      <c r="O101" s="306"/>
      <c r="P101" s="84" t="str">
        <f t="shared" si="16"/>
        <v/>
      </c>
      <c r="Q101" s="84" t="str">
        <f t="shared" si="17"/>
        <v/>
      </c>
      <c r="R101" s="93" t="str">
        <f t="shared" si="18"/>
        <v/>
      </c>
      <c r="S101" s="100" t="str">
        <f t="shared" si="19"/>
        <v/>
      </c>
      <c r="T101" s="95" t="str">
        <f t="shared" si="20"/>
        <v/>
      </c>
      <c r="U101" s="95" t="str">
        <f t="shared" si="21"/>
        <v/>
      </c>
      <c r="V101" s="96" t="str">
        <f>IFERROR(S101*T101*Assumptions!$B$15/3956,"")</f>
        <v/>
      </c>
      <c r="W101" s="102" t="str">
        <f t="shared" si="22"/>
        <v/>
      </c>
      <c r="X101" s="95" t="str">
        <f t="shared" si="23"/>
        <v/>
      </c>
      <c r="Y101" s="95" t="str">
        <f t="shared" si="24"/>
        <v/>
      </c>
      <c r="Z101" s="96" t="str">
        <f>IFERROR(W101*X101*Assumptions!$B$15/3956,"")</f>
        <v/>
      </c>
      <c r="AA101" s="100" t="str">
        <f t="shared" si="25"/>
        <v/>
      </c>
      <c r="AB101" s="95" t="str">
        <f t="shared" si="26"/>
        <v/>
      </c>
      <c r="AC101" s="95" t="str">
        <f t="shared" si="27"/>
        <v/>
      </c>
      <c r="AD101" s="96" t="str">
        <f>IFERROR(AA101*AB101*Assumptions!$B$15/3956,"")</f>
        <v/>
      </c>
      <c r="AE101" s="244" t="str">
        <f>IFERROR(
IF(C101="VTS",
IF(O101&gt;=AVERAGE(
INDEX(Assumptions!$I$38:$I$57,MATCH(O101,Assumptions!$I$38:$I$57,-1)),
INDEX(Assumptions!$I$38:$I$57,MATCH(O101,Assumptions!$I$38:$I$57,-1)+1)),
INDEX(Assumptions!$I$38:$I$57,MATCH(O101,Assumptions!$I$38:$I$57,-1)),
INDEX(Assumptions!$I$38:$I$57,MATCH(O101,Assumptions!$I$38:$I$57,-1)+1)),
IF(O101&gt;=AVERAGE(
INDEX(Assumptions!$I$13:$I$32,MATCH(O101,Assumptions!$I$13:$I$32,-1)),
INDEX(Assumptions!$I$13:$I$32,MATCH(O101,Assumptions!$I$13:$I$32,-1)+1)),
INDEX(Assumptions!$I$13:$I$32,MATCH(O101,Assumptions!$I$13:$I$32,-1)),
INDEX(Assumptions!$I$13:$I$32,MATCH(O101,Assumptions!$I$13:$I$32,-1)+1))),
"")</f>
        <v/>
      </c>
      <c r="AF101" s="95" t="str">
        <f>IFERROR(
IF(C101="VTS",
VLOOKUP(AE101,Assumptions!$I$38:$K$57,MATCH(P101,Assumptions!$I$37:$K$37,0),FALSE),
VLOOKUP(AE101,Assumptions!$I$13:$K$32,MATCH(P101,Assumptions!$I$12:$K$12,0),FALSE)),
"")</f>
        <v/>
      </c>
      <c r="AG101" s="95" t="str">
        <f t="shared" si="28"/>
        <v/>
      </c>
      <c r="AH101" s="95" t="str">
        <f>IFERROR(AG101*
(Assumptions!$S$7*(V101/(AK101*Assumptions!$AB$9/100)/O101)^3+
Assumptions!$S$8*(V101/(AK101*Assumptions!$AB$9/100)/O101)^2+
Assumptions!$S$9*(V101/(AK101*Assumptions!$AB$9/100)/O101)+
Assumptions!$S$10),"")</f>
        <v/>
      </c>
      <c r="AI101" s="95" t="str">
        <f>IFERROR(AG101*
(Assumptions!$S$7*(Z101/(AK101*Assumptions!$AB$8/100)/O101)^3+
Assumptions!$S$8*(Z101/(AK101*Assumptions!$AB$8/100)/O101)^2+
Assumptions!$S$9*(Z101/(AK101*Assumptions!$AB$8/100)/O101)+
Assumptions!$S$10),"")</f>
        <v/>
      </c>
      <c r="AJ101" s="95" t="str">
        <f>IFERROR(AG101*
(Assumptions!$S$7*(AD101/(AK101*Assumptions!$AB$10/100)/O101)^3+
Assumptions!$S$8*(AD101/(AK101*Assumptions!$AB$10/100)/O101)^2+
Assumptions!$S$9*(AD101/(AK101*Assumptions!$AB$10/100)/O101)+
Assumptions!$S$10),"")</f>
        <v/>
      </c>
      <c r="AK101" s="95" t="str">
        <f>IFERROR(
Assumptions!$AD$8*LN(S101)^2+
Assumptions!$AE$8*LN(R101)*LN(S101)+
Assumptions!$AF$8*LN(R101)^2+
Assumptions!$AG$8*LN(S101)+
Assumptions!$AH$8*LN(R101)-
(IF(Q101=1800,
VLOOKUP(C101,Assumptions!$AA$13:$AC$17,3),
IF(Q101=3600,
VLOOKUP(C101,Assumptions!$AA$18:$AC$22,3),
""))+Assumptions!$AI$8),
"")</f>
        <v/>
      </c>
      <c r="AL101" s="96" t="str">
        <f>IFERROR(
Assumptions!$D$11*(V101/(Assumptions!$AB$9*AK101/100)+AH101)+
Assumptions!$D$10*(Z101/(Assumptions!$AB$8*AK101/100)+AI101)+
Assumptions!$D$12*(AD101/(Assumptions!$AB$10*AK101/100)+AJ101),
"")</f>
        <v/>
      </c>
      <c r="AM101" s="67" t="str">
        <f>IFERROR(
U101*Assumptions!$D$11+
Y101*Assumptions!$D$10+
AC101*Assumptions!$D$12,
"")</f>
        <v/>
      </c>
      <c r="AN101" s="77" t="str">
        <f t="shared" si="29"/>
        <v/>
      </c>
      <c r="AO101" s="30" t="str">
        <f t="shared" si="30"/>
        <v/>
      </c>
    </row>
    <row r="102" spans="1:41" x14ac:dyDescent="0.25">
      <c r="A102" s="264"/>
      <c r="B102" s="265"/>
      <c r="C102" s="265"/>
      <c r="D102" s="265"/>
      <c r="E102" s="266"/>
      <c r="F102" s="270"/>
      <c r="G102" s="271"/>
      <c r="H102" s="272"/>
      <c r="I102" s="270"/>
      <c r="J102" s="308"/>
      <c r="K102" s="272"/>
      <c r="L102" s="270"/>
      <c r="M102" s="308"/>
      <c r="N102" s="310"/>
      <c r="O102" s="306"/>
      <c r="P102" s="84" t="str">
        <f t="shared" si="16"/>
        <v/>
      </c>
      <c r="Q102" s="84" t="str">
        <f t="shared" si="17"/>
        <v/>
      </c>
      <c r="R102" s="93" t="str">
        <f t="shared" si="18"/>
        <v/>
      </c>
      <c r="S102" s="100" t="str">
        <f t="shared" si="19"/>
        <v/>
      </c>
      <c r="T102" s="95" t="str">
        <f t="shared" si="20"/>
        <v/>
      </c>
      <c r="U102" s="95" t="str">
        <f t="shared" si="21"/>
        <v/>
      </c>
      <c r="V102" s="96" t="str">
        <f>IFERROR(S102*T102*Assumptions!$B$15/3956,"")</f>
        <v/>
      </c>
      <c r="W102" s="102" t="str">
        <f t="shared" si="22"/>
        <v/>
      </c>
      <c r="X102" s="95" t="str">
        <f t="shared" si="23"/>
        <v/>
      </c>
      <c r="Y102" s="95" t="str">
        <f t="shared" si="24"/>
        <v/>
      </c>
      <c r="Z102" s="96" t="str">
        <f>IFERROR(W102*X102*Assumptions!$B$15/3956,"")</f>
        <v/>
      </c>
      <c r="AA102" s="100" t="str">
        <f t="shared" si="25"/>
        <v/>
      </c>
      <c r="AB102" s="95" t="str">
        <f t="shared" si="26"/>
        <v/>
      </c>
      <c r="AC102" s="95" t="str">
        <f t="shared" si="27"/>
        <v/>
      </c>
      <c r="AD102" s="96" t="str">
        <f>IFERROR(AA102*AB102*Assumptions!$B$15/3956,"")</f>
        <v/>
      </c>
      <c r="AE102" s="244" t="str">
        <f>IFERROR(
IF(C102="VTS",
IF(O102&gt;=AVERAGE(
INDEX(Assumptions!$I$38:$I$57,MATCH(O102,Assumptions!$I$38:$I$57,-1)),
INDEX(Assumptions!$I$38:$I$57,MATCH(O102,Assumptions!$I$38:$I$57,-1)+1)),
INDEX(Assumptions!$I$38:$I$57,MATCH(O102,Assumptions!$I$38:$I$57,-1)),
INDEX(Assumptions!$I$38:$I$57,MATCH(O102,Assumptions!$I$38:$I$57,-1)+1)),
IF(O102&gt;=AVERAGE(
INDEX(Assumptions!$I$13:$I$32,MATCH(O102,Assumptions!$I$13:$I$32,-1)),
INDEX(Assumptions!$I$13:$I$32,MATCH(O102,Assumptions!$I$13:$I$32,-1)+1)),
INDEX(Assumptions!$I$13:$I$32,MATCH(O102,Assumptions!$I$13:$I$32,-1)),
INDEX(Assumptions!$I$13:$I$32,MATCH(O102,Assumptions!$I$13:$I$32,-1)+1))),
"")</f>
        <v/>
      </c>
      <c r="AF102" s="95" t="str">
        <f>IFERROR(
IF(C102="VTS",
VLOOKUP(AE102,Assumptions!$I$38:$K$57,MATCH(P102,Assumptions!$I$37:$K$37,0),FALSE),
VLOOKUP(AE102,Assumptions!$I$13:$K$32,MATCH(P102,Assumptions!$I$12:$K$12,0),FALSE)),
"")</f>
        <v/>
      </c>
      <c r="AG102" s="95" t="str">
        <f t="shared" si="28"/>
        <v/>
      </c>
      <c r="AH102" s="95" t="str">
        <f>IFERROR(AG102*
(Assumptions!$S$7*(V102/(AK102*Assumptions!$AB$9/100)/O102)^3+
Assumptions!$S$8*(V102/(AK102*Assumptions!$AB$9/100)/O102)^2+
Assumptions!$S$9*(V102/(AK102*Assumptions!$AB$9/100)/O102)+
Assumptions!$S$10),"")</f>
        <v/>
      </c>
      <c r="AI102" s="95" t="str">
        <f>IFERROR(AG102*
(Assumptions!$S$7*(Z102/(AK102*Assumptions!$AB$8/100)/O102)^3+
Assumptions!$S$8*(Z102/(AK102*Assumptions!$AB$8/100)/O102)^2+
Assumptions!$S$9*(Z102/(AK102*Assumptions!$AB$8/100)/O102)+
Assumptions!$S$10),"")</f>
        <v/>
      </c>
      <c r="AJ102" s="95" t="str">
        <f>IFERROR(AG102*
(Assumptions!$S$7*(AD102/(AK102*Assumptions!$AB$10/100)/O102)^3+
Assumptions!$S$8*(AD102/(AK102*Assumptions!$AB$10/100)/O102)^2+
Assumptions!$S$9*(AD102/(AK102*Assumptions!$AB$10/100)/O102)+
Assumptions!$S$10),"")</f>
        <v/>
      </c>
      <c r="AK102" s="95" t="str">
        <f>IFERROR(
Assumptions!$AD$8*LN(S102)^2+
Assumptions!$AE$8*LN(R102)*LN(S102)+
Assumptions!$AF$8*LN(R102)^2+
Assumptions!$AG$8*LN(S102)+
Assumptions!$AH$8*LN(R102)-
(IF(Q102=1800,
VLOOKUP(C102,Assumptions!$AA$13:$AC$17,3),
IF(Q102=3600,
VLOOKUP(C102,Assumptions!$AA$18:$AC$22,3),
""))+Assumptions!$AI$8),
"")</f>
        <v/>
      </c>
      <c r="AL102" s="96" t="str">
        <f>IFERROR(
Assumptions!$D$11*(V102/(Assumptions!$AB$9*AK102/100)+AH102)+
Assumptions!$D$10*(Z102/(Assumptions!$AB$8*AK102/100)+AI102)+
Assumptions!$D$12*(AD102/(Assumptions!$AB$10*AK102/100)+AJ102),
"")</f>
        <v/>
      </c>
      <c r="AM102" s="67" t="str">
        <f>IFERROR(
U102*Assumptions!$D$11+
Y102*Assumptions!$D$10+
AC102*Assumptions!$D$12,
"")</f>
        <v/>
      </c>
      <c r="AN102" s="77" t="str">
        <f t="shared" si="29"/>
        <v/>
      </c>
      <c r="AO102" s="30" t="str">
        <f t="shared" si="30"/>
        <v/>
      </c>
    </row>
    <row r="103" spans="1:41" x14ac:dyDescent="0.25">
      <c r="A103" s="264"/>
      <c r="B103" s="265"/>
      <c r="C103" s="265"/>
      <c r="D103" s="265"/>
      <c r="E103" s="266"/>
      <c r="F103" s="270"/>
      <c r="G103" s="271"/>
      <c r="H103" s="272"/>
      <c r="I103" s="270"/>
      <c r="J103" s="308"/>
      <c r="K103" s="272"/>
      <c r="L103" s="270"/>
      <c r="M103" s="308"/>
      <c r="N103" s="310"/>
      <c r="O103" s="306"/>
      <c r="P103" s="84" t="str">
        <f t="shared" si="16"/>
        <v/>
      </c>
      <c r="Q103" s="84" t="str">
        <f t="shared" si="17"/>
        <v/>
      </c>
      <c r="R103" s="93" t="str">
        <f t="shared" si="18"/>
        <v/>
      </c>
      <c r="S103" s="100" t="str">
        <f t="shared" si="19"/>
        <v/>
      </c>
      <c r="T103" s="95" t="str">
        <f t="shared" si="20"/>
        <v/>
      </c>
      <c r="U103" s="95" t="str">
        <f t="shared" si="21"/>
        <v/>
      </c>
      <c r="V103" s="96" t="str">
        <f>IFERROR(S103*T103*Assumptions!$B$15/3956,"")</f>
        <v/>
      </c>
      <c r="W103" s="102" t="str">
        <f t="shared" si="22"/>
        <v/>
      </c>
      <c r="X103" s="95" t="str">
        <f t="shared" si="23"/>
        <v/>
      </c>
      <c r="Y103" s="95" t="str">
        <f t="shared" si="24"/>
        <v/>
      </c>
      <c r="Z103" s="96" t="str">
        <f>IFERROR(W103*X103*Assumptions!$B$15/3956,"")</f>
        <v/>
      </c>
      <c r="AA103" s="100" t="str">
        <f t="shared" si="25"/>
        <v/>
      </c>
      <c r="AB103" s="95" t="str">
        <f t="shared" si="26"/>
        <v/>
      </c>
      <c r="AC103" s="95" t="str">
        <f t="shared" si="27"/>
        <v/>
      </c>
      <c r="AD103" s="96" t="str">
        <f>IFERROR(AA103*AB103*Assumptions!$B$15/3956,"")</f>
        <v/>
      </c>
      <c r="AE103" s="244" t="str">
        <f>IFERROR(
IF(C103="VTS",
IF(O103&gt;=AVERAGE(
INDEX(Assumptions!$I$38:$I$57,MATCH(O103,Assumptions!$I$38:$I$57,-1)),
INDEX(Assumptions!$I$38:$I$57,MATCH(O103,Assumptions!$I$38:$I$57,-1)+1)),
INDEX(Assumptions!$I$38:$I$57,MATCH(O103,Assumptions!$I$38:$I$57,-1)),
INDEX(Assumptions!$I$38:$I$57,MATCH(O103,Assumptions!$I$38:$I$57,-1)+1)),
IF(O103&gt;=AVERAGE(
INDEX(Assumptions!$I$13:$I$32,MATCH(O103,Assumptions!$I$13:$I$32,-1)),
INDEX(Assumptions!$I$13:$I$32,MATCH(O103,Assumptions!$I$13:$I$32,-1)+1)),
INDEX(Assumptions!$I$13:$I$32,MATCH(O103,Assumptions!$I$13:$I$32,-1)),
INDEX(Assumptions!$I$13:$I$32,MATCH(O103,Assumptions!$I$13:$I$32,-1)+1))),
"")</f>
        <v/>
      </c>
      <c r="AF103" s="95" t="str">
        <f>IFERROR(
IF(C103="VTS",
VLOOKUP(AE103,Assumptions!$I$38:$K$57,MATCH(P103,Assumptions!$I$37:$K$37,0),FALSE),
VLOOKUP(AE103,Assumptions!$I$13:$K$32,MATCH(P103,Assumptions!$I$12:$K$12,0),FALSE)),
"")</f>
        <v/>
      </c>
      <c r="AG103" s="95" t="str">
        <f t="shared" si="28"/>
        <v/>
      </c>
      <c r="AH103" s="95" t="str">
        <f>IFERROR(AG103*
(Assumptions!$S$7*(V103/(AK103*Assumptions!$AB$9/100)/O103)^3+
Assumptions!$S$8*(V103/(AK103*Assumptions!$AB$9/100)/O103)^2+
Assumptions!$S$9*(V103/(AK103*Assumptions!$AB$9/100)/O103)+
Assumptions!$S$10),"")</f>
        <v/>
      </c>
      <c r="AI103" s="95" t="str">
        <f>IFERROR(AG103*
(Assumptions!$S$7*(Z103/(AK103*Assumptions!$AB$8/100)/O103)^3+
Assumptions!$S$8*(Z103/(AK103*Assumptions!$AB$8/100)/O103)^2+
Assumptions!$S$9*(Z103/(AK103*Assumptions!$AB$8/100)/O103)+
Assumptions!$S$10),"")</f>
        <v/>
      </c>
      <c r="AJ103" s="95" t="str">
        <f>IFERROR(AG103*
(Assumptions!$S$7*(AD103/(AK103*Assumptions!$AB$10/100)/O103)^3+
Assumptions!$S$8*(AD103/(AK103*Assumptions!$AB$10/100)/O103)^2+
Assumptions!$S$9*(AD103/(AK103*Assumptions!$AB$10/100)/O103)+
Assumptions!$S$10),"")</f>
        <v/>
      </c>
      <c r="AK103" s="95" t="str">
        <f>IFERROR(
Assumptions!$AD$8*LN(S103)^2+
Assumptions!$AE$8*LN(R103)*LN(S103)+
Assumptions!$AF$8*LN(R103)^2+
Assumptions!$AG$8*LN(S103)+
Assumptions!$AH$8*LN(R103)-
(IF(Q103=1800,
VLOOKUP(C103,Assumptions!$AA$13:$AC$17,3),
IF(Q103=3600,
VLOOKUP(C103,Assumptions!$AA$18:$AC$22,3),
""))+Assumptions!$AI$8),
"")</f>
        <v/>
      </c>
      <c r="AL103" s="96" t="str">
        <f>IFERROR(
Assumptions!$D$11*(V103/(Assumptions!$AB$9*AK103/100)+AH103)+
Assumptions!$D$10*(Z103/(Assumptions!$AB$8*AK103/100)+AI103)+
Assumptions!$D$12*(AD103/(Assumptions!$AB$10*AK103/100)+AJ103),
"")</f>
        <v/>
      </c>
      <c r="AM103" s="67" t="str">
        <f>IFERROR(
U103*Assumptions!$D$11+
Y103*Assumptions!$D$10+
AC103*Assumptions!$D$12,
"")</f>
        <v/>
      </c>
      <c r="AN103" s="77" t="str">
        <f t="shared" si="29"/>
        <v/>
      </c>
      <c r="AO103" s="30" t="str">
        <f t="shared" si="30"/>
        <v/>
      </c>
    </row>
    <row r="104" spans="1:41" x14ac:dyDescent="0.25">
      <c r="A104" s="264"/>
      <c r="B104" s="265"/>
      <c r="C104" s="265"/>
      <c r="D104" s="265"/>
      <c r="E104" s="266"/>
      <c r="F104" s="270"/>
      <c r="G104" s="271"/>
      <c r="H104" s="272"/>
      <c r="I104" s="270"/>
      <c r="J104" s="308"/>
      <c r="K104" s="272"/>
      <c r="L104" s="270"/>
      <c r="M104" s="308"/>
      <c r="N104" s="310"/>
      <c r="O104" s="306"/>
      <c r="P104" s="84" t="str">
        <f t="shared" si="16"/>
        <v/>
      </c>
      <c r="Q104" s="84" t="str">
        <f t="shared" si="17"/>
        <v/>
      </c>
      <c r="R104" s="93" t="str">
        <f t="shared" si="18"/>
        <v/>
      </c>
      <c r="S104" s="100" t="str">
        <f t="shared" si="19"/>
        <v/>
      </c>
      <c r="T104" s="95" t="str">
        <f t="shared" si="20"/>
        <v/>
      </c>
      <c r="U104" s="95" t="str">
        <f t="shared" si="21"/>
        <v/>
      </c>
      <c r="V104" s="96" t="str">
        <f>IFERROR(S104*T104*Assumptions!$B$15/3956,"")</f>
        <v/>
      </c>
      <c r="W104" s="102" t="str">
        <f t="shared" si="22"/>
        <v/>
      </c>
      <c r="X104" s="95" t="str">
        <f t="shared" si="23"/>
        <v/>
      </c>
      <c r="Y104" s="95" t="str">
        <f t="shared" si="24"/>
        <v/>
      </c>
      <c r="Z104" s="96" t="str">
        <f>IFERROR(W104*X104*Assumptions!$B$15/3956,"")</f>
        <v/>
      </c>
      <c r="AA104" s="100" t="str">
        <f t="shared" si="25"/>
        <v/>
      </c>
      <c r="AB104" s="95" t="str">
        <f t="shared" si="26"/>
        <v/>
      </c>
      <c r="AC104" s="95" t="str">
        <f t="shared" si="27"/>
        <v/>
      </c>
      <c r="AD104" s="96" t="str">
        <f>IFERROR(AA104*AB104*Assumptions!$B$15/3956,"")</f>
        <v/>
      </c>
      <c r="AE104" s="244" t="str">
        <f>IFERROR(
IF(C104="VTS",
IF(O104&gt;=AVERAGE(
INDEX(Assumptions!$I$38:$I$57,MATCH(O104,Assumptions!$I$38:$I$57,-1)),
INDEX(Assumptions!$I$38:$I$57,MATCH(O104,Assumptions!$I$38:$I$57,-1)+1)),
INDEX(Assumptions!$I$38:$I$57,MATCH(O104,Assumptions!$I$38:$I$57,-1)),
INDEX(Assumptions!$I$38:$I$57,MATCH(O104,Assumptions!$I$38:$I$57,-1)+1)),
IF(O104&gt;=AVERAGE(
INDEX(Assumptions!$I$13:$I$32,MATCH(O104,Assumptions!$I$13:$I$32,-1)),
INDEX(Assumptions!$I$13:$I$32,MATCH(O104,Assumptions!$I$13:$I$32,-1)+1)),
INDEX(Assumptions!$I$13:$I$32,MATCH(O104,Assumptions!$I$13:$I$32,-1)),
INDEX(Assumptions!$I$13:$I$32,MATCH(O104,Assumptions!$I$13:$I$32,-1)+1))),
"")</f>
        <v/>
      </c>
      <c r="AF104" s="95" t="str">
        <f>IFERROR(
IF(C104="VTS",
VLOOKUP(AE104,Assumptions!$I$38:$K$57,MATCH(P104,Assumptions!$I$37:$K$37,0),FALSE),
VLOOKUP(AE104,Assumptions!$I$13:$K$32,MATCH(P104,Assumptions!$I$12:$K$12,0),FALSE)),
"")</f>
        <v/>
      </c>
      <c r="AG104" s="95" t="str">
        <f t="shared" si="28"/>
        <v/>
      </c>
      <c r="AH104" s="95" t="str">
        <f>IFERROR(AG104*
(Assumptions!$S$7*(V104/(AK104*Assumptions!$AB$9/100)/O104)^3+
Assumptions!$S$8*(V104/(AK104*Assumptions!$AB$9/100)/O104)^2+
Assumptions!$S$9*(V104/(AK104*Assumptions!$AB$9/100)/O104)+
Assumptions!$S$10),"")</f>
        <v/>
      </c>
      <c r="AI104" s="95" t="str">
        <f>IFERROR(AG104*
(Assumptions!$S$7*(Z104/(AK104*Assumptions!$AB$8/100)/O104)^3+
Assumptions!$S$8*(Z104/(AK104*Assumptions!$AB$8/100)/O104)^2+
Assumptions!$S$9*(Z104/(AK104*Assumptions!$AB$8/100)/O104)+
Assumptions!$S$10),"")</f>
        <v/>
      </c>
      <c r="AJ104" s="95" t="str">
        <f>IFERROR(AG104*
(Assumptions!$S$7*(AD104/(AK104*Assumptions!$AB$10/100)/O104)^3+
Assumptions!$S$8*(AD104/(AK104*Assumptions!$AB$10/100)/O104)^2+
Assumptions!$S$9*(AD104/(AK104*Assumptions!$AB$10/100)/O104)+
Assumptions!$S$10),"")</f>
        <v/>
      </c>
      <c r="AK104" s="95" t="str">
        <f>IFERROR(
Assumptions!$AD$8*LN(S104)^2+
Assumptions!$AE$8*LN(R104)*LN(S104)+
Assumptions!$AF$8*LN(R104)^2+
Assumptions!$AG$8*LN(S104)+
Assumptions!$AH$8*LN(R104)-
(IF(Q104=1800,
VLOOKUP(C104,Assumptions!$AA$13:$AC$17,3),
IF(Q104=3600,
VLOOKUP(C104,Assumptions!$AA$18:$AC$22,3),
""))+Assumptions!$AI$8),
"")</f>
        <v/>
      </c>
      <c r="AL104" s="96" t="str">
        <f>IFERROR(
Assumptions!$D$11*(V104/(Assumptions!$AB$9*AK104/100)+AH104)+
Assumptions!$D$10*(Z104/(Assumptions!$AB$8*AK104/100)+AI104)+
Assumptions!$D$12*(AD104/(Assumptions!$AB$10*AK104/100)+AJ104),
"")</f>
        <v/>
      </c>
      <c r="AM104" s="67" t="str">
        <f>IFERROR(
U104*Assumptions!$D$11+
Y104*Assumptions!$D$10+
AC104*Assumptions!$D$12,
"")</f>
        <v/>
      </c>
      <c r="AN104" s="77" t="str">
        <f t="shared" si="29"/>
        <v/>
      </c>
      <c r="AO104" s="30" t="str">
        <f t="shared" si="30"/>
        <v/>
      </c>
    </row>
    <row r="105" spans="1:41" x14ac:dyDescent="0.25">
      <c r="A105" s="264"/>
      <c r="B105" s="265"/>
      <c r="C105" s="265"/>
      <c r="D105" s="265"/>
      <c r="E105" s="266"/>
      <c r="F105" s="270"/>
      <c r="G105" s="271"/>
      <c r="H105" s="272"/>
      <c r="I105" s="270"/>
      <c r="J105" s="308"/>
      <c r="K105" s="272"/>
      <c r="L105" s="270"/>
      <c r="M105" s="308"/>
      <c r="N105" s="310"/>
      <c r="O105" s="306"/>
      <c r="P105" s="84" t="str">
        <f t="shared" si="16"/>
        <v/>
      </c>
      <c r="Q105" s="84" t="str">
        <f t="shared" si="17"/>
        <v/>
      </c>
      <c r="R105" s="93" t="str">
        <f t="shared" si="18"/>
        <v/>
      </c>
      <c r="S105" s="100" t="str">
        <f t="shared" si="19"/>
        <v/>
      </c>
      <c r="T105" s="95" t="str">
        <f t="shared" si="20"/>
        <v/>
      </c>
      <c r="U105" s="95" t="str">
        <f t="shared" si="21"/>
        <v/>
      </c>
      <c r="V105" s="96" t="str">
        <f>IFERROR(S105*T105*Assumptions!$B$15/3956,"")</f>
        <v/>
      </c>
      <c r="W105" s="102" t="str">
        <f t="shared" si="22"/>
        <v/>
      </c>
      <c r="X105" s="95" t="str">
        <f t="shared" si="23"/>
        <v/>
      </c>
      <c r="Y105" s="95" t="str">
        <f t="shared" si="24"/>
        <v/>
      </c>
      <c r="Z105" s="96" t="str">
        <f>IFERROR(W105*X105*Assumptions!$B$15/3956,"")</f>
        <v/>
      </c>
      <c r="AA105" s="100" t="str">
        <f t="shared" si="25"/>
        <v/>
      </c>
      <c r="AB105" s="95" t="str">
        <f t="shared" si="26"/>
        <v/>
      </c>
      <c r="AC105" s="95" t="str">
        <f t="shared" si="27"/>
        <v/>
      </c>
      <c r="AD105" s="96" t="str">
        <f>IFERROR(AA105*AB105*Assumptions!$B$15/3956,"")</f>
        <v/>
      </c>
      <c r="AE105" s="244" t="str">
        <f>IFERROR(
IF(C105="VTS",
IF(O105&gt;=AVERAGE(
INDEX(Assumptions!$I$38:$I$57,MATCH(O105,Assumptions!$I$38:$I$57,-1)),
INDEX(Assumptions!$I$38:$I$57,MATCH(O105,Assumptions!$I$38:$I$57,-1)+1)),
INDEX(Assumptions!$I$38:$I$57,MATCH(O105,Assumptions!$I$38:$I$57,-1)),
INDEX(Assumptions!$I$38:$I$57,MATCH(O105,Assumptions!$I$38:$I$57,-1)+1)),
IF(O105&gt;=AVERAGE(
INDEX(Assumptions!$I$13:$I$32,MATCH(O105,Assumptions!$I$13:$I$32,-1)),
INDEX(Assumptions!$I$13:$I$32,MATCH(O105,Assumptions!$I$13:$I$32,-1)+1)),
INDEX(Assumptions!$I$13:$I$32,MATCH(O105,Assumptions!$I$13:$I$32,-1)),
INDEX(Assumptions!$I$13:$I$32,MATCH(O105,Assumptions!$I$13:$I$32,-1)+1))),
"")</f>
        <v/>
      </c>
      <c r="AF105" s="95" t="str">
        <f>IFERROR(
IF(C105="VTS",
VLOOKUP(AE105,Assumptions!$I$38:$K$57,MATCH(P105,Assumptions!$I$37:$K$37,0),FALSE),
VLOOKUP(AE105,Assumptions!$I$13:$K$32,MATCH(P105,Assumptions!$I$12:$K$12,0),FALSE)),
"")</f>
        <v/>
      </c>
      <c r="AG105" s="95" t="str">
        <f t="shared" si="28"/>
        <v/>
      </c>
      <c r="AH105" s="95" t="str">
        <f>IFERROR(AG105*
(Assumptions!$S$7*(V105/(AK105*Assumptions!$AB$9/100)/O105)^3+
Assumptions!$S$8*(V105/(AK105*Assumptions!$AB$9/100)/O105)^2+
Assumptions!$S$9*(V105/(AK105*Assumptions!$AB$9/100)/O105)+
Assumptions!$S$10),"")</f>
        <v/>
      </c>
      <c r="AI105" s="95" t="str">
        <f>IFERROR(AG105*
(Assumptions!$S$7*(Z105/(AK105*Assumptions!$AB$8/100)/O105)^3+
Assumptions!$S$8*(Z105/(AK105*Assumptions!$AB$8/100)/O105)^2+
Assumptions!$S$9*(Z105/(AK105*Assumptions!$AB$8/100)/O105)+
Assumptions!$S$10),"")</f>
        <v/>
      </c>
      <c r="AJ105" s="95" t="str">
        <f>IFERROR(AG105*
(Assumptions!$S$7*(AD105/(AK105*Assumptions!$AB$10/100)/O105)^3+
Assumptions!$S$8*(AD105/(AK105*Assumptions!$AB$10/100)/O105)^2+
Assumptions!$S$9*(AD105/(AK105*Assumptions!$AB$10/100)/O105)+
Assumptions!$S$10),"")</f>
        <v/>
      </c>
      <c r="AK105" s="95" t="str">
        <f>IFERROR(
Assumptions!$AD$8*LN(S105)^2+
Assumptions!$AE$8*LN(R105)*LN(S105)+
Assumptions!$AF$8*LN(R105)^2+
Assumptions!$AG$8*LN(S105)+
Assumptions!$AH$8*LN(R105)-
(IF(Q105=1800,
VLOOKUP(C105,Assumptions!$AA$13:$AC$17,3),
IF(Q105=3600,
VLOOKUP(C105,Assumptions!$AA$18:$AC$22,3),
""))+Assumptions!$AI$8),
"")</f>
        <v/>
      </c>
      <c r="AL105" s="96" t="str">
        <f>IFERROR(
Assumptions!$D$11*(V105/(Assumptions!$AB$9*AK105/100)+AH105)+
Assumptions!$D$10*(Z105/(Assumptions!$AB$8*AK105/100)+AI105)+
Assumptions!$D$12*(AD105/(Assumptions!$AB$10*AK105/100)+AJ105),
"")</f>
        <v/>
      </c>
      <c r="AM105" s="67" t="str">
        <f>IFERROR(
U105*Assumptions!$D$11+
Y105*Assumptions!$D$10+
AC105*Assumptions!$D$12,
"")</f>
        <v/>
      </c>
      <c r="AN105" s="77" t="str">
        <f t="shared" si="29"/>
        <v/>
      </c>
      <c r="AO105" s="30" t="str">
        <f t="shared" si="30"/>
        <v/>
      </c>
    </row>
    <row r="106" spans="1:41" x14ac:dyDescent="0.25">
      <c r="A106" s="264"/>
      <c r="B106" s="265"/>
      <c r="C106" s="265"/>
      <c r="D106" s="265"/>
      <c r="E106" s="266"/>
      <c r="F106" s="270"/>
      <c r="G106" s="271"/>
      <c r="H106" s="272"/>
      <c r="I106" s="270"/>
      <c r="J106" s="308"/>
      <c r="K106" s="272"/>
      <c r="L106" s="270"/>
      <c r="M106" s="308"/>
      <c r="N106" s="310"/>
      <c r="O106" s="306"/>
      <c r="P106" s="84" t="str">
        <f t="shared" si="16"/>
        <v/>
      </c>
      <c r="Q106" s="84" t="str">
        <f t="shared" si="17"/>
        <v/>
      </c>
      <c r="R106" s="93" t="str">
        <f t="shared" si="18"/>
        <v/>
      </c>
      <c r="S106" s="100" t="str">
        <f t="shared" si="19"/>
        <v/>
      </c>
      <c r="T106" s="95" t="str">
        <f t="shared" si="20"/>
        <v/>
      </c>
      <c r="U106" s="95" t="str">
        <f t="shared" si="21"/>
        <v/>
      </c>
      <c r="V106" s="96" t="str">
        <f>IFERROR(S106*T106*Assumptions!$B$15/3956,"")</f>
        <v/>
      </c>
      <c r="W106" s="102" t="str">
        <f t="shared" si="22"/>
        <v/>
      </c>
      <c r="X106" s="95" t="str">
        <f t="shared" si="23"/>
        <v/>
      </c>
      <c r="Y106" s="95" t="str">
        <f t="shared" si="24"/>
        <v/>
      </c>
      <c r="Z106" s="96" t="str">
        <f>IFERROR(W106*X106*Assumptions!$B$15/3956,"")</f>
        <v/>
      </c>
      <c r="AA106" s="100" t="str">
        <f t="shared" si="25"/>
        <v/>
      </c>
      <c r="AB106" s="95" t="str">
        <f t="shared" si="26"/>
        <v/>
      </c>
      <c r="AC106" s="95" t="str">
        <f t="shared" si="27"/>
        <v/>
      </c>
      <c r="AD106" s="96" t="str">
        <f>IFERROR(AA106*AB106*Assumptions!$B$15/3956,"")</f>
        <v/>
      </c>
      <c r="AE106" s="244" t="str">
        <f>IFERROR(
IF(C106="VTS",
IF(O106&gt;=AVERAGE(
INDEX(Assumptions!$I$38:$I$57,MATCH(O106,Assumptions!$I$38:$I$57,-1)),
INDEX(Assumptions!$I$38:$I$57,MATCH(O106,Assumptions!$I$38:$I$57,-1)+1)),
INDEX(Assumptions!$I$38:$I$57,MATCH(O106,Assumptions!$I$38:$I$57,-1)),
INDEX(Assumptions!$I$38:$I$57,MATCH(O106,Assumptions!$I$38:$I$57,-1)+1)),
IF(O106&gt;=AVERAGE(
INDEX(Assumptions!$I$13:$I$32,MATCH(O106,Assumptions!$I$13:$I$32,-1)),
INDEX(Assumptions!$I$13:$I$32,MATCH(O106,Assumptions!$I$13:$I$32,-1)+1)),
INDEX(Assumptions!$I$13:$I$32,MATCH(O106,Assumptions!$I$13:$I$32,-1)),
INDEX(Assumptions!$I$13:$I$32,MATCH(O106,Assumptions!$I$13:$I$32,-1)+1))),
"")</f>
        <v/>
      </c>
      <c r="AF106" s="95" t="str">
        <f>IFERROR(
IF(C106="VTS",
VLOOKUP(AE106,Assumptions!$I$38:$K$57,MATCH(P106,Assumptions!$I$37:$K$37,0),FALSE),
VLOOKUP(AE106,Assumptions!$I$13:$K$32,MATCH(P106,Assumptions!$I$12:$K$12,0),FALSE)),
"")</f>
        <v/>
      </c>
      <c r="AG106" s="95" t="str">
        <f t="shared" si="28"/>
        <v/>
      </c>
      <c r="AH106" s="95" t="str">
        <f>IFERROR(AG106*
(Assumptions!$S$7*(V106/(AK106*Assumptions!$AB$9/100)/O106)^3+
Assumptions!$S$8*(V106/(AK106*Assumptions!$AB$9/100)/O106)^2+
Assumptions!$S$9*(V106/(AK106*Assumptions!$AB$9/100)/O106)+
Assumptions!$S$10),"")</f>
        <v/>
      </c>
      <c r="AI106" s="95" t="str">
        <f>IFERROR(AG106*
(Assumptions!$S$7*(Z106/(AK106*Assumptions!$AB$8/100)/O106)^3+
Assumptions!$S$8*(Z106/(AK106*Assumptions!$AB$8/100)/O106)^2+
Assumptions!$S$9*(Z106/(AK106*Assumptions!$AB$8/100)/O106)+
Assumptions!$S$10),"")</f>
        <v/>
      </c>
      <c r="AJ106" s="95" t="str">
        <f>IFERROR(AG106*
(Assumptions!$S$7*(AD106/(AK106*Assumptions!$AB$10/100)/O106)^3+
Assumptions!$S$8*(AD106/(AK106*Assumptions!$AB$10/100)/O106)^2+
Assumptions!$S$9*(AD106/(AK106*Assumptions!$AB$10/100)/O106)+
Assumptions!$S$10),"")</f>
        <v/>
      </c>
      <c r="AK106" s="95" t="str">
        <f>IFERROR(
Assumptions!$AD$8*LN(S106)^2+
Assumptions!$AE$8*LN(R106)*LN(S106)+
Assumptions!$AF$8*LN(R106)^2+
Assumptions!$AG$8*LN(S106)+
Assumptions!$AH$8*LN(R106)-
(IF(Q106=1800,
VLOOKUP(C106,Assumptions!$AA$13:$AC$17,3),
IF(Q106=3600,
VLOOKUP(C106,Assumptions!$AA$18:$AC$22,3),
""))+Assumptions!$AI$8),
"")</f>
        <v/>
      </c>
      <c r="AL106" s="96" t="str">
        <f>IFERROR(
Assumptions!$D$11*(V106/(Assumptions!$AB$9*AK106/100)+AH106)+
Assumptions!$D$10*(Z106/(Assumptions!$AB$8*AK106/100)+AI106)+
Assumptions!$D$12*(AD106/(Assumptions!$AB$10*AK106/100)+AJ106),
"")</f>
        <v/>
      </c>
      <c r="AM106" s="67" t="str">
        <f>IFERROR(
U106*Assumptions!$D$11+
Y106*Assumptions!$D$10+
AC106*Assumptions!$D$12,
"")</f>
        <v/>
      </c>
      <c r="AN106" s="77" t="str">
        <f t="shared" si="29"/>
        <v/>
      </c>
      <c r="AO106" s="30" t="str">
        <f t="shared" si="30"/>
        <v/>
      </c>
    </row>
    <row r="107" spans="1:41" x14ac:dyDescent="0.25">
      <c r="A107" s="264"/>
      <c r="B107" s="265"/>
      <c r="C107" s="265"/>
      <c r="D107" s="265"/>
      <c r="E107" s="266"/>
      <c r="F107" s="270"/>
      <c r="G107" s="271"/>
      <c r="H107" s="272"/>
      <c r="I107" s="270"/>
      <c r="J107" s="308"/>
      <c r="K107" s="272"/>
      <c r="L107" s="270"/>
      <c r="M107" s="308"/>
      <c r="N107" s="310"/>
      <c r="O107" s="306"/>
      <c r="P107" s="84" t="str">
        <f t="shared" si="16"/>
        <v/>
      </c>
      <c r="Q107" s="84" t="str">
        <f t="shared" si="17"/>
        <v/>
      </c>
      <c r="R107" s="93" t="str">
        <f t="shared" si="18"/>
        <v/>
      </c>
      <c r="S107" s="100" t="str">
        <f t="shared" si="19"/>
        <v/>
      </c>
      <c r="T107" s="95" t="str">
        <f t="shared" si="20"/>
        <v/>
      </c>
      <c r="U107" s="95" t="str">
        <f t="shared" si="21"/>
        <v/>
      </c>
      <c r="V107" s="96" t="str">
        <f>IFERROR(S107*T107*Assumptions!$B$15/3956,"")</f>
        <v/>
      </c>
      <c r="W107" s="102" t="str">
        <f t="shared" si="22"/>
        <v/>
      </c>
      <c r="X107" s="95" t="str">
        <f t="shared" si="23"/>
        <v/>
      </c>
      <c r="Y107" s="95" t="str">
        <f t="shared" si="24"/>
        <v/>
      </c>
      <c r="Z107" s="96" t="str">
        <f>IFERROR(W107*X107*Assumptions!$B$15/3956,"")</f>
        <v/>
      </c>
      <c r="AA107" s="100" t="str">
        <f t="shared" si="25"/>
        <v/>
      </c>
      <c r="AB107" s="95" t="str">
        <f t="shared" si="26"/>
        <v/>
      </c>
      <c r="AC107" s="95" t="str">
        <f t="shared" si="27"/>
        <v/>
      </c>
      <c r="AD107" s="96" t="str">
        <f>IFERROR(AA107*AB107*Assumptions!$B$15/3956,"")</f>
        <v/>
      </c>
      <c r="AE107" s="244" t="str">
        <f>IFERROR(
IF(C107="VTS",
IF(O107&gt;=AVERAGE(
INDEX(Assumptions!$I$38:$I$57,MATCH(O107,Assumptions!$I$38:$I$57,-1)),
INDEX(Assumptions!$I$38:$I$57,MATCH(O107,Assumptions!$I$38:$I$57,-1)+1)),
INDEX(Assumptions!$I$38:$I$57,MATCH(O107,Assumptions!$I$38:$I$57,-1)),
INDEX(Assumptions!$I$38:$I$57,MATCH(O107,Assumptions!$I$38:$I$57,-1)+1)),
IF(O107&gt;=AVERAGE(
INDEX(Assumptions!$I$13:$I$32,MATCH(O107,Assumptions!$I$13:$I$32,-1)),
INDEX(Assumptions!$I$13:$I$32,MATCH(O107,Assumptions!$I$13:$I$32,-1)+1)),
INDEX(Assumptions!$I$13:$I$32,MATCH(O107,Assumptions!$I$13:$I$32,-1)),
INDEX(Assumptions!$I$13:$I$32,MATCH(O107,Assumptions!$I$13:$I$32,-1)+1))),
"")</f>
        <v/>
      </c>
      <c r="AF107" s="95" t="str">
        <f>IFERROR(
IF(C107="VTS",
VLOOKUP(AE107,Assumptions!$I$38:$K$57,MATCH(P107,Assumptions!$I$37:$K$37,0),FALSE),
VLOOKUP(AE107,Assumptions!$I$13:$K$32,MATCH(P107,Assumptions!$I$12:$K$12,0),FALSE)),
"")</f>
        <v/>
      </c>
      <c r="AG107" s="95" t="str">
        <f t="shared" si="28"/>
        <v/>
      </c>
      <c r="AH107" s="95" t="str">
        <f>IFERROR(AG107*
(Assumptions!$S$7*(V107/(AK107*Assumptions!$AB$9/100)/O107)^3+
Assumptions!$S$8*(V107/(AK107*Assumptions!$AB$9/100)/O107)^2+
Assumptions!$S$9*(V107/(AK107*Assumptions!$AB$9/100)/O107)+
Assumptions!$S$10),"")</f>
        <v/>
      </c>
      <c r="AI107" s="95" t="str">
        <f>IFERROR(AG107*
(Assumptions!$S$7*(Z107/(AK107*Assumptions!$AB$8/100)/O107)^3+
Assumptions!$S$8*(Z107/(AK107*Assumptions!$AB$8/100)/O107)^2+
Assumptions!$S$9*(Z107/(AK107*Assumptions!$AB$8/100)/O107)+
Assumptions!$S$10),"")</f>
        <v/>
      </c>
      <c r="AJ107" s="95" t="str">
        <f>IFERROR(AG107*
(Assumptions!$S$7*(AD107/(AK107*Assumptions!$AB$10/100)/O107)^3+
Assumptions!$S$8*(AD107/(AK107*Assumptions!$AB$10/100)/O107)^2+
Assumptions!$S$9*(AD107/(AK107*Assumptions!$AB$10/100)/O107)+
Assumptions!$S$10),"")</f>
        <v/>
      </c>
      <c r="AK107" s="95" t="str">
        <f>IFERROR(
Assumptions!$AD$8*LN(S107)^2+
Assumptions!$AE$8*LN(R107)*LN(S107)+
Assumptions!$AF$8*LN(R107)^2+
Assumptions!$AG$8*LN(S107)+
Assumptions!$AH$8*LN(R107)-
(IF(Q107=1800,
VLOOKUP(C107,Assumptions!$AA$13:$AC$17,3),
IF(Q107=3600,
VLOOKUP(C107,Assumptions!$AA$18:$AC$22,3),
""))+Assumptions!$AI$8),
"")</f>
        <v/>
      </c>
      <c r="AL107" s="96" t="str">
        <f>IFERROR(
Assumptions!$D$11*(V107/(Assumptions!$AB$9*AK107/100)+AH107)+
Assumptions!$D$10*(Z107/(Assumptions!$AB$8*AK107/100)+AI107)+
Assumptions!$D$12*(AD107/(Assumptions!$AB$10*AK107/100)+AJ107),
"")</f>
        <v/>
      </c>
      <c r="AM107" s="67" t="str">
        <f>IFERROR(
U107*Assumptions!$D$11+
Y107*Assumptions!$D$10+
AC107*Assumptions!$D$12,
"")</f>
        <v/>
      </c>
      <c r="AN107" s="77" t="str">
        <f t="shared" si="29"/>
        <v/>
      </c>
      <c r="AO107" s="30" t="str">
        <f t="shared" si="30"/>
        <v/>
      </c>
    </row>
    <row r="108" spans="1:41" x14ac:dyDescent="0.25">
      <c r="A108" s="264"/>
      <c r="B108" s="265"/>
      <c r="C108" s="265"/>
      <c r="D108" s="265"/>
      <c r="E108" s="266"/>
      <c r="F108" s="270"/>
      <c r="G108" s="271"/>
      <c r="H108" s="272"/>
      <c r="I108" s="270"/>
      <c r="J108" s="308"/>
      <c r="K108" s="272"/>
      <c r="L108" s="270"/>
      <c r="M108" s="308"/>
      <c r="N108" s="310"/>
      <c r="O108" s="306"/>
      <c r="P108" s="84" t="str">
        <f t="shared" si="16"/>
        <v/>
      </c>
      <c r="Q108" s="84" t="str">
        <f t="shared" si="17"/>
        <v/>
      </c>
      <c r="R108" s="93" t="str">
        <f t="shared" si="18"/>
        <v/>
      </c>
      <c r="S108" s="100" t="str">
        <f t="shared" si="19"/>
        <v/>
      </c>
      <c r="T108" s="95" t="str">
        <f t="shared" si="20"/>
        <v/>
      </c>
      <c r="U108" s="95" t="str">
        <f t="shared" si="21"/>
        <v/>
      </c>
      <c r="V108" s="96" t="str">
        <f>IFERROR(S108*T108*Assumptions!$B$15/3956,"")</f>
        <v/>
      </c>
      <c r="W108" s="102" t="str">
        <f t="shared" si="22"/>
        <v/>
      </c>
      <c r="X108" s="95" t="str">
        <f t="shared" si="23"/>
        <v/>
      </c>
      <c r="Y108" s="95" t="str">
        <f t="shared" si="24"/>
        <v/>
      </c>
      <c r="Z108" s="96" t="str">
        <f>IFERROR(W108*X108*Assumptions!$B$15/3956,"")</f>
        <v/>
      </c>
      <c r="AA108" s="100" t="str">
        <f t="shared" si="25"/>
        <v/>
      </c>
      <c r="AB108" s="95" t="str">
        <f t="shared" si="26"/>
        <v/>
      </c>
      <c r="AC108" s="95" t="str">
        <f t="shared" si="27"/>
        <v/>
      </c>
      <c r="AD108" s="96" t="str">
        <f>IFERROR(AA108*AB108*Assumptions!$B$15/3956,"")</f>
        <v/>
      </c>
      <c r="AE108" s="244" t="str">
        <f>IFERROR(
IF(C108="VTS",
IF(O108&gt;=AVERAGE(
INDEX(Assumptions!$I$38:$I$57,MATCH(O108,Assumptions!$I$38:$I$57,-1)),
INDEX(Assumptions!$I$38:$I$57,MATCH(O108,Assumptions!$I$38:$I$57,-1)+1)),
INDEX(Assumptions!$I$38:$I$57,MATCH(O108,Assumptions!$I$38:$I$57,-1)),
INDEX(Assumptions!$I$38:$I$57,MATCH(O108,Assumptions!$I$38:$I$57,-1)+1)),
IF(O108&gt;=AVERAGE(
INDEX(Assumptions!$I$13:$I$32,MATCH(O108,Assumptions!$I$13:$I$32,-1)),
INDEX(Assumptions!$I$13:$I$32,MATCH(O108,Assumptions!$I$13:$I$32,-1)+1)),
INDEX(Assumptions!$I$13:$I$32,MATCH(O108,Assumptions!$I$13:$I$32,-1)),
INDEX(Assumptions!$I$13:$I$32,MATCH(O108,Assumptions!$I$13:$I$32,-1)+1))),
"")</f>
        <v/>
      </c>
      <c r="AF108" s="95" t="str">
        <f>IFERROR(
IF(C108="VTS",
VLOOKUP(AE108,Assumptions!$I$38:$K$57,MATCH(P108,Assumptions!$I$37:$K$37,0),FALSE),
VLOOKUP(AE108,Assumptions!$I$13:$K$32,MATCH(P108,Assumptions!$I$12:$K$12,0),FALSE)),
"")</f>
        <v/>
      </c>
      <c r="AG108" s="95" t="str">
        <f t="shared" si="28"/>
        <v/>
      </c>
      <c r="AH108" s="95" t="str">
        <f>IFERROR(AG108*
(Assumptions!$S$7*(V108/(AK108*Assumptions!$AB$9/100)/O108)^3+
Assumptions!$S$8*(V108/(AK108*Assumptions!$AB$9/100)/O108)^2+
Assumptions!$S$9*(V108/(AK108*Assumptions!$AB$9/100)/O108)+
Assumptions!$S$10),"")</f>
        <v/>
      </c>
      <c r="AI108" s="95" t="str">
        <f>IFERROR(AG108*
(Assumptions!$S$7*(Z108/(AK108*Assumptions!$AB$8/100)/O108)^3+
Assumptions!$S$8*(Z108/(AK108*Assumptions!$AB$8/100)/O108)^2+
Assumptions!$S$9*(Z108/(AK108*Assumptions!$AB$8/100)/O108)+
Assumptions!$S$10),"")</f>
        <v/>
      </c>
      <c r="AJ108" s="95" t="str">
        <f>IFERROR(AG108*
(Assumptions!$S$7*(AD108/(AK108*Assumptions!$AB$10/100)/O108)^3+
Assumptions!$S$8*(AD108/(AK108*Assumptions!$AB$10/100)/O108)^2+
Assumptions!$S$9*(AD108/(AK108*Assumptions!$AB$10/100)/O108)+
Assumptions!$S$10),"")</f>
        <v/>
      </c>
      <c r="AK108" s="95" t="str">
        <f>IFERROR(
Assumptions!$AD$8*LN(S108)^2+
Assumptions!$AE$8*LN(R108)*LN(S108)+
Assumptions!$AF$8*LN(R108)^2+
Assumptions!$AG$8*LN(S108)+
Assumptions!$AH$8*LN(R108)-
(IF(Q108=1800,
VLOOKUP(C108,Assumptions!$AA$13:$AC$17,3),
IF(Q108=3600,
VLOOKUP(C108,Assumptions!$AA$18:$AC$22,3),
""))+Assumptions!$AI$8),
"")</f>
        <v/>
      </c>
      <c r="AL108" s="96" t="str">
        <f>IFERROR(
Assumptions!$D$11*(V108/(Assumptions!$AB$9*AK108/100)+AH108)+
Assumptions!$D$10*(Z108/(Assumptions!$AB$8*AK108/100)+AI108)+
Assumptions!$D$12*(AD108/(Assumptions!$AB$10*AK108/100)+AJ108),
"")</f>
        <v/>
      </c>
      <c r="AM108" s="67" t="str">
        <f>IFERROR(
U108*Assumptions!$D$11+
Y108*Assumptions!$D$10+
AC108*Assumptions!$D$12,
"")</f>
        <v/>
      </c>
      <c r="AN108" s="77" t="str">
        <f t="shared" ref="AN108:AN109" si="31">IFERROR(ROUND($AM108/$AL108,2),"")</f>
        <v/>
      </c>
      <c r="AO108" s="30" t="str">
        <f t="shared" si="30"/>
        <v/>
      </c>
    </row>
    <row r="109" spans="1:41" ht="15.75" thickBot="1" x14ac:dyDescent="0.3">
      <c r="A109" s="273"/>
      <c r="B109" s="274"/>
      <c r="C109" s="274"/>
      <c r="D109" s="274"/>
      <c r="E109" s="292"/>
      <c r="F109" s="293"/>
      <c r="G109" s="294"/>
      <c r="H109" s="295"/>
      <c r="I109" s="293"/>
      <c r="J109" s="311"/>
      <c r="K109" s="295"/>
      <c r="L109" s="293"/>
      <c r="M109" s="311"/>
      <c r="N109" s="312"/>
      <c r="O109" s="313"/>
      <c r="P109" s="84" t="str">
        <f t="shared" si="16"/>
        <v/>
      </c>
      <c r="Q109" s="84" t="str">
        <f t="shared" si="17"/>
        <v/>
      </c>
      <c r="R109" s="93" t="str">
        <f t="shared" si="18"/>
        <v/>
      </c>
      <c r="S109" s="100" t="str">
        <f t="shared" si="19"/>
        <v/>
      </c>
      <c r="T109" s="95" t="str">
        <f t="shared" si="20"/>
        <v/>
      </c>
      <c r="U109" s="95" t="str">
        <f t="shared" si="21"/>
        <v/>
      </c>
      <c r="V109" s="96" t="str">
        <f>IFERROR(S109*T109*Assumptions!$B$15/3956,"")</f>
        <v/>
      </c>
      <c r="W109" s="102" t="str">
        <f t="shared" si="22"/>
        <v/>
      </c>
      <c r="X109" s="95" t="str">
        <f t="shared" si="23"/>
        <v/>
      </c>
      <c r="Y109" s="95" t="str">
        <f t="shared" si="24"/>
        <v/>
      </c>
      <c r="Z109" s="96" t="str">
        <f>IFERROR(W109*X109*Assumptions!$B$15/3956,"")</f>
        <v/>
      </c>
      <c r="AA109" s="60" t="str">
        <f t="shared" si="25"/>
        <v/>
      </c>
      <c r="AB109" s="61" t="str">
        <f t="shared" si="26"/>
        <v/>
      </c>
      <c r="AC109" s="95" t="str">
        <f t="shared" si="27"/>
        <v/>
      </c>
      <c r="AD109" s="62" t="str">
        <f>IFERROR(AA109*AB109*Assumptions!$B$15/3956,"")</f>
        <v/>
      </c>
      <c r="AE109" s="244" t="str">
        <f>IFERROR(
IF(C109="VTS",
IF(O109&gt;=AVERAGE(
INDEX(Assumptions!$I$38:$I$57,MATCH(O109,Assumptions!$I$38:$I$57,-1)),
INDEX(Assumptions!$I$38:$I$57,MATCH(O109,Assumptions!$I$38:$I$57,-1)+1)),
INDEX(Assumptions!$I$38:$I$57,MATCH(O109,Assumptions!$I$38:$I$57,-1)),
INDEX(Assumptions!$I$38:$I$57,MATCH(O109,Assumptions!$I$38:$I$57,-1)+1)),
IF(O109&gt;=AVERAGE(
INDEX(Assumptions!$I$13:$I$32,MATCH(O109,Assumptions!$I$13:$I$32,-1)),
INDEX(Assumptions!$I$13:$I$32,MATCH(O109,Assumptions!$I$13:$I$32,-1)+1)),
INDEX(Assumptions!$I$13:$I$32,MATCH(O109,Assumptions!$I$13:$I$32,-1)),
INDEX(Assumptions!$I$13:$I$32,MATCH(O109,Assumptions!$I$13:$I$32,-1)+1))),
"")</f>
        <v/>
      </c>
      <c r="AF109" s="95" t="str">
        <f>IFERROR(
IF(C109="VTS",
VLOOKUP(AE109,Assumptions!$I$38:$K$57,MATCH(P109,Assumptions!$I$37:$K$37,0),FALSE),
VLOOKUP(AE109,Assumptions!$I$13:$K$32,MATCH(P109,Assumptions!$I$12:$K$12,0),FALSE)),
"")</f>
        <v/>
      </c>
      <c r="AG109" s="95" t="str">
        <f t="shared" si="28"/>
        <v/>
      </c>
      <c r="AH109" s="95" t="str">
        <f>IFERROR(AG109*
(Assumptions!$S$7*(V109/(AK109*Assumptions!$AB$9/100)/O109)^3+
Assumptions!$S$8*(V109/(AK109*Assumptions!$AB$9/100)/O109)^2+
Assumptions!$S$9*(V109/(AK109*Assumptions!$AB$9/100)/O109)+
Assumptions!$S$10),"")</f>
        <v/>
      </c>
      <c r="AI109" s="95" t="str">
        <f>IFERROR(AG109*
(Assumptions!$S$7*(Z109/(AK109*Assumptions!$AB$8/100)/O109)^3+
Assumptions!$S$8*(Z109/(AK109*Assumptions!$AB$8/100)/O109)^2+
Assumptions!$S$9*(Z109/(AK109*Assumptions!$AB$8/100)/O109)+
Assumptions!$S$10),"")</f>
        <v/>
      </c>
      <c r="AJ109" s="95" t="str">
        <f>IFERROR(AG109*
(Assumptions!$S$7*(AD109/(AK109*Assumptions!$AB$10/100)/O109)^3+
Assumptions!$S$8*(AD109/(AK109*Assumptions!$AB$10/100)/O109)^2+
Assumptions!$S$9*(AD109/(AK109*Assumptions!$AB$10/100)/O109)+
Assumptions!$S$10),"")</f>
        <v/>
      </c>
      <c r="AK109" s="95" t="str">
        <f>IFERROR(
Assumptions!$AD$8*LN(S109)^2+
Assumptions!$AE$8*LN(R109)*LN(S109)+
Assumptions!$AF$8*LN(R109)^2+
Assumptions!$AG$8*LN(S109)+
Assumptions!$AH$8*LN(R109)-
(IF(Q109=1800,
VLOOKUP(C109,Assumptions!$AA$13:$AC$17,3),
IF(Q109=3600,
VLOOKUP(C109,Assumptions!$AA$18:$AC$22,3),
""))+Assumptions!$AI$8),
"")</f>
        <v/>
      </c>
      <c r="AL109" s="96" t="str">
        <f>IFERROR(
Assumptions!$D$11*(V109/(Assumptions!$AB$9*AK109/100)+AH109)+
Assumptions!$D$10*(Z109/(Assumptions!$AB$8*AK109/100)+AI109)+
Assumptions!$D$12*(AD109/(Assumptions!$AB$10*AK109/100)+AJ109),
"")</f>
        <v/>
      </c>
      <c r="AM109" s="67" t="str">
        <f>IFERROR(
U109*Assumptions!$D$11+
Y109*Assumptions!$D$10+
AC109*Assumptions!$D$12,
"")</f>
        <v/>
      </c>
      <c r="AN109" s="77" t="str">
        <f t="shared" si="31"/>
        <v/>
      </c>
      <c r="AO109" s="30" t="str">
        <f t="shared" si="30"/>
        <v/>
      </c>
    </row>
  </sheetData>
  <sheetProtection password="8ABE" sheet="1" objects="1" scenarios="1"/>
  <mergeCells count="16">
    <mergeCell ref="B3:K5"/>
    <mergeCell ref="P7:AL7"/>
    <mergeCell ref="L3:O3"/>
    <mergeCell ref="L4:O4"/>
    <mergeCell ref="L5:O5"/>
    <mergeCell ref="AM7:AO7"/>
    <mergeCell ref="A7:O7"/>
    <mergeCell ref="A8:E8"/>
    <mergeCell ref="F8:H8"/>
    <mergeCell ref="I8:K8"/>
    <mergeCell ref="L8:N8"/>
    <mergeCell ref="P8:R8"/>
    <mergeCell ref="S8:V8"/>
    <mergeCell ref="W8:Z8"/>
    <mergeCell ref="AA8:AD8"/>
    <mergeCell ref="AE8:AL8"/>
  </mergeCells>
  <conditionalFormatting sqref="AO10:AO109">
    <cfRule type="containsText" dxfId="5" priority="5" operator="containsText" text="FAIL">
      <formula>NOT(ISERROR(SEARCH("FAIL",AO10)))</formula>
    </cfRule>
    <cfRule type="containsText" dxfId="4" priority="6" operator="containsText" text="PASS">
      <formula>NOT(ISERROR(SEARCH("PASS",AO10)))</formula>
    </cfRule>
  </conditionalFormatting>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Assumptions!$AA$13:$AA$17</xm:f>
          </x14:formula1>
          <xm:sqref>C10:C109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W109"/>
  <sheetViews>
    <sheetView showGridLines="0" zoomScale="80" zoomScaleNormal="80" workbookViewId="0"/>
  </sheetViews>
  <sheetFormatPr defaultColWidth="8.85546875" defaultRowHeight="15" outlineLevelCol="1" x14ac:dyDescent="0.25"/>
  <cols>
    <col min="1" max="1" width="10.7109375" style="25" customWidth="1"/>
    <col min="2" max="2" width="47.85546875" style="25" bestFit="1" customWidth="1"/>
    <col min="3" max="4" width="10.5703125" style="25" customWidth="1"/>
    <col min="5" max="5" width="8" style="25" customWidth="1"/>
    <col min="6" max="7" width="10.42578125" style="39" customWidth="1"/>
    <col min="8" max="8" width="11.85546875" style="39" customWidth="1"/>
    <col min="9" max="9" width="10.28515625" style="39" customWidth="1"/>
    <col min="10" max="10" width="9.42578125" style="39" customWidth="1"/>
    <col min="11" max="11" width="11.28515625" style="39" customWidth="1"/>
    <col min="12" max="12" width="10.7109375" style="39" customWidth="1"/>
    <col min="13" max="13" width="9.42578125" style="39" customWidth="1"/>
    <col min="14" max="15" width="12" style="39" customWidth="1"/>
    <col min="16" max="16" width="13.42578125" style="25" customWidth="1"/>
    <col min="17" max="17" width="10.85546875" style="25" customWidth="1"/>
    <col min="18" max="18" width="10.7109375" style="25" customWidth="1" outlineLevel="1"/>
    <col min="19" max="19" width="10.7109375" style="92" customWidth="1" outlineLevel="1"/>
    <col min="20" max="20" width="10.7109375" style="25" customWidth="1" outlineLevel="1"/>
    <col min="21" max="22" width="10.7109375" style="39" customWidth="1" outlineLevel="1"/>
    <col min="23" max="23" width="10.28515625" style="39" customWidth="1" outlineLevel="1"/>
    <col min="24" max="24" width="11.5703125" style="25" customWidth="1" outlineLevel="1"/>
    <col min="25" max="25" width="9.42578125" style="39" customWidth="1" outlineLevel="1"/>
    <col min="26" max="26" width="11.28515625" style="39" customWidth="1" outlineLevel="1"/>
    <col min="27" max="27" width="13.28515625" style="25" customWidth="1" outlineLevel="1"/>
    <col min="28" max="28" width="9.42578125" style="39" customWidth="1" outlineLevel="1"/>
    <col min="29" max="29" width="12" style="39" customWidth="1" outlineLevel="1"/>
    <col min="30" max="30" width="12" style="25" customWidth="1" outlineLevel="1"/>
    <col min="31" max="31" width="10.85546875" style="92" customWidth="1" outlineLevel="1"/>
    <col min="32" max="37" width="10.85546875" style="25" customWidth="1" outlineLevel="1"/>
    <col min="38" max="40" width="12.140625" style="25" customWidth="1" outlineLevel="1"/>
    <col min="41" max="43" width="13.140625" style="25" customWidth="1" outlineLevel="1"/>
    <col min="44" max="44" width="13.28515625" style="25" customWidth="1" outlineLevel="1"/>
    <col min="45" max="45" width="11.42578125" style="25" customWidth="1" outlineLevel="1"/>
    <col min="46" max="46" width="11" style="25" customWidth="1"/>
    <col min="47" max="47" width="11.7109375" style="25" customWidth="1"/>
    <col min="48" max="16384" width="8.85546875" style="25"/>
  </cols>
  <sheetData>
    <row r="1" spans="1:49" s="92" customFormat="1" ht="15.75" thickBot="1" x14ac:dyDescent="0.3">
      <c r="F1" s="39"/>
      <c r="G1" s="39"/>
      <c r="H1" s="39"/>
      <c r="I1" s="39"/>
      <c r="J1" s="39"/>
      <c r="K1" s="39"/>
      <c r="L1" s="39"/>
      <c r="M1" s="39"/>
      <c r="N1" s="39"/>
      <c r="O1" s="39"/>
      <c r="U1" s="39"/>
      <c r="V1" s="39"/>
      <c r="W1" s="39"/>
      <c r="Y1" s="39"/>
      <c r="Z1" s="39"/>
      <c r="AB1" s="39"/>
      <c r="AC1" s="39"/>
    </row>
    <row r="2" spans="1:49" s="210" customFormat="1" ht="26.25" customHeight="1" thickBot="1" x14ac:dyDescent="0.3">
      <c r="B2" s="234" t="s">
        <v>153</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6"/>
    </row>
    <row r="3" spans="1:49" ht="27.75" customHeight="1" thickBot="1" x14ac:dyDescent="0.3">
      <c r="B3" s="506" t="s">
        <v>177</v>
      </c>
      <c r="C3" s="507"/>
      <c r="D3" s="507"/>
      <c r="E3" s="507"/>
      <c r="F3" s="507"/>
      <c r="G3" s="507"/>
      <c r="H3" s="507"/>
      <c r="I3" s="507"/>
      <c r="J3" s="507"/>
      <c r="K3" s="507"/>
      <c r="L3" s="507"/>
      <c r="M3" s="508"/>
      <c r="N3" s="515" t="s">
        <v>7</v>
      </c>
      <c r="O3" s="516"/>
      <c r="P3" s="516"/>
      <c r="Q3" s="517"/>
    </row>
    <row r="4" spans="1:49" s="27" customFormat="1" ht="27.75" customHeight="1" x14ac:dyDescent="0.25">
      <c r="B4" s="509"/>
      <c r="C4" s="510"/>
      <c r="D4" s="510"/>
      <c r="E4" s="510"/>
      <c r="F4" s="510"/>
      <c r="G4" s="510"/>
      <c r="H4" s="510"/>
      <c r="I4" s="510"/>
      <c r="J4" s="510"/>
      <c r="K4" s="510"/>
      <c r="L4" s="510"/>
      <c r="M4" s="511"/>
      <c r="N4" s="501" t="s">
        <v>6</v>
      </c>
      <c r="O4" s="502"/>
      <c r="P4" s="502"/>
      <c r="Q4" s="518"/>
      <c r="R4" s="29"/>
      <c r="S4" s="29"/>
      <c r="Y4" s="40"/>
      <c r="Z4" s="40"/>
      <c r="AB4" s="40"/>
      <c r="AC4" s="40"/>
      <c r="AR4" s="78"/>
      <c r="AS4" s="78"/>
      <c r="AT4" s="218" t="s">
        <v>82</v>
      </c>
      <c r="AU4" s="79"/>
      <c r="AV4" s="74">
        <f>COUNTIF(AV10:AV1245,"FAIL")</f>
        <v>0</v>
      </c>
    </row>
    <row r="5" spans="1:49" s="27" customFormat="1" ht="27.75" customHeight="1" thickBot="1" x14ac:dyDescent="0.3">
      <c r="A5" s="28"/>
      <c r="B5" s="512"/>
      <c r="C5" s="513"/>
      <c r="D5" s="513"/>
      <c r="E5" s="513"/>
      <c r="F5" s="513"/>
      <c r="G5" s="513"/>
      <c r="H5" s="513"/>
      <c r="I5" s="513"/>
      <c r="J5" s="513"/>
      <c r="K5" s="513"/>
      <c r="L5" s="513"/>
      <c r="M5" s="514"/>
      <c r="N5" s="519" t="s">
        <v>8</v>
      </c>
      <c r="O5" s="520"/>
      <c r="P5" s="520"/>
      <c r="Q5" s="521"/>
      <c r="R5" s="29"/>
      <c r="S5" s="29"/>
      <c r="T5" s="29"/>
      <c r="U5" s="41"/>
      <c r="V5" s="41"/>
      <c r="W5" s="40"/>
      <c r="Y5" s="40"/>
      <c r="Z5" s="40"/>
      <c r="AB5" s="40"/>
      <c r="AC5" s="40"/>
      <c r="AR5" s="78"/>
      <c r="AS5" s="78"/>
      <c r="AT5" s="219" t="s">
        <v>83</v>
      </c>
      <c r="AU5" s="80"/>
      <c r="AV5" s="75">
        <f>AV4/COUNTA($A$10:$A$1245)</f>
        <v>0</v>
      </c>
      <c r="AW5" s="36"/>
    </row>
    <row r="6" spans="1:49" s="27" customFormat="1" ht="15.75" thickBot="1" x14ac:dyDescent="0.3">
      <c r="A6" s="28"/>
      <c r="B6" s="28"/>
      <c r="C6" s="28"/>
      <c r="D6" s="28"/>
      <c r="E6" s="29"/>
      <c r="F6" s="41"/>
      <c r="G6" s="41"/>
      <c r="H6" s="40"/>
      <c r="I6" s="40"/>
      <c r="J6" s="40"/>
      <c r="K6" s="40"/>
      <c r="L6" s="40"/>
      <c r="M6" s="40"/>
      <c r="N6" s="40"/>
      <c r="O6" s="40"/>
      <c r="R6" s="29"/>
      <c r="S6" s="29"/>
      <c r="T6" s="29"/>
      <c r="U6" s="41"/>
      <c r="V6" s="41"/>
      <c r="W6" s="40"/>
      <c r="Y6" s="40"/>
      <c r="Z6" s="40"/>
      <c r="AB6" s="40"/>
      <c r="AC6" s="40"/>
    </row>
    <row r="7" spans="1:49" s="35" customFormat="1" ht="19.5" customHeight="1" thickBot="1" x14ac:dyDescent="0.3">
      <c r="A7" s="494" t="s">
        <v>64</v>
      </c>
      <c r="B7" s="495"/>
      <c r="C7" s="495"/>
      <c r="D7" s="495"/>
      <c r="E7" s="495"/>
      <c r="F7" s="495"/>
      <c r="G7" s="495"/>
      <c r="H7" s="495"/>
      <c r="I7" s="495"/>
      <c r="J7" s="495"/>
      <c r="K7" s="495"/>
      <c r="L7" s="495"/>
      <c r="M7" s="495"/>
      <c r="N7" s="495"/>
      <c r="O7" s="495"/>
      <c r="P7" s="495"/>
      <c r="Q7" s="505"/>
      <c r="R7" s="496" t="s">
        <v>36</v>
      </c>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97"/>
      <c r="AR7" s="497"/>
      <c r="AS7" s="498"/>
      <c r="AT7" s="491" t="s">
        <v>80</v>
      </c>
      <c r="AU7" s="492"/>
      <c r="AV7" s="493"/>
    </row>
    <row r="8" spans="1:49" s="31" customFormat="1" ht="43.5" customHeight="1" thickBot="1" x14ac:dyDescent="0.3">
      <c r="A8" s="465" t="s">
        <v>23</v>
      </c>
      <c r="B8" s="466"/>
      <c r="C8" s="466"/>
      <c r="D8" s="466"/>
      <c r="E8" s="466"/>
      <c r="F8" s="467" t="s">
        <v>65</v>
      </c>
      <c r="G8" s="468"/>
      <c r="H8" s="468"/>
      <c r="I8" s="469"/>
      <c r="J8" s="470" t="s">
        <v>4</v>
      </c>
      <c r="K8" s="471"/>
      <c r="L8" s="472"/>
      <c r="M8" s="473" t="s">
        <v>5</v>
      </c>
      <c r="N8" s="474"/>
      <c r="O8" s="475"/>
      <c r="P8" s="523" t="s">
        <v>37</v>
      </c>
      <c r="Q8" s="524"/>
      <c r="R8" s="479" t="s">
        <v>23</v>
      </c>
      <c r="S8" s="480"/>
      <c r="T8" s="480"/>
      <c r="U8" s="525" t="s">
        <v>86</v>
      </c>
      <c r="V8" s="526"/>
      <c r="W8" s="526"/>
      <c r="X8" s="526"/>
      <c r="Y8" s="547" t="s">
        <v>61</v>
      </c>
      <c r="Z8" s="548"/>
      <c r="AA8" s="549"/>
      <c r="AB8" s="550" t="s">
        <v>62</v>
      </c>
      <c r="AC8" s="551"/>
      <c r="AD8" s="552"/>
      <c r="AE8" s="544" t="s">
        <v>22</v>
      </c>
      <c r="AF8" s="545"/>
      <c r="AG8" s="545"/>
      <c r="AH8" s="545"/>
      <c r="AI8" s="545"/>
      <c r="AJ8" s="545"/>
      <c r="AK8" s="546"/>
      <c r="AL8" s="476" t="s">
        <v>77</v>
      </c>
      <c r="AM8" s="477"/>
      <c r="AN8" s="477"/>
      <c r="AO8" s="477"/>
      <c r="AP8" s="477"/>
      <c r="AQ8" s="477"/>
      <c r="AR8" s="477"/>
      <c r="AS8" s="478"/>
      <c r="AT8" s="230" t="s">
        <v>155</v>
      </c>
      <c r="AU8" s="55" t="s">
        <v>136</v>
      </c>
      <c r="AV8" s="72"/>
    </row>
    <row r="9" spans="1:49" s="26" customFormat="1" ht="75" x14ac:dyDescent="0.25">
      <c r="A9" s="34" t="s">
        <v>1</v>
      </c>
      <c r="B9" s="32" t="s">
        <v>3</v>
      </c>
      <c r="C9" s="32" t="s">
        <v>33</v>
      </c>
      <c r="D9" s="32" t="s">
        <v>34</v>
      </c>
      <c r="E9" s="32" t="s">
        <v>178</v>
      </c>
      <c r="F9" s="43" t="s">
        <v>2</v>
      </c>
      <c r="G9" s="44" t="s">
        <v>35</v>
      </c>
      <c r="H9" s="44" t="s">
        <v>119</v>
      </c>
      <c r="I9" s="42" t="s">
        <v>163</v>
      </c>
      <c r="J9" s="43" t="s">
        <v>2</v>
      </c>
      <c r="K9" s="44" t="s">
        <v>35</v>
      </c>
      <c r="L9" s="42" t="s">
        <v>163</v>
      </c>
      <c r="M9" s="43" t="s">
        <v>2</v>
      </c>
      <c r="N9" s="44" t="s">
        <v>35</v>
      </c>
      <c r="O9" s="42" t="s">
        <v>163</v>
      </c>
      <c r="P9" s="37" t="s">
        <v>181</v>
      </c>
      <c r="Q9" s="38" t="s">
        <v>11</v>
      </c>
      <c r="R9" s="50" t="s">
        <v>127</v>
      </c>
      <c r="S9" s="83" t="s">
        <v>125</v>
      </c>
      <c r="T9" s="57" t="s">
        <v>126</v>
      </c>
      <c r="U9" s="58" t="s">
        <v>2</v>
      </c>
      <c r="V9" s="59" t="s">
        <v>35</v>
      </c>
      <c r="W9" s="42" t="s">
        <v>163</v>
      </c>
      <c r="X9" s="70" t="s">
        <v>21</v>
      </c>
      <c r="Y9" s="43" t="s">
        <v>2</v>
      </c>
      <c r="Z9" s="59" t="s">
        <v>35</v>
      </c>
      <c r="AA9" s="49" t="s">
        <v>21</v>
      </c>
      <c r="AB9" s="43" t="s">
        <v>2</v>
      </c>
      <c r="AC9" s="44" t="s">
        <v>35</v>
      </c>
      <c r="AD9" s="49" t="s">
        <v>21</v>
      </c>
      <c r="AE9" s="58" t="s">
        <v>118</v>
      </c>
      <c r="AF9" s="107" t="s">
        <v>164</v>
      </c>
      <c r="AG9" s="59" t="s">
        <v>95</v>
      </c>
      <c r="AH9" s="59" t="s">
        <v>165</v>
      </c>
      <c r="AI9" s="59" t="s">
        <v>96</v>
      </c>
      <c r="AJ9" s="59" t="s">
        <v>166</v>
      </c>
      <c r="AK9" s="243" t="s">
        <v>97</v>
      </c>
      <c r="AL9" s="242" t="s">
        <v>180</v>
      </c>
      <c r="AM9" s="32" t="s">
        <v>128</v>
      </c>
      <c r="AN9" s="32" t="s">
        <v>130</v>
      </c>
      <c r="AO9" s="232" t="s">
        <v>129</v>
      </c>
      <c r="AP9" s="232" t="s">
        <v>131</v>
      </c>
      <c r="AQ9" s="232" t="s">
        <v>132</v>
      </c>
      <c r="AR9" s="232" t="s">
        <v>78</v>
      </c>
      <c r="AS9" s="233" t="s">
        <v>79</v>
      </c>
      <c r="AT9" s="231" t="s">
        <v>52</v>
      </c>
      <c r="AU9" s="33" t="s">
        <v>104</v>
      </c>
      <c r="AV9" s="73" t="s">
        <v>81</v>
      </c>
    </row>
    <row r="10" spans="1:49" x14ac:dyDescent="0.25">
      <c r="A10" s="264" t="s">
        <v>55</v>
      </c>
      <c r="B10" s="265" t="s">
        <v>99</v>
      </c>
      <c r="C10" s="265" t="s">
        <v>38</v>
      </c>
      <c r="D10" s="265">
        <v>1</v>
      </c>
      <c r="E10" s="266">
        <v>1750</v>
      </c>
      <c r="F10" s="264">
        <v>940</v>
      </c>
      <c r="G10" s="266">
        <v>162.58000000000001</v>
      </c>
      <c r="H10" s="266">
        <v>77.86</v>
      </c>
      <c r="I10" s="267">
        <v>47.66</v>
      </c>
      <c r="J10" s="268">
        <v>705</v>
      </c>
      <c r="K10" s="269">
        <v>178.4</v>
      </c>
      <c r="L10" s="267">
        <v>40.158499999999997</v>
      </c>
      <c r="M10" s="268">
        <v>1034</v>
      </c>
      <c r="N10" s="266">
        <v>157.91</v>
      </c>
      <c r="O10" s="267">
        <v>50.653599999999997</v>
      </c>
      <c r="P10" s="290">
        <v>60</v>
      </c>
      <c r="Q10" s="314">
        <v>96.2</v>
      </c>
      <c r="R10" s="51">
        <f t="shared" ref="R10:R41" si="0">IF(AND(E10&gt;=1440,E10&lt;=2160),4,IF(AND(E10&gt;=2880,E10&lt;=4320),2,""))</f>
        <v>4</v>
      </c>
      <c r="S10" s="84">
        <f>IF(R10=4,1800,IF(R10=2,3600,""))</f>
        <v>1800</v>
      </c>
      <c r="T10" s="47">
        <f>IFERROR(S10*U10^0.5/(V10/D10)^0.75,"")</f>
        <v>1178.4241552820752</v>
      </c>
      <c r="U10" s="56">
        <f>IFERROR(F10*(S10/E10),"")</f>
        <v>966.85714285714278</v>
      </c>
      <c r="V10" s="45">
        <f>IFERROR(G10*(S10/E10)^2,"")</f>
        <v>172.00300408163264</v>
      </c>
      <c r="W10" s="45">
        <f>IFERROR(I10*(S10/E10)^3,"")</f>
        <v>51.862972827988322</v>
      </c>
      <c r="X10" s="96">
        <f>IFERROR(U10*V10*Assumptions!$B$15/3956,"")</f>
        <v>42.038001286454197</v>
      </c>
      <c r="Y10" s="66">
        <f>IFERROR(J10*(S10/E10),"")</f>
        <v>725.14285714285711</v>
      </c>
      <c r="Z10" s="95">
        <f>IFERROR(K10*(S10/E10)^2,"")</f>
        <v>188.73991836734692</v>
      </c>
      <c r="AA10" s="96">
        <f>IFERROR(Y10*Z10*Assumptions!$B$15/3956,"")</f>
        <v>34.596411441306259</v>
      </c>
      <c r="AB10" s="100">
        <f>IFERROR(M10*(S10/E10),"")</f>
        <v>1063.542857142857</v>
      </c>
      <c r="AC10" s="95">
        <f>IFERROR(N10*(S10/E10)^2,"")</f>
        <v>167.06233469387752</v>
      </c>
      <c r="AD10" s="96">
        <f>IFERROR(AB10*AC10*Assumptions!$B$15/3956,"")</f>
        <v>44.913537098403118</v>
      </c>
      <c r="AE10" s="94">
        <f>IFERROR(
IF(P10&lt;=5,
(Assumptions!$W$8*(W10/P10)^2+(Assumptions!$X$8*(W10/P10))+Assumptions!$Y$8),
IF(P10&lt;=20,
(Assumptions!$W$9*(W10/P10)^2+(Assumptions!$X$9*(W10/P10))+Assumptions!$Y$9),
IF(P10&lt;=50,
(Assumptions!$W$10*(W10/P10)^2+(Assumptions!$X$10*(W10/P10))+Assumptions!$Y$10),
(Assumptions!$W$11*(W10/P10)^2+(Assumptions!$X$11+(W10/P10))+Assumptions!$Y$11)))),
"")</f>
        <v>3.3454664495980824</v>
      </c>
      <c r="AF10" s="99">
        <f>IFERROR((0.8*(0.25*U10/U10)^3+0.2*(0.25*U10/U10))*W10,"")</f>
        <v>3.2414358017492702</v>
      </c>
      <c r="AG10" s="95">
        <f>IFERROR(
IF(P10&lt;=5,
(Assumptions!$W$8*(AF10/P10)^2+(Assumptions!$X$8*(AF10/P10))+Assumptions!$Y$8),
IF(P10&lt;=20,
(Assumptions!$W$9*(AF10/P10)^2+(Assumptions!$X$9*(AF10/P10))+Assumptions!$Y$9),
IF(P10&lt;=50,
(Assumptions!$W$10*(AF10/P10)^2+(Assumptions!$X$10*(AF10/P10))+Assumptions!$Y$10),
(Assumptions!$W$11*(AF10/P10)^2+(Assumptions!$X$11+(AF10/P10))+Assumptions!$Y$11)))),
"")</f>
        <v>3.198522303346075</v>
      </c>
      <c r="AH10" s="95">
        <f>IFERROR((0.8*(0.5*U10/U10)^3+0.2*(0.5*U10/U10))*W10,"")</f>
        <v>10.372594565597666</v>
      </c>
      <c r="AI10" s="95">
        <f>IFERROR(
IF(P10&lt;=5,
(Assumptions!$W$8*(AH10/P10)^2+(Assumptions!$X$8*(AH10/P10))+Assumptions!$Y$8),
IF(P10&lt;=20,
(Assumptions!$W$9*(AH10/P10)^2+(Assumptions!$X$9*(AH10/P10))+Assumptions!$Y$9),
IF(P10&lt;=50,
(Assumptions!$W$10*(AH10/P10)^2+(Assumptions!$X$10*(AH10/P10))+Assumptions!$Y$10),
(Assumptions!$W$11*(AH10/P10)^2+(Assumptions!$X$11+(AH10/P10))+Assumptions!$Y$11)))),"")</f>
        <v>3.2933359188585589</v>
      </c>
      <c r="AJ10" s="95">
        <f>IFERROR((0.8*(0.75*U10/U10)^3+0.2*(0.75*U10/U10))*W10,"")</f>
        <v>25.283199253644309</v>
      </c>
      <c r="AK10" s="96">
        <f>IFERROR(
IF(P10&lt;=5,
(Assumptions!$W$8*(AJ10/P10)^2+(Assumptions!$X$8*(AJ10/P10))+Assumptions!$Y$8),
IF(P10&lt;=20,
(Assumptions!$W$9*(AJ10/P10)^2+(Assumptions!$X$9*(AJ10/P10))+Assumptions!$Y$9),
IF(P10&lt;=50,
(Assumptions!$W$10*(AJ10/P10)^2+(Assumptions!$X$10*(AJ10/P10))+Assumptions!$Y$10),
(Assumptions!$W$11*(AJ10/P10)^2+(Assumptions!$X$11+(AJ10/P10))+Assumptions!$Y$11)))),
"")</f>
        <v>3.4102036868288397</v>
      </c>
      <c r="AL10" s="99">
        <f>IFERROR(
IF(C10="VTS",
IF(P10&gt;=AVERAGE(
INDEX(Assumptions!$I$38:$I$57,MATCH(P10,Assumptions!$I$38:$I$57,-1)),
INDEX(Assumptions!$I$38:$I$57,MATCH(P10,Assumptions!$I$38:$I$57,-1)+1)),
INDEX(Assumptions!$I$38:$I$57,MATCH(P10,Assumptions!$I$38:$I$57,-1)),
INDEX(Assumptions!$I$38:$I$57,MATCH(P10,Assumptions!$I$38:$I$57,-1)+1)),
IF(P10&gt;=AVERAGE(
INDEX(Assumptions!$I$13:$I$32,MATCH(P10,Assumptions!$I$13:$I$32,-1)),
INDEX(Assumptions!$I$13:$I$32,MATCH(P10,Assumptions!$I$13:$I$32,-1)+1)),
INDEX(Assumptions!$I$13:$I$32,MATCH(P10,Assumptions!$I$13:$I$32,-1)),
INDEX(Assumptions!$I$13:$I$32,MATCH(P10,Assumptions!$I$13:$I$32,-1)+1))),
"")</f>
        <v>60</v>
      </c>
      <c r="AM10" s="95">
        <f>IFERROR(
IF(C10="VTS",
VLOOKUP(AL10,Assumptions!$I$38:$K$57,MATCH(R10,Assumptions!$I$37:$K$37,0),FALSE),
VLOOKUP(AL10,Assumptions!$I$13:$K$32,MATCH(R10,Assumptions!$I$12:$K$12,0),FALSE)),
"")</f>
        <v>95</v>
      </c>
      <c r="AN10" s="95">
        <f>IFERROR(P10/(AM10/100)-P10,"")</f>
        <v>3.1578947368421098</v>
      </c>
      <c r="AO10" s="95">
        <f>IFERROR(AN10*
(Assumptions!$S$7*(X10/(AR10*Assumptions!$AB$9/100)/P10)^3+
Assumptions!$S$8*(X10/(AR10*Assumptions!$AB$9/100)/P10)^2+
Assumptions!$S$9*(X10/(AR10*Assumptions!$AB$9/100)/P10)+
Assumptions!$S$10),"")</f>
        <v>2.9565320665308028</v>
      </c>
      <c r="AP10" s="95">
        <f>IFERROR(AN10*
(Assumptions!$S$7*(AA10/(AR10*Assumptions!$AB$8/100)/P10)^3+
Assumptions!$S$8*(AA10/(AR10*Assumptions!$AB$8/100)/P10)^2+
Assumptions!$S$9*(AA10/(AR10*Assumptions!$AB$8/100)/P10)+
Assumptions!$S$10),"")</f>
        <v>2.6936447208860819</v>
      </c>
      <c r="AQ10" s="95">
        <f>IFERROR(AN10*
(Assumptions!$S$7*(AD10/(AR10*Assumptions!$AB$10/100)/P10)^3+
Assumptions!$S$8*(AD10/(AR10*Assumptions!$AB$10/100)/P10)^2+
Assumptions!$S$9*(AD10/(AR10*Assumptions!$AB$10/100)/P10)+
Assumptions!$S$10),"")</f>
        <v>3.1278853762089609</v>
      </c>
      <c r="AR10" s="95">
        <f>IFERROR(
Assumptions!$AD$8*LN(U10)^2+
Assumptions!$AE$8*LN(T10)*LN(U10)+
Assumptions!$AF$8*LN(T10)^2+
Assumptions!$AG$8*LN(U10)+
Assumptions!$AH$8*LN(T10)-
(IF(S10=1800,
VLOOKUP(C10,Assumptions!$AA$13:$AC$17,3),
IF(S10=3600,
VLOOKUP(C10,Assumptions!$AA$18:$AC$22,3),
""))+Assumptions!$AI$8),
"")</f>
        <v>77.04362710133546</v>
      </c>
      <c r="AS10" s="96">
        <f>IFERROR(
Assumptions!$D$11*(X10/(Assumptions!$AB$9*AR10/100)+AO10)+
Assumptions!$D$10*(AA10/(Assumptions!$AB$8*AR10/100)+AP10)+
Assumptions!$D$12*(AD10/(Assumptions!$AB$10*AR10/100)+AQ10),
"")</f>
        <v>56.648025161159119</v>
      </c>
      <c r="AT10" s="76">
        <f>IFERROR(
(W10+AE10)*Assumptions!$F$11+
(AF10+AG10)*Assumptions!$F$8+
(AH10+AI10)*Assumptions!$F$9+
(AJ10+AK10)*Assumptions!$F$10,
"")</f>
        <v>26.001932701902781</v>
      </c>
      <c r="AU10" s="77">
        <f>IFERROR(AT10/AS10,"")</f>
        <v>0.45900863495116295</v>
      </c>
      <c r="AV10" s="68" t="str">
        <f t="shared" ref="AV10:AV73" si="1">IF(AU10="","",IF(AU10&gt;1,"FAIL","PASS"))</f>
        <v>PASS</v>
      </c>
    </row>
    <row r="11" spans="1:49" x14ac:dyDescent="0.25">
      <c r="A11" s="264" t="s">
        <v>55</v>
      </c>
      <c r="B11" s="265" t="s">
        <v>99</v>
      </c>
      <c r="C11" s="265" t="s">
        <v>42</v>
      </c>
      <c r="D11" s="265">
        <v>9</v>
      </c>
      <c r="E11" s="266">
        <v>3450</v>
      </c>
      <c r="F11" s="268">
        <v>398.82512700000001</v>
      </c>
      <c r="G11" s="269">
        <v>382.44670789999998</v>
      </c>
      <c r="H11" s="269">
        <v>75.999724580000006</v>
      </c>
      <c r="I11" s="267">
        <v>50.681123607560444</v>
      </c>
      <c r="J11" s="268">
        <v>299.11884529999998</v>
      </c>
      <c r="K11" s="269">
        <v>407.43951769999899</v>
      </c>
      <c r="L11" s="267">
        <v>45.785506762607547</v>
      </c>
      <c r="M11" s="268">
        <v>438.70763979999998</v>
      </c>
      <c r="N11" s="269">
        <v>350.698454999999</v>
      </c>
      <c r="O11" s="267">
        <v>52.355394635508951</v>
      </c>
      <c r="P11" s="290">
        <v>75</v>
      </c>
      <c r="Q11" s="314">
        <v>87</v>
      </c>
      <c r="R11" s="51">
        <f t="shared" si="0"/>
        <v>2</v>
      </c>
      <c r="S11" s="84">
        <f t="shared" ref="S11:S74" si="2">IF(R11=4,1800,IF(R11=2,3600,""))</f>
        <v>3600</v>
      </c>
      <c r="T11" s="93">
        <f t="shared" ref="T11:T74" si="3">IFERROR(S11*U11^0.5/(V11/D11)^0.75,"")</f>
        <v>4139.6539483994293</v>
      </c>
      <c r="U11" s="100">
        <f t="shared" ref="U11:U74" si="4">IFERROR(F11*(S11/E11),"")</f>
        <v>416.16534991304349</v>
      </c>
      <c r="V11" s="95">
        <f t="shared" ref="V11:V74" si="5">IFERROR(G11*(S11/E11)^2,"")</f>
        <v>416.42590501020788</v>
      </c>
      <c r="W11" s="95">
        <f t="shared" ref="W11:W74" si="6">IFERROR(I11*(S11/E11)^3,"")</f>
        <v>57.583286985363323</v>
      </c>
      <c r="X11" s="96">
        <f>IFERROR(U11*V11*Assumptions!$B$15/3956,"")</f>
        <v>43.80738940127123</v>
      </c>
      <c r="Y11" s="102">
        <f t="shared" ref="Y11:Y74" si="7">IFERROR(J11*(S11/E11),"")</f>
        <v>312.12401248695647</v>
      </c>
      <c r="Z11" s="95">
        <f t="shared" ref="Z11:Z74" si="8">IFERROR(K11*(S11/E11)^2,"")</f>
        <v>443.63924800604804</v>
      </c>
      <c r="AA11" s="96">
        <f>IFERROR(Y11*Z11*Assumptions!$B$15/3956,"")</f>
        <v>35.002644637093965</v>
      </c>
      <c r="AB11" s="100">
        <f t="shared" ref="AB11:AB74" si="9">IFERROR(M11*(S11/E11),"")</f>
        <v>457.78188500869561</v>
      </c>
      <c r="AC11" s="95">
        <f t="shared" ref="AC11:AC74" si="10">IFERROR(N11*(S11/E11)^2,"")</f>
        <v>381.85691886578337</v>
      </c>
      <c r="AD11" s="96">
        <f>IFERROR(AB11*AC11*Assumptions!$B$15/3956,"")</f>
        <v>44.187861507075546</v>
      </c>
      <c r="AE11" s="94">
        <f>IFERROR(
IF(P11&lt;=5,
(Assumptions!$W$8*(W11/P11)^2+(Assumptions!$X$8*(W11/P11))+Assumptions!$Y$8),
IF(P11&lt;=20,
(Assumptions!$W$9*(W11/P11)^2+(Assumptions!$X$9*(W11/P11))+Assumptions!$Y$9),
IF(P11&lt;=50,
(Assumptions!$W$10*(W11/P11)^2+(Assumptions!$X$10*(W11/P11))+Assumptions!$Y$10),
(Assumptions!$W$11*(W11/P11)^2+(Assumptions!$X$11+(W11/P11))+Assumptions!$Y$11)))),
"")</f>
        <v>3.3894131125958649</v>
      </c>
      <c r="AF11" s="99">
        <f t="shared" ref="AF11:AF74" si="11">IFERROR((0.8*(0.25*U11/U11)^3+0.2*(0.25*U11/U11))*W11,"")</f>
        <v>3.5989554365852077</v>
      </c>
      <c r="AG11" s="95">
        <f>IFERROR(
IF(P11&lt;=5,
(Assumptions!$W$8*(AF11/P11)^2+(Assumptions!$X$8*(AF11/P11))+Assumptions!$Y$8),
IF(P11&lt;=20,
(Assumptions!$W$9*(AF11/P11)^2+(Assumptions!$X$9*(AF11/P11))+Assumptions!$Y$9),
IF(P11&lt;=50,
(Assumptions!$W$10*(AF11/P11)^2+(Assumptions!$X$10*(AF11/P11))+Assumptions!$Y$10),
(Assumptions!$W$11*(AF11/P11)^2+(Assumptions!$X$11+(AF11/P11))+Assumptions!$Y$11)))),
"")</f>
        <v>3.1930334785533927</v>
      </c>
      <c r="AH11" s="95">
        <f t="shared" ref="AH11:AH74" si="12">IFERROR((0.8*(0.5*U11/U11)^3+0.2*(0.5*U11/U11))*W11,"")</f>
        <v>11.516657397072665</v>
      </c>
      <c r="AI11" s="95">
        <f>IFERROR(
IF(P11&lt;=5,
(Assumptions!$W$8*(AH11/P11)^2+(Assumptions!$X$8*(AH11/P11))+Assumptions!$Y$8),
IF(P11&lt;=20,
(Assumptions!$W$9*(AH11/P11)^2+(Assumptions!$X$9*(AH11/P11))+Assumptions!$Y$9),
IF(P11&lt;=50,
(Assumptions!$W$10*(AH11/P11)^2+(Assumptions!$X$10*(AH11/P11))+Assumptions!$Y$10),
(Assumptions!$W$11*(AH11/P11)^2+(Assumptions!$X$11+(AH11/P11))+Assumptions!$Y$11)))),"")</f>
        <v>3.2796368700726095</v>
      </c>
      <c r="AJ11" s="95">
        <f t="shared" ref="AJ11:AJ74" si="13">IFERROR((0.8*(0.75*U11/U11)^3+0.2*(0.75*U11/U11))*W11,"")</f>
        <v>28.071852405364623</v>
      </c>
      <c r="AK11" s="96">
        <f>IFERROR(
IF(P11&lt;=5,
(Assumptions!$W$8*(AJ11/P11)^2+(Assumptions!$X$8*(AJ11/P11))+Assumptions!$Y$8),
IF(P11&lt;=20,
(Assumptions!$W$9*(AJ11/P11)^2+(Assumptions!$X$9*(AJ11/P11))+Assumptions!$Y$9),
IF(P11&lt;=50,
(Assumptions!$W$10*(AJ11/P11)^2+(Assumptions!$X$10*(AJ11/P11))+Assumptions!$Y$10),
(Assumptions!$W$11*(AJ11/P11)^2+(Assumptions!$X$11+(AJ11/P11))+Assumptions!$Y$11)))),
"")</f>
        <v>3.3965115504353522</v>
      </c>
      <c r="AL11" s="99">
        <f>IFERROR(
IF(C11="VTS",
IF(P11&gt;=AVERAGE(
INDEX(Assumptions!$I$38:$I$57,MATCH(P11,Assumptions!$I$38:$I$57,-1)),
INDEX(Assumptions!$I$38:$I$57,MATCH(P11,Assumptions!$I$38:$I$57,-1)+1)),
INDEX(Assumptions!$I$38:$I$57,MATCH(P11,Assumptions!$I$38:$I$57,-1)),
INDEX(Assumptions!$I$38:$I$57,MATCH(P11,Assumptions!$I$38:$I$57,-1)+1)),
IF(P11&gt;=AVERAGE(
INDEX(Assumptions!$I$13:$I$32,MATCH(P11,Assumptions!$I$13:$I$32,-1)),
INDEX(Assumptions!$I$13:$I$32,MATCH(P11,Assumptions!$I$13:$I$32,-1)+1)),
INDEX(Assumptions!$I$13:$I$32,MATCH(P11,Assumptions!$I$13:$I$32,-1)),
INDEX(Assumptions!$I$13:$I$32,MATCH(P11,Assumptions!$I$13:$I$32,-1)+1))),
"")</f>
        <v>75</v>
      </c>
      <c r="AM11" s="95">
        <f>IFERROR(
IF(C11="VTS",
VLOOKUP(AL11,Assumptions!$I$38:$K$57,MATCH(R11,Assumptions!$I$37:$K$37,0),FALSE),
VLOOKUP(AL11,Assumptions!$I$13:$K$32,MATCH(R11,Assumptions!$I$12:$K$12,0),FALSE)),
"")</f>
        <v>82.5</v>
      </c>
      <c r="AN11" s="95">
        <f t="shared" ref="AN11:AN74" si="14">IFERROR(P11/(AM11/100)-P11,"")</f>
        <v>15.909090909090921</v>
      </c>
      <c r="AO11" s="95">
        <f>IFERROR(AN11*
(Assumptions!$S$7*(X11/(AR11*Assumptions!$AB$9/100)/P11)^3+
Assumptions!$S$8*(X11/(AR11*Assumptions!$AB$9/100)/P11)^2+
Assumptions!$S$9*(X11/(AR11*Assumptions!$AB$9/100)/P11)+
Assumptions!$S$10),"")</f>
        <v>14.219513706326127</v>
      </c>
      <c r="AP11" s="95">
        <f>IFERROR(AN11*
(Assumptions!$S$7*(AA11/(AR11*Assumptions!$AB$8/100)/P11)^3+
Assumptions!$S$8*(AA11/(AR11*Assumptions!$AB$8/100)/P11)^2+
Assumptions!$S$9*(AA11/(AR11*Assumptions!$AB$8/100)/P11)+
Assumptions!$S$10),"")</f>
        <v>12.783169281704616</v>
      </c>
      <c r="AQ11" s="95">
        <f>IFERROR(AN11*
(Assumptions!$S$7*(AD11/(AR11*Assumptions!$AB$10/100)/P11)^3+
Assumptions!$S$8*(AD11/(AR11*Assumptions!$AB$10/100)/P11)^2+
Assumptions!$S$9*(AD11/(AR11*Assumptions!$AB$10/100)/P11)+
Assumptions!$S$10),"")</f>
        <v>14.447598067315358</v>
      </c>
      <c r="AR11" s="95">
        <f>IFERROR(
Assumptions!$AD$8*LN(U11)^2+
Assumptions!$AE$8*LN(T11)*LN(U11)+
Assumptions!$AF$8*LN(T11)^2+
Assumptions!$AG$8*LN(U11)+
Assumptions!$AH$8*LN(T11)-
(IF(S11=1800,
VLOOKUP(C11,Assumptions!$AA$13:$AC$17,3),
IF(S11=3600,
VLOOKUP(C11,Assumptions!$AA$18:$AC$22,3),
""))+Assumptions!$AI$8),
"")</f>
        <v>68.786460281667814</v>
      </c>
      <c r="AS11" s="96">
        <f>IFERROR(
Assumptions!$D$11*(X11/(Assumptions!$AB$9*AR11/100)+AO11)+
Assumptions!$D$10*(AA11/(Assumptions!$AB$8*AR11/100)+AP11)+
Assumptions!$D$12*(AD11/(Assumptions!$AB$10*AR11/100)+AQ11),
"")</f>
        <v>74.695879079374109</v>
      </c>
      <c r="AT11" s="76">
        <f>IFERROR(
(W11+AE11)*Assumptions!$F$11+
(AF11+AG11)*Assumptions!$F$8+
(AH11+AI11)*Assumptions!$F$9+
(AJ11+AK11)*Assumptions!$F$10,
"")</f>
        <v>28.507336809010759</v>
      </c>
      <c r="AU11" s="77">
        <f t="shared" ref="AU11:AU74" si="15">IFERROR(AT11/AS11,"")</f>
        <v>0.38164537535890031</v>
      </c>
      <c r="AV11" s="68" t="str">
        <f t="shared" si="1"/>
        <v>PASS</v>
      </c>
    </row>
    <row r="12" spans="1:49" x14ac:dyDescent="0.25">
      <c r="A12" s="264"/>
      <c r="B12" s="265"/>
      <c r="C12" s="265"/>
      <c r="D12" s="265"/>
      <c r="E12" s="266"/>
      <c r="F12" s="268"/>
      <c r="G12" s="269"/>
      <c r="H12" s="269"/>
      <c r="I12" s="267"/>
      <c r="J12" s="268"/>
      <c r="K12" s="269"/>
      <c r="L12" s="267"/>
      <c r="M12" s="268"/>
      <c r="N12" s="269"/>
      <c r="O12" s="267"/>
      <c r="P12" s="290"/>
      <c r="Q12" s="314"/>
      <c r="R12" s="51" t="str">
        <f t="shared" si="0"/>
        <v/>
      </c>
      <c r="S12" s="84" t="str">
        <f t="shared" si="2"/>
        <v/>
      </c>
      <c r="T12" s="93" t="str">
        <f t="shared" si="3"/>
        <v/>
      </c>
      <c r="U12" s="100" t="str">
        <f t="shared" si="4"/>
        <v/>
      </c>
      <c r="V12" s="95" t="str">
        <f t="shared" si="5"/>
        <v/>
      </c>
      <c r="W12" s="95" t="str">
        <f t="shared" si="6"/>
        <v/>
      </c>
      <c r="X12" s="96" t="str">
        <f>IFERROR(U12*V12*Assumptions!$B$15/3956,"")</f>
        <v/>
      </c>
      <c r="Y12" s="102" t="str">
        <f t="shared" si="7"/>
        <v/>
      </c>
      <c r="Z12" s="95" t="str">
        <f t="shared" si="8"/>
        <v/>
      </c>
      <c r="AA12" s="96" t="str">
        <f>IFERROR(Y12*Z12*Assumptions!$B$15/3956,"")</f>
        <v/>
      </c>
      <c r="AB12" s="100" t="str">
        <f t="shared" si="9"/>
        <v/>
      </c>
      <c r="AC12" s="95" t="str">
        <f t="shared" si="10"/>
        <v/>
      </c>
      <c r="AD12" s="96" t="str">
        <f>IFERROR(AB12*AC12*Assumptions!$B$15/3956,"")</f>
        <v/>
      </c>
      <c r="AE12" s="94" t="str">
        <f>IFERROR(
IF(P12&lt;=5,
(Assumptions!$W$8*(W12/P12)^2+(Assumptions!$X$8*(W12/P12))+Assumptions!$Y$8),
IF(P12&lt;=20,
(Assumptions!$W$9*(W12/P12)^2+(Assumptions!$X$9*(W12/P12))+Assumptions!$Y$9),
IF(P12&lt;=50,
(Assumptions!$W$10*(W12/P12)^2+(Assumptions!$X$10*(W12/P12))+Assumptions!$Y$10),
(Assumptions!$W$11*(W12/P12)^2+(Assumptions!$X$11+(W12/P12))+Assumptions!$Y$11)))),
"")</f>
        <v/>
      </c>
      <c r="AF12" s="99" t="str">
        <f t="shared" si="11"/>
        <v/>
      </c>
      <c r="AG12" s="95" t="str">
        <f>IFERROR(
IF(P12&lt;=5,
(Assumptions!$W$8*(AF12/P12)^2+(Assumptions!$X$8*(AF12/P12))+Assumptions!$Y$8),
IF(P12&lt;=20,
(Assumptions!$W$9*(AF12/P12)^2+(Assumptions!$X$9*(AF12/P12))+Assumptions!$Y$9),
IF(P12&lt;=50,
(Assumptions!$W$10*(AF12/P12)^2+(Assumptions!$X$10*(AF12/P12))+Assumptions!$Y$10),
(Assumptions!$W$11*(AF12/P12)^2+(Assumptions!$X$11+(AF12/P12))+Assumptions!$Y$11)))),
"")</f>
        <v/>
      </c>
      <c r="AH12" s="95" t="str">
        <f t="shared" si="12"/>
        <v/>
      </c>
      <c r="AI12" s="95" t="str">
        <f>IFERROR(
IF(P12&lt;=5,
(Assumptions!$W$8*(AH12/P12)^2+(Assumptions!$X$8*(AH12/P12))+Assumptions!$Y$8),
IF(P12&lt;=20,
(Assumptions!$W$9*(AH12/P12)^2+(Assumptions!$X$9*(AH12/P12))+Assumptions!$Y$9),
IF(P12&lt;=50,
(Assumptions!$W$10*(AH12/P12)^2+(Assumptions!$X$10*(AH12/P12))+Assumptions!$Y$10),
(Assumptions!$W$11*(AH12/P12)^2+(Assumptions!$X$11+(AH12/P12))+Assumptions!$Y$11)))),"")</f>
        <v/>
      </c>
      <c r="AJ12" s="95" t="str">
        <f t="shared" si="13"/>
        <v/>
      </c>
      <c r="AK12" s="96" t="str">
        <f>IFERROR(
IF(P12&lt;=5,
(Assumptions!$W$8*(AJ12/P12)^2+(Assumptions!$X$8*(AJ12/P12))+Assumptions!$Y$8),
IF(P12&lt;=20,
(Assumptions!$W$9*(AJ12/P12)^2+(Assumptions!$X$9*(AJ12/P12))+Assumptions!$Y$9),
IF(P12&lt;=50,
(Assumptions!$W$10*(AJ12/P12)^2+(Assumptions!$X$10*(AJ12/P12))+Assumptions!$Y$10),
(Assumptions!$W$11*(AJ12/P12)^2+(Assumptions!$X$11+(AJ12/P12))+Assumptions!$Y$11)))),
"")</f>
        <v/>
      </c>
      <c r="AL12" s="99" t="str">
        <f>IFERROR(
IF(C12="VTS",
IF(P12&gt;=AVERAGE(
INDEX(Assumptions!$I$38:$I$57,MATCH(P12,Assumptions!$I$38:$I$57,-1)),
INDEX(Assumptions!$I$38:$I$57,MATCH(P12,Assumptions!$I$38:$I$57,-1)+1)),
INDEX(Assumptions!$I$38:$I$57,MATCH(P12,Assumptions!$I$38:$I$57,-1)),
INDEX(Assumptions!$I$38:$I$57,MATCH(P12,Assumptions!$I$38:$I$57,-1)+1)),
IF(P12&gt;=AVERAGE(
INDEX(Assumptions!$I$13:$I$32,MATCH(P12,Assumptions!$I$13:$I$32,-1)),
INDEX(Assumptions!$I$13:$I$32,MATCH(P12,Assumptions!$I$13:$I$32,-1)+1)),
INDEX(Assumptions!$I$13:$I$32,MATCH(P12,Assumptions!$I$13:$I$32,-1)),
INDEX(Assumptions!$I$13:$I$32,MATCH(P12,Assumptions!$I$13:$I$32,-1)+1))),
"")</f>
        <v/>
      </c>
      <c r="AM12" s="95" t="str">
        <f>IFERROR(
IF(C12="VTS",
VLOOKUP(AL12,Assumptions!$I$38:$K$57,MATCH(R12,Assumptions!$I$37:$K$37,0),FALSE),
VLOOKUP(AL12,Assumptions!$I$13:$K$32,MATCH(R12,Assumptions!$I$12:$K$12,0),FALSE)),
"")</f>
        <v/>
      </c>
      <c r="AN12" s="95" t="str">
        <f t="shared" si="14"/>
        <v/>
      </c>
      <c r="AO12" s="95" t="str">
        <f>IFERROR(AN12*
(Assumptions!$S$7*(X12/(AR12*Assumptions!$AB$9/100)/P12)^3+
Assumptions!$S$8*(X12/(AR12*Assumptions!$AB$9/100)/P12)^2+
Assumptions!$S$9*(X12/(AR12*Assumptions!$AB$9/100)/P12)+
Assumptions!$S$10),"")</f>
        <v/>
      </c>
      <c r="AP12" s="95" t="str">
        <f>IFERROR(AN12*
(Assumptions!$S$7*(AA12/(AR12*Assumptions!$AB$8/100)/P12)^3+
Assumptions!$S$8*(AA12/(AR12*Assumptions!$AB$8/100)/P12)^2+
Assumptions!$S$9*(AA12/(AR12*Assumptions!$AB$8/100)/P12)+
Assumptions!$S$10),"")</f>
        <v/>
      </c>
      <c r="AQ12" s="95" t="str">
        <f>IFERROR(AN12*
(Assumptions!$S$7*(AD12/(AR12*Assumptions!$AB$10/100)/P12)^3+
Assumptions!$S$8*(AD12/(AR12*Assumptions!$AB$10/100)/P12)^2+
Assumptions!$S$9*(AD12/(AR12*Assumptions!$AB$10/100)/P12)+
Assumptions!$S$10),"")</f>
        <v/>
      </c>
      <c r="AR12" s="95" t="str">
        <f>IFERROR(
Assumptions!$AD$8*LN(U12)^2+
Assumptions!$AE$8*LN(T12)*LN(U12)+
Assumptions!$AF$8*LN(T12)^2+
Assumptions!$AG$8*LN(U12)+
Assumptions!$AH$8*LN(T12)-
(IF(S12=1800,
VLOOKUP(C12,Assumptions!$AA$13:$AC$17,3),
IF(S12=3600,
VLOOKUP(C12,Assumptions!$AA$18:$AC$22,3),
""))+Assumptions!$AI$8),
"")</f>
        <v/>
      </c>
      <c r="AS12" s="96" t="str">
        <f>IFERROR(
Assumptions!$D$11*(X12/(Assumptions!$AB$9*AR12/100)+AO12)+
Assumptions!$D$10*(AA12/(Assumptions!$AB$8*AR12/100)+AP12)+
Assumptions!$D$12*(AD12/(Assumptions!$AB$10*AR12/100)+AQ12),
"")</f>
        <v/>
      </c>
      <c r="AT12" s="76" t="str">
        <f>IFERROR(
(W12+AE12)*Assumptions!$F$11+
(AF12+AG12)*Assumptions!$F$8+
(AH12+AI12)*Assumptions!$F$9+
(AJ12+AK12)*Assumptions!$F$10,
"")</f>
        <v/>
      </c>
      <c r="AU12" s="77" t="str">
        <f t="shared" si="15"/>
        <v/>
      </c>
      <c r="AV12" s="68" t="str">
        <f t="shared" si="1"/>
        <v/>
      </c>
    </row>
    <row r="13" spans="1:49" x14ac:dyDescent="0.25">
      <c r="A13" s="264"/>
      <c r="B13" s="265"/>
      <c r="C13" s="265"/>
      <c r="D13" s="265"/>
      <c r="E13" s="266"/>
      <c r="F13" s="270"/>
      <c r="G13" s="271"/>
      <c r="H13" s="271"/>
      <c r="I13" s="272"/>
      <c r="J13" s="270"/>
      <c r="K13" s="271"/>
      <c r="L13" s="272"/>
      <c r="M13" s="270"/>
      <c r="N13" s="271"/>
      <c r="O13" s="272"/>
      <c r="P13" s="290"/>
      <c r="Q13" s="314"/>
      <c r="R13" s="51" t="str">
        <f t="shared" si="0"/>
        <v/>
      </c>
      <c r="S13" s="84" t="str">
        <f t="shared" si="2"/>
        <v/>
      </c>
      <c r="T13" s="93" t="str">
        <f t="shared" si="3"/>
        <v/>
      </c>
      <c r="U13" s="100" t="str">
        <f t="shared" si="4"/>
        <v/>
      </c>
      <c r="V13" s="95" t="str">
        <f t="shared" si="5"/>
        <v/>
      </c>
      <c r="W13" s="95" t="str">
        <f t="shared" si="6"/>
        <v/>
      </c>
      <c r="X13" s="96" t="str">
        <f>IFERROR(U13*V13*Assumptions!$B$15/3956,"")</f>
        <v/>
      </c>
      <c r="Y13" s="102" t="str">
        <f t="shared" si="7"/>
        <v/>
      </c>
      <c r="Z13" s="95" t="str">
        <f t="shared" si="8"/>
        <v/>
      </c>
      <c r="AA13" s="96" t="str">
        <f>IFERROR(Y13*Z13*Assumptions!$B$15/3956,"")</f>
        <v/>
      </c>
      <c r="AB13" s="100" t="str">
        <f t="shared" si="9"/>
        <v/>
      </c>
      <c r="AC13" s="95" t="str">
        <f t="shared" si="10"/>
        <v/>
      </c>
      <c r="AD13" s="96" t="str">
        <f>IFERROR(AB13*AC13*Assumptions!$B$15/3956,"")</f>
        <v/>
      </c>
      <c r="AE13" s="94" t="str">
        <f>IFERROR(
IF(P13&lt;=5,
(Assumptions!$W$8*(W13/P13)^2+(Assumptions!$X$8*(W13/P13))+Assumptions!$Y$8),
IF(P13&lt;=20,
(Assumptions!$W$9*(W13/P13)^2+(Assumptions!$X$9*(W13/P13))+Assumptions!$Y$9),
IF(P13&lt;=50,
(Assumptions!$W$10*(W13/P13)^2+(Assumptions!$X$10*(W13/P13))+Assumptions!$Y$10),
(Assumptions!$W$11*(W13/P13)^2+(Assumptions!$X$11+(W13/P13))+Assumptions!$Y$11)))),
"")</f>
        <v/>
      </c>
      <c r="AF13" s="99" t="str">
        <f t="shared" si="11"/>
        <v/>
      </c>
      <c r="AG13" s="95" t="str">
        <f>IFERROR(
IF(P13&lt;=5,
(Assumptions!$W$8*(AF13/P13)^2+(Assumptions!$X$8*(AF13/P13))+Assumptions!$Y$8),
IF(P13&lt;=20,
(Assumptions!$W$9*(AF13/P13)^2+(Assumptions!$X$9*(AF13/P13))+Assumptions!$Y$9),
IF(P13&lt;=50,
(Assumptions!$W$10*(AF13/P13)^2+(Assumptions!$X$10*(AF13/P13))+Assumptions!$Y$10),
(Assumptions!$W$11*(AF13/P13)^2+(Assumptions!$X$11+(AF13/P13))+Assumptions!$Y$11)))),
"")</f>
        <v/>
      </c>
      <c r="AH13" s="95" t="str">
        <f t="shared" si="12"/>
        <v/>
      </c>
      <c r="AI13" s="95" t="str">
        <f>IFERROR(
IF(P13&lt;=5,
(Assumptions!$W$8*(AH13/P13)^2+(Assumptions!$X$8*(AH13/P13))+Assumptions!$Y$8),
IF(P13&lt;=20,
(Assumptions!$W$9*(AH13/P13)^2+(Assumptions!$X$9*(AH13/P13))+Assumptions!$Y$9),
IF(P13&lt;=50,
(Assumptions!$W$10*(AH13/P13)^2+(Assumptions!$X$10*(AH13/P13))+Assumptions!$Y$10),
(Assumptions!$W$11*(AH13/P13)^2+(Assumptions!$X$11+(AH13/P13))+Assumptions!$Y$11)))),"")</f>
        <v/>
      </c>
      <c r="AJ13" s="95" t="str">
        <f t="shared" si="13"/>
        <v/>
      </c>
      <c r="AK13" s="96" t="str">
        <f>IFERROR(
IF(P13&lt;=5,
(Assumptions!$W$8*(AJ13/P13)^2+(Assumptions!$X$8*(AJ13/P13))+Assumptions!$Y$8),
IF(P13&lt;=20,
(Assumptions!$W$9*(AJ13/P13)^2+(Assumptions!$X$9*(AJ13/P13))+Assumptions!$Y$9),
IF(P13&lt;=50,
(Assumptions!$W$10*(AJ13/P13)^2+(Assumptions!$X$10*(AJ13/P13))+Assumptions!$Y$10),
(Assumptions!$W$11*(AJ13/P13)^2+(Assumptions!$X$11+(AJ13/P13))+Assumptions!$Y$11)))),
"")</f>
        <v/>
      </c>
      <c r="AL13" s="99" t="str">
        <f>IFERROR(
IF(C13="VTS",
IF(P13&gt;=AVERAGE(
INDEX(Assumptions!$I$38:$I$57,MATCH(P13,Assumptions!$I$38:$I$57,-1)),
INDEX(Assumptions!$I$38:$I$57,MATCH(P13,Assumptions!$I$38:$I$57,-1)+1)),
INDEX(Assumptions!$I$38:$I$57,MATCH(P13,Assumptions!$I$38:$I$57,-1)),
INDEX(Assumptions!$I$38:$I$57,MATCH(P13,Assumptions!$I$38:$I$57,-1)+1)),
IF(P13&gt;=AVERAGE(
INDEX(Assumptions!$I$13:$I$32,MATCH(P13,Assumptions!$I$13:$I$32,-1)),
INDEX(Assumptions!$I$13:$I$32,MATCH(P13,Assumptions!$I$13:$I$32,-1)+1)),
INDEX(Assumptions!$I$13:$I$32,MATCH(P13,Assumptions!$I$13:$I$32,-1)),
INDEX(Assumptions!$I$13:$I$32,MATCH(P13,Assumptions!$I$13:$I$32,-1)+1))),
"")</f>
        <v/>
      </c>
      <c r="AM13" s="95" t="str">
        <f>IFERROR(
IF(C13="VTS",
VLOOKUP(AL13,Assumptions!$I$38:$K$57,MATCH(R13,Assumptions!$I$37:$K$37,0),FALSE),
VLOOKUP(AL13,Assumptions!$I$13:$K$32,MATCH(R13,Assumptions!$I$12:$K$12,0),FALSE)),
"")</f>
        <v/>
      </c>
      <c r="AN13" s="95" t="str">
        <f t="shared" si="14"/>
        <v/>
      </c>
      <c r="AO13" s="95" t="str">
        <f>IFERROR(AN13*
(Assumptions!$S$7*(X13/(AR13*Assumptions!$AB$9/100)/P13)^3+
Assumptions!$S$8*(X13/(AR13*Assumptions!$AB$9/100)/P13)^2+
Assumptions!$S$9*(X13/(AR13*Assumptions!$AB$9/100)/P13)+
Assumptions!$S$10),"")</f>
        <v/>
      </c>
      <c r="AP13" s="95" t="str">
        <f>IFERROR(AN13*
(Assumptions!$S$7*(AA13/(AR13*Assumptions!$AB$8/100)/P13)^3+
Assumptions!$S$8*(AA13/(AR13*Assumptions!$AB$8/100)/P13)^2+
Assumptions!$S$9*(AA13/(AR13*Assumptions!$AB$8/100)/P13)+
Assumptions!$S$10),"")</f>
        <v/>
      </c>
      <c r="AQ13" s="95" t="str">
        <f>IFERROR(AN13*
(Assumptions!$S$7*(AD13/(AR13*Assumptions!$AB$10/100)/P13)^3+
Assumptions!$S$8*(AD13/(AR13*Assumptions!$AB$10/100)/P13)^2+
Assumptions!$S$9*(AD13/(AR13*Assumptions!$AB$10/100)/P13)+
Assumptions!$S$10),"")</f>
        <v/>
      </c>
      <c r="AR13" s="95" t="str">
        <f>IFERROR(
Assumptions!$AD$8*LN(U13)^2+
Assumptions!$AE$8*LN(T13)*LN(U13)+
Assumptions!$AF$8*LN(T13)^2+
Assumptions!$AG$8*LN(U13)+
Assumptions!$AH$8*LN(T13)-
(IF(S13=1800,
VLOOKUP(C13,Assumptions!$AA$13:$AC$17,3),
IF(S13=3600,
VLOOKUP(C13,Assumptions!$AA$18:$AC$22,3),
""))+Assumptions!$AI$8),
"")</f>
        <v/>
      </c>
      <c r="AS13" s="96" t="str">
        <f>IFERROR(
Assumptions!$D$11*(X13/(Assumptions!$AB$9*AR13/100)+AO13)+
Assumptions!$D$10*(AA13/(Assumptions!$AB$8*AR13/100)+AP13)+
Assumptions!$D$12*(AD13/(Assumptions!$AB$10*AR13/100)+AQ13),
"")</f>
        <v/>
      </c>
      <c r="AT13" s="76" t="str">
        <f>IFERROR(
(W13+AE13)*Assumptions!$F$11+
(AF13+AG13)*Assumptions!$F$8+
(AH13+AI13)*Assumptions!$F$9+
(AJ13+AK13)*Assumptions!$F$10,
"")</f>
        <v/>
      </c>
      <c r="AU13" s="77" t="str">
        <f t="shared" si="15"/>
        <v/>
      </c>
      <c r="AV13" s="68" t="str">
        <f t="shared" si="1"/>
        <v/>
      </c>
    </row>
    <row r="14" spans="1:49" x14ac:dyDescent="0.25">
      <c r="A14" s="264"/>
      <c r="B14" s="265"/>
      <c r="C14" s="265"/>
      <c r="D14" s="265"/>
      <c r="E14" s="266"/>
      <c r="F14" s="270"/>
      <c r="G14" s="271"/>
      <c r="H14" s="271"/>
      <c r="I14" s="272"/>
      <c r="J14" s="270"/>
      <c r="K14" s="271"/>
      <c r="L14" s="272"/>
      <c r="M14" s="270"/>
      <c r="N14" s="271"/>
      <c r="O14" s="272"/>
      <c r="P14" s="290"/>
      <c r="Q14" s="314"/>
      <c r="R14" s="51" t="str">
        <f t="shared" si="0"/>
        <v/>
      </c>
      <c r="S14" s="84" t="str">
        <f t="shared" si="2"/>
        <v/>
      </c>
      <c r="T14" s="93" t="str">
        <f t="shared" si="3"/>
        <v/>
      </c>
      <c r="U14" s="100" t="str">
        <f t="shared" si="4"/>
        <v/>
      </c>
      <c r="V14" s="95" t="str">
        <f t="shared" si="5"/>
        <v/>
      </c>
      <c r="W14" s="95" t="str">
        <f t="shared" si="6"/>
        <v/>
      </c>
      <c r="X14" s="96" t="str">
        <f>IFERROR(U14*V14*Assumptions!$B$15/3956,"")</f>
        <v/>
      </c>
      <c r="Y14" s="102" t="str">
        <f t="shared" si="7"/>
        <v/>
      </c>
      <c r="Z14" s="95" t="str">
        <f t="shared" si="8"/>
        <v/>
      </c>
      <c r="AA14" s="96" t="str">
        <f>IFERROR(Y14*Z14*Assumptions!$B$15/3956,"")</f>
        <v/>
      </c>
      <c r="AB14" s="100" t="str">
        <f t="shared" si="9"/>
        <v/>
      </c>
      <c r="AC14" s="95" t="str">
        <f t="shared" si="10"/>
        <v/>
      </c>
      <c r="AD14" s="96" t="str">
        <f>IFERROR(AB14*AC14*Assumptions!$B$15/3956,"")</f>
        <v/>
      </c>
      <c r="AE14" s="94" t="str">
        <f>IFERROR(
IF(P14&lt;=5,
(Assumptions!$W$8*(W14/P14)^2+(Assumptions!$X$8*(W14/P14))+Assumptions!$Y$8),
IF(P14&lt;=20,
(Assumptions!$W$9*(W14/P14)^2+(Assumptions!$X$9*(W14/P14))+Assumptions!$Y$9),
IF(P14&lt;=50,
(Assumptions!$W$10*(W14/P14)^2+(Assumptions!$X$10*(W14/P14))+Assumptions!$Y$10),
(Assumptions!$W$11*(W14/P14)^2+(Assumptions!$X$11+(W14/P14))+Assumptions!$Y$11)))),
"")</f>
        <v/>
      </c>
      <c r="AF14" s="99" t="str">
        <f t="shared" si="11"/>
        <v/>
      </c>
      <c r="AG14" s="95" t="str">
        <f>IFERROR(
IF(P14&lt;=5,
(Assumptions!$W$8*(AF14/P14)^2+(Assumptions!$X$8*(AF14/P14))+Assumptions!$Y$8),
IF(P14&lt;=20,
(Assumptions!$W$9*(AF14/P14)^2+(Assumptions!$X$9*(AF14/P14))+Assumptions!$Y$9),
IF(P14&lt;=50,
(Assumptions!$W$10*(AF14/P14)^2+(Assumptions!$X$10*(AF14/P14))+Assumptions!$Y$10),
(Assumptions!$W$11*(AF14/P14)^2+(Assumptions!$X$11+(AF14/P14))+Assumptions!$Y$11)))),
"")</f>
        <v/>
      </c>
      <c r="AH14" s="95" t="str">
        <f t="shared" si="12"/>
        <v/>
      </c>
      <c r="AI14" s="95" t="str">
        <f>IFERROR(
IF(P14&lt;=5,
(Assumptions!$W$8*(AH14/P14)^2+(Assumptions!$X$8*(AH14/P14))+Assumptions!$Y$8),
IF(P14&lt;=20,
(Assumptions!$W$9*(AH14/P14)^2+(Assumptions!$X$9*(AH14/P14))+Assumptions!$Y$9),
IF(P14&lt;=50,
(Assumptions!$W$10*(AH14/P14)^2+(Assumptions!$X$10*(AH14/P14))+Assumptions!$Y$10),
(Assumptions!$W$11*(AH14/P14)^2+(Assumptions!$X$11+(AH14/P14))+Assumptions!$Y$11)))),"")</f>
        <v/>
      </c>
      <c r="AJ14" s="95" t="str">
        <f t="shared" si="13"/>
        <v/>
      </c>
      <c r="AK14" s="96" t="str">
        <f>IFERROR(
IF(P14&lt;=5,
(Assumptions!$W$8*(AJ14/P14)^2+(Assumptions!$X$8*(AJ14/P14))+Assumptions!$Y$8),
IF(P14&lt;=20,
(Assumptions!$W$9*(AJ14/P14)^2+(Assumptions!$X$9*(AJ14/P14))+Assumptions!$Y$9),
IF(P14&lt;=50,
(Assumptions!$W$10*(AJ14/P14)^2+(Assumptions!$X$10*(AJ14/P14))+Assumptions!$Y$10),
(Assumptions!$W$11*(AJ14/P14)^2+(Assumptions!$X$11+(AJ14/P14))+Assumptions!$Y$11)))),
"")</f>
        <v/>
      </c>
      <c r="AL14" s="99" t="str">
        <f>IFERROR(
IF(C14="VTS",
IF(P14&gt;=AVERAGE(
INDEX(Assumptions!$I$38:$I$57,MATCH(P14,Assumptions!$I$38:$I$57,-1)),
INDEX(Assumptions!$I$38:$I$57,MATCH(P14,Assumptions!$I$38:$I$57,-1)+1)),
INDEX(Assumptions!$I$38:$I$57,MATCH(P14,Assumptions!$I$38:$I$57,-1)),
INDEX(Assumptions!$I$38:$I$57,MATCH(P14,Assumptions!$I$38:$I$57,-1)+1)),
IF(P14&gt;=AVERAGE(
INDEX(Assumptions!$I$13:$I$32,MATCH(P14,Assumptions!$I$13:$I$32,-1)),
INDEX(Assumptions!$I$13:$I$32,MATCH(P14,Assumptions!$I$13:$I$32,-1)+1)),
INDEX(Assumptions!$I$13:$I$32,MATCH(P14,Assumptions!$I$13:$I$32,-1)),
INDEX(Assumptions!$I$13:$I$32,MATCH(P14,Assumptions!$I$13:$I$32,-1)+1))),
"")</f>
        <v/>
      </c>
      <c r="AM14" s="95" t="str">
        <f>IFERROR(
IF(C14="VTS",
VLOOKUP(AL14,Assumptions!$I$38:$K$57,MATCH(R14,Assumptions!$I$37:$K$37,0),FALSE),
VLOOKUP(AL14,Assumptions!$I$13:$K$32,MATCH(R14,Assumptions!$I$12:$K$12,0),FALSE)),
"")</f>
        <v/>
      </c>
      <c r="AN14" s="95" t="str">
        <f t="shared" si="14"/>
        <v/>
      </c>
      <c r="AO14" s="95" t="str">
        <f>IFERROR(AN14*
(Assumptions!$S$7*(X14/(AR14*Assumptions!$AB$9/100)/P14)^3+
Assumptions!$S$8*(X14/(AR14*Assumptions!$AB$9/100)/P14)^2+
Assumptions!$S$9*(X14/(AR14*Assumptions!$AB$9/100)/P14)+
Assumptions!$S$10),"")</f>
        <v/>
      </c>
      <c r="AP14" s="95" t="str">
        <f>IFERROR(AN14*
(Assumptions!$S$7*(AA14/(AR14*Assumptions!$AB$8/100)/P14)^3+
Assumptions!$S$8*(AA14/(AR14*Assumptions!$AB$8/100)/P14)^2+
Assumptions!$S$9*(AA14/(AR14*Assumptions!$AB$8/100)/P14)+
Assumptions!$S$10),"")</f>
        <v/>
      </c>
      <c r="AQ14" s="95" t="str">
        <f>IFERROR(AN14*
(Assumptions!$S$7*(AD14/(AR14*Assumptions!$AB$10/100)/P14)^3+
Assumptions!$S$8*(AD14/(AR14*Assumptions!$AB$10/100)/P14)^2+
Assumptions!$S$9*(AD14/(AR14*Assumptions!$AB$10/100)/P14)+
Assumptions!$S$10),"")</f>
        <v/>
      </c>
      <c r="AR14" s="95" t="str">
        <f>IFERROR(
Assumptions!$AD$8*LN(U14)^2+
Assumptions!$AE$8*LN(T14)*LN(U14)+
Assumptions!$AF$8*LN(T14)^2+
Assumptions!$AG$8*LN(U14)+
Assumptions!$AH$8*LN(T14)-
(IF(S14=1800,
VLOOKUP(C14,Assumptions!$AA$13:$AC$17,3),
IF(S14=3600,
VLOOKUP(C14,Assumptions!$AA$18:$AC$22,3),
""))+Assumptions!$AI$8),
"")</f>
        <v/>
      </c>
      <c r="AS14" s="96" t="str">
        <f>IFERROR(
Assumptions!$D$11*(X14/(Assumptions!$AB$9*AR14/100)+AO14)+
Assumptions!$D$10*(AA14/(Assumptions!$AB$8*AR14/100)+AP14)+
Assumptions!$D$12*(AD14/(Assumptions!$AB$10*AR14/100)+AQ14),
"")</f>
        <v/>
      </c>
      <c r="AT14" s="76" t="str">
        <f>IFERROR(
(W14+AE14)*Assumptions!$F$11+
(AF14+AG14)*Assumptions!$F$8+
(AH14+AI14)*Assumptions!$F$9+
(AJ14+AK14)*Assumptions!$F$10,
"")</f>
        <v/>
      </c>
      <c r="AU14" s="77" t="str">
        <f t="shared" si="15"/>
        <v/>
      </c>
      <c r="AV14" s="68" t="str">
        <f t="shared" si="1"/>
        <v/>
      </c>
    </row>
    <row r="15" spans="1:49" x14ac:dyDescent="0.25">
      <c r="A15" s="264"/>
      <c r="B15" s="265"/>
      <c r="C15" s="265"/>
      <c r="D15" s="265"/>
      <c r="E15" s="266"/>
      <c r="F15" s="270"/>
      <c r="G15" s="271"/>
      <c r="H15" s="271"/>
      <c r="I15" s="272"/>
      <c r="J15" s="270"/>
      <c r="K15" s="271"/>
      <c r="L15" s="272"/>
      <c r="M15" s="270"/>
      <c r="N15" s="271"/>
      <c r="O15" s="272"/>
      <c r="P15" s="290"/>
      <c r="Q15" s="314"/>
      <c r="R15" s="51" t="str">
        <f t="shared" si="0"/>
        <v/>
      </c>
      <c r="S15" s="84" t="str">
        <f t="shared" si="2"/>
        <v/>
      </c>
      <c r="T15" s="93" t="str">
        <f t="shared" si="3"/>
        <v/>
      </c>
      <c r="U15" s="100" t="str">
        <f t="shared" si="4"/>
        <v/>
      </c>
      <c r="V15" s="95" t="str">
        <f t="shared" si="5"/>
        <v/>
      </c>
      <c r="W15" s="95" t="str">
        <f t="shared" si="6"/>
        <v/>
      </c>
      <c r="X15" s="96" t="str">
        <f>IFERROR(U15*V15*Assumptions!$B$15/3956,"")</f>
        <v/>
      </c>
      <c r="Y15" s="102" t="str">
        <f t="shared" si="7"/>
        <v/>
      </c>
      <c r="Z15" s="95" t="str">
        <f t="shared" si="8"/>
        <v/>
      </c>
      <c r="AA15" s="96" t="str">
        <f>IFERROR(Y15*Z15*Assumptions!$B$15/3956,"")</f>
        <v/>
      </c>
      <c r="AB15" s="100" t="str">
        <f t="shared" si="9"/>
        <v/>
      </c>
      <c r="AC15" s="95" t="str">
        <f t="shared" si="10"/>
        <v/>
      </c>
      <c r="AD15" s="96" t="str">
        <f>IFERROR(AB15*AC15*Assumptions!$B$15/3956,"")</f>
        <v/>
      </c>
      <c r="AE15" s="94" t="str">
        <f>IFERROR(
IF(P15&lt;=5,
(Assumptions!$W$8*(W15/P15)^2+(Assumptions!$X$8*(W15/P15))+Assumptions!$Y$8),
IF(P15&lt;=20,
(Assumptions!$W$9*(W15/P15)^2+(Assumptions!$X$9*(W15/P15))+Assumptions!$Y$9),
IF(P15&lt;=50,
(Assumptions!$W$10*(W15/P15)^2+(Assumptions!$X$10*(W15/P15))+Assumptions!$Y$10),
(Assumptions!$W$11*(W15/P15)^2+(Assumptions!$X$11+(W15/P15))+Assumptions!$Y$11)))),
"")</f>
        <v/>
      </c>
      <c r="AF15" s="99" t="str">
        <f t="shared" si="11"/>
        <v/>
      </c>
      <c r="AG15" s="95" t="str">
        <f>IFERROR(
IF(P15&lt;=5,
(Assumptions!$W$8*(AF15/P15)^2+(Assumptions!$X$8*(AF15/P15))+Assumptions!$Y$8),
IF(P15&lt;=20,
(Assumptions!$W$9*(AF15/P15)^2+(Assumptions!$X$9*(AF15/P15))+Assumptions!$Y$9),
IF(P15&lt;=50,
(Assumptions!$W$10*(AF15/P15)^2+(Assumptions!$X$10*(AF15/P15))+Assumptions!$Y$10),
(Assumptions!$W$11*(AF15/P15)^2+(Assumptions!$X$11+(AF15/P15))+Assumptions!$Y$11)))),
"")</f>
        <v/>
      </c>
      <c r="AH15" s="95" t="str">
        <f t="shared" si="12"/>
        <v/>
      </c>
      <c r="AI15" s="95" t="str">
        <f>IFERROR(
IF(P15&lt;=5,
(Assumptions!$W$8*(AH15/P15)^2+(Assumptions!$X$8*(AH15/P15))+Assumptions!$Y$8),
IF(P15&lt;=20,
(Assumptions!$W$9*(AH15/P15)^2+(Assumptions!$X$9*(AH15/P15))+Assumptions!$Y$9),
IF(P15&lt;=50,
(Assumptions!$W$10*(AH15/P15)^2+(Assumptions!$X$10*(AH15/P15))+Assumptions!$Y$10),
(Assumptions!$W$11*(AH15/P15)^2+(Assumptions!$X$11+(AH15/P15))+Assumptions!$Y$11)))),"")</f>
        <v/>
      </c>
      <c r="AJ15" s="95" t="str">
        <f t="shared" si="13"/>
        <v/>
      </c>
      <c r="AK15" s="96" t="str">
        <f>IFERROR(
IF(P15&lt;=5,
(Assumptions!$W$8*(AJ15/P15)^2+(Assumptions!$X$8*(AJ15/P15))+Assumptions!$Y$8),
IF(P15&lt;=20,
(Assumptions!$W$9*(AJ15/P15)^2+(Assumptions!$X$9*(AJ15/P15))+Assumptions!$Y$9),
IF(P15&lt;=50,
(Assumptions!$W$10*(AJ15/P15)^2+(Assumptions!$X$10*(AJ15/P15))+Assumptions!$Y$10),
(Assumptions!$W$11*(AJ15/P15)^2+(Assumptions!$X$11+(AJ15/P15))+Assumptions!$Y$11)))),
"")</f>
        <v/>
      </c>
      <c r="AL15" s="99" t="str">
        <f>IFERROR(
IF(C15="VTS",
IF(P15&gt;=AVERAGE(
INDEX(Assumptions!$I$38:$I$57,MATCH(P15,Assumptions!$I$38:$I$57,-1)),
INDEX(Assumptions!$I$38:$I$57,MATCH(P15,Assumptions!$I$38:$I$57,-1)+1)),
INDEX(Assumptions!$I$38:$I$57,MATCH(P15,Assumptions!$I$38:$I$57,-1)),
INDEX(Assumptions!$I$38:$I$57,MATCH(P15,Assumptions!$I$38:$I$57,-1)+1)),
IF(P15&gt;=AVERAGE(
INDEX(Assumptions!$I$13:$I$32,MATCH(P15,Assumptions!$I$13:$I$32,-1)),
INDEX(Assumptions!$I$13:$I$32,MATCH(P15,Assumptions!$I$13:$I$32,-1)+1)),
INDEX(Assumptions!$I$13:$I$32,MATCH(P15,Assumptions!$I$13:$I$32,-1)),
INDEX(Assumptions!$I$13:$I$32,MATCH(P15,Assumptions!$I$13:$I$32,-1)+1))),
"")</f>
        <v/>
      </c>
      <c r="AM15" s="95" t="str">
        <f>IFERROR(
IF(C15="VTS",
VLOOKUP(AL15,Assumptions!$I$38:$K$57,MATCH(R15,Assumptions!$I$37:$K$37,0),FALSE),
VLOOKUP(AL15,Assumptions!$I$13:$K$32,MATCH(R15,Assumptions!$I$12:$K$12,0),FALSE)),
"")</f>
        <v/>
      </c>
      <c r="AN15" s="95" t="str">
        <f t="shared" si="14"/>
        <v/>
      </c>
      <c r="AO15" s="95" t="str">
        <f>IFERROR(AN15*
(Assumptions!$S$7*(X15/(AR15*Assumptions!$AB$9/100)/P15)^3+
Assumptions!$S$8*(X15/(AR15*Assumptions!$AB$9/100)/P15)^2+
Assumptions!$S$9*(X15/(AR15*Assumptions!$AB$9/100)/P15)+
Assumptions!$S$10),"")</f>
        <v/>
      </c>
      <c r="AP15" s="95" t="str">
        <f>IFERROR(AN15*
(Assumptions!$S$7*(AA15/(AR15*Assumptions!$AB$8/100)/P15)^3+
Assumptions!$S$8*(AA15/(AR15*Assumptions!$AB$8/100)/P15)^2+
Assumptions!$S$9*(AA15/(AR15*Assumptions!$AB$8/100)/P15)+
Assumptions!$S$10),"")</f>
        <v/>
      </c>
      <c r="AQ15" s="95" t="str">
        <f>IFERROR(AN15*
(Assumptions!$S$7*(AD15/(AR15*Assumptions!$AB$10/100)/P15)^3+
Assumptions!$S$8*(AD15/(AR15*Assumptions!$AB$10/100)/P15)^2+
Assumptions!$S$9*(AD15/(AR15*Assumptions!$AB$10/100)/P15)+
Assumptions!$S$10),"")</f>
        <v/>
      </c>
      <c r="AR15" s="95" t="str">
        <f>IFERROR(
Assumptions!$AD$8*LN(U15)^2+
Assumptions!$AE$8*LN(T15)*LN(U15)+
Assumptions!$AF$8*LN(T15)^2+
Assumptions!$AG$8*LN(U15)+
Assumptions!$AH$8*LN(T15)-
(IF(S15=1800,
VLOOKUP(C15,Assumptions!$AA$13:$AC$17,3),
IF(S15=3600,
VLOOKUP(C15,Assumptions!$AA$18:$AC$22,3),
""))+Assumptions!$AI$8),
"")</f>
        <v/>
      </c>
      <c r="AS15" s="96" t="str">
        <f>IFERROR(
Assumptions!$D$11*(X15/(Assumptions!$AB$9*AR15/100)+AO15)+
Assumptions!$D$10*(AA15/(Assumptions!$AB$8*AR15/100)+AP15)+
Assumptions!$D$12*(AD15/(Assumptions!$AB$10*AR15/100)+AQ15),
"")</f>
        <v/>
      </c>
      <c r="AT15" s="76" t="str">
        <f>IFERROR(
(W15+AE15)*Assumptions!$F$11+
(AF15+AG15)*Assumptions!$F$8+
(AH15+AI15)*Assumptions!$F$9+
(AJ15+AK15)*Assumptions!$F$10,
"")</f>
        <v/>
      </c>
      <c r="AU15" s="77" t="str">
        <f t="shared" si="15"/>
        <v/>
      </c>
      <c r="AV15" s="68" t="str">
        <f t="shared" si="1"/>
        <v/>
      </c>
    </row>
    <row r="16" spans="1:49" x14ac:dyDescent="0.25">
      <c r="A16" s="264"/>
      <c r="B16" s="265"/>
      <c r="C16" s="265"/>
      <c r="D16" s="265"/>
      <c r="E16" s="266"/>
      <c r="F16" s="270"/>
      <c r="G16" s="271"/>
      <c r="H16" s="271"/>
      <c r="I16" s="272"/>
      <c r="J16" s="270"/>
      <c r="K16" s="271"/>
      <c r="L16" s="272"/>
      <c r="M16" s="270"/>
      <c r="N16" s="271"/>
      <c r="O16" s="272"/>
      <c r="P16" s="290"/>
      <c r="Q16" s="314"/>
      <c r="R16" s="51" t="str">
        <f t="shared" si="0"/>
        <v/>
      </c>
      <c r="S16" s="84" t="str">
        <f t="shared" si="2"/>
        <v/>
      </c>
      <c r="T16" s="93" t="str">
        <f t="shared" si="3"/>
        <v/>
      </c>
      <c r="U16" s="100" t="str">
        <f t="shared" si="4"/>
        <v/>
      </c>
      <c r="V16" s="95" t="str">
        <f t="shared" si="5"/>
        <v/>
      </c>
      <c r="W16" s="95" t="str">
        <f t="shared" si="6"/>
        <v/>
      </c>
      <c r="X16" s="96" t="str">
        <f>IFERROR(U16*V16*Assumptions!$B$15/3956,"")</f>
        <v/>
      </c>
      <c r="Y16" s="102" t="str">
        <f t="shared" si="7"/>
        <v/>
      </c>
      <c r="Z16" s="95" t="str">
        <f t="shared" si="8"/>
        <v/>
      </c>
      <c r="AA16" s="96" t="str">
        <f>IFERROR(Y16*Z16*Assumptions!$B$15/3956,"")</f>
        <v/>
      </c>
      <c r="AB16" s="100" t="str">
        <f t="shared" si="9"/>
        <v/>
      </c>
      <c r="AC16" s="95" t="str">
        <f t="shared" si="10"/>
        <v/>
      </c>
      <c r="AD16" s="96" t="str">
        <f>IFERROR(AB16*AC16*Assumptions!$B$15/3956,"")</f>
        <v/>
      </c>
      <c r="AE16" s="94" t="str">
        <f>IFERROR(
IF(P16&lt;=5,
(Assumptions!$W$8*(W16/P16)^2+(Assumptions!$X$8*(W16/P16))+Assumptions!$Y$8),
IF(P16&lt;=20,
(Assumptions!$W$9*(W16/P16)^2+(Assumptions!$X$9*(W16/P16))+Assumptions!$Y$9),
IF(P16&lt;=50,
(Assumptions!$W$10*(W16/P16)^2+(Assumptions!$X$10*(W16/P16))+Assumptions!$Y$10),
(Assumptions!$W$11*(W16/P16)^2+(Assumptions!$X$11+(W16/P16))+Assumptions!$Y$11)))),
"")</f>
        <v/>
      </c>
      <c r="AF16" s="99" t="str">
        <f t="shared" si="11"/>
        <v/>
      </c>
      <c r="AG16" s="95" t="str">
        <f>IFERROR(
IF(P16&lt;=5,
(Assumptions!$W$8*(AF16/P16)^2+(Assumptions!$X$8*(AF16/P16))+Assumptions!$Y$8),
IF(P16&lt;=20,
(Assumptions!$W$9*(AF16/P16)^2+(Assumptions!$X$9*(AF16/P16))+Assumptions!$Y$9),
IF(P16&lt;=50,
(Assumptions!$W$10*(AF16/P16)^2+(Assumptions!$X$10*(AF16/P16))+Assumptions!$Y$10),
(Assumptions!$W$11*(AF16/P16)^2+(Assumptions!$X$11+(AF16/P16))+Assumptions!$Y$11)))),
"")</f>
        <v/>
      </c>
      <c r="AH16" s="95" t="str">
        <f t="shared" si="12"/>
        <v/>
      </c>
      <c r="AI16" s="95" t="str">
        <f>IFERROR(
IF(P16&lt;=5,
(Assumptions!$W$8*(AH16/P16)^2+(Assumptions!$X$8*(AH16/P16))+Assumptions!$Y$8),
IF(P16&lt;=20,
(Assumptions!$W$9*(AH16/P16)^2+(Assumptions!$X$9*(AH16/P16))+Assumptions!$Y$9),
IF(P16&lt;=50,
(Assumptions!$W$10*(AH16/P16)^2+(Assumptions!$X$10*(AH16/P16))+Assumptions!$Y$10),
(Assumptions!$W$11*(AH16/P16)^2+(Assumptions!$X$11+(AH16/P16))+Assumptions!$Y$11)))),"")</f>
        <v/>
      </c>
      <c r="AJ16" s="95" t="str">
        <f t="shared" si="13"/>
        <v/>
      </c>
      <c r="AK16" s="96" t="str">
        <f>IFERROR(
IF(P16&lt;=5,
(Assumptions!$W$8*(AJ16/P16)^2+(Assumptions!$X$8*(AJ16/P16))+Assumptions!$Y$8),
IF(P16&lt;=20,
(Assumptions!$W$9*(AJ16/P16)^2+(Assumptions!$X$9*(AJ16/P16))+Assumptions!$Y$9),
IF(P16&lt;=50,
(Assumptions!$W$10*(AJ16/P16)^2+(Assumptions!$X$10*(AJ16/P16))+Assumptions!$Y$10),
(Assumptions!$W$11*(AJ16/P16)^2+(Assumptions!$X$11+(AJ16/P16))+Assumptions!$Y$11)))),
"")</f>
        <v/>
      </c>
      <c r="AL16" s="99" t="str">
        <f>IFERROR(
IF(C16="VTS",
IF(P16&gt;=AVERAGE(
INDEX(Assumptions!$I$38:$I$57,MATCH(P16,Assumptions!$I$38:$I$57,-1)),
INDEX(Assumptions!$I$38:$I$57,MATCH(P16,Assumptions!$I$38:$I$57,-1)+1)),
INDEX(Assumptions!$I$38:$I$57,MATCH(P16,Assumptions!$I$38:$I$57,-1)),
INDEX(Assumptions!$I$38:$I$57,MATCH(P16,Assumptions!$I$38:$I$57,-1)+1)),
IF(P16&gt;=AVERAGE(
INDEX(Assumptions!$I$13:$I$32,MATCH(P16,Assumptions!$I$13:$I$32,-1)),
INDEX(Assumptions!$I$13:$I$32,MATCH(P16,Assumptions!$I$13:$I$32,-1)+1)),
INDEX(Assumptions!$I$13:$I$32,MATCH(P16,Assumptions!$I$13:$I$32,-1)),
INDEX(Assumptions!$I$13:$I$32,MATCH(P16,Assumptions!$I$13:$I$32,-1)+1))),
"")</f>
        <v/>
      </c>
      <c r="AM16" s="95" t="str">
        <f>IFERROR(
IF(C16="VTS",
VLOOKUP(AL16,Assumptions!$I$38:$K$57,MATCH(R16,Assumptions!$I$37:$K$37,0),FALSE),
VLOOKUP(AL16,Assumptions!$I$13:$K$32,MATCH(R16,Assumptions!$I$12:$K$12,0),FALSE)),
"")</f>
        <v/>
      </c>
      <c r="AN16" s="95" t="str">
        <f t="shared" si="14"/>
        <v/>
      </c>
      <c r="AO16" s="95" t="str">
        <f>IFERROR(AN16*
(Assumptions!$S$7*(X16/(AR16*Assumptions!$AB$9/100)/P16)^3+
Assumptions!$S$8*(X16/(AR16*Assumptions!$AB$9/100)/P16)^2+
Assumptions!$S$9*(X16/(AR16*Assumptions!$AB$9/100)/P16)+
Assumptions!$S$10),"")</f>
        <v/>
      </c>
      <c r="AP16" s="95" t="str">
        <f>IFERROR(AN16*
(Assumptions!$S$7*(AA16/(AR16*Assumptions!$AB$8/100)/P16)^3+
Assumptions!$S$8*(AA16/(AR16*Assumptions!$AB$8/100)/P16)^2+
Assumptions!$S$9*(AA16/(AR16*Assumptions!$AB$8/100)/P16)+
Assumptions!$S$10),"")</f>
        <v/>
      </c>
      <c r="AQ16" s="95" t="str">
        <f>IFERROR(AN16*
(Assumptions!$S$7*(AD16/(AR16*Assumptions!$AB$10/100)/P16)^3+
Assumptions!$S$8*(AD16/(AR16*Assumptions!$AB$10/100)/P16)^2+
Assumptions!$S$9*(AD16/(AR16*Assumptions!$AB$10/100)/P16)+
Assumptions!$S$10),"")</f>
        <v/>
      </c>
      <c r="AR16" s="95" t="str">
        <f>IFERROR(
Assumptions!$AD$8*LN(U16)^2+
Assumptions!$AE$8*LN(T16)*LN(U16)+
Assumptions!$AF$8*LN(T16)^2+
Assumptions!$AG$8*LN(U16)+
Assumptions!$AH$8*LN(T16)-
(IF(S16=1800,
VLOOKUP(C16,Assumptions!$AA$13:$AC$17,3),
IF(S16=3600,
VLOOKUP(C16,Assumptions!$AA$18:$AC$22,3),
""))+Assumptions!$AI$8),
"")</f>
        <v/>
      </c>
      <c r="AS16" s="96" t="str">
        <f>IFERROR(
Assumptions!$D$11*(X16/(Assumptions!$AB$9*AR16/100)+AO16)+
Assumptions!$D$10*(AA16/(Assumptions!$AB$8*AR16/100)+AP16)+
Assumptions!$D$12*(AD16/(Assumptions!$AB$10*AR16/100)+AQ16),
"")</f>
        <v/>
      </c>
      <c r="AT16" s="76" t="str">
        <f>IFERROR(
(W16+AE16)*Assumptions!$F$11+
(AF16+AG16)*Assumptions!$F$8+
(AH16+AI16)*Assumptions!$F$9+
(AJ16+AK16)*Assumptions!$F$10,
"")</f>
        <v/>
      </c>
      <c r="AU16" s="77" t="str">
        <f t="shared" si="15"/>
        <v/>
      </c>
      <c r="AV16" s="68" t="str">
        <f t="shared" si="1"/>
        <v/>
      </c>
    </row>
    <row r="17" spans="1:48" x14ac:dyDescent="0.25">
      <c r="A17" s="264"/>
      <c r="B17" s="265"/>
      <c r="C17" s="265"/>
      <c r="D17" s="265"/>
      <c r="E17" s="266"/>
      <c r="F17" s="270"/>
      <c r="G17" s="271"/>
      <c r="H17" s="271"/>
      <c r="I17" s="272"/>
      <c r="J17" s="270"/>
      <c r="K17" s="271"/>
      <c r="L17" s="272"/>
      <c r="M17" s="270"/>
      <c r="N17" s="271"/>
      <c r="O17" s="272"/>
      <c r="P17" s="290"/>
      <c r="Q17" s="314"/>
      <c r="R17" s="51" t="str">
        <f t="shared" si="0"/>
        <v/>
      </c>
      <c r="S17" s="84" t="str">
        <f t="shared" si="2"/>
        <v/>
      </c>
      <c r="T17" s="93" t="str">
        <f t="shared" si="3"/>
        <v/>
      </c>
      <c r="U17" s="100" t="str">
        <f t="shared" si="4"/>
        <v/>
      </c>
      <c r="V17" s="95" t="str">
        <f t="shared" si="5"/>
        <v/>
      </c>
      <c r="W17" s="95" t="str">
        <f t="shared" si="6"/>
        <v/>
      </c>
      <c r="X17" s="96" t="str">
        <f>IFERROR(U17*V17*Assumptions!$B$15/3956,"")</f>
        <v/>
      </c>
      <c r="Y17" s="102" t="str">
        <f t="shared" si="7"/>
        <v/>
      </c>
      <c r="Z17" s="95" t="str">
        <f t="shared" si="8"/>
        <v/>
      </c>
      <c r="AA17" s="96" t="str">
        <f>IFERROR(Y17*Z17*Assumptions!$B$15/3956,"")</f>
        <v/>
      </c>
      <c r="AB17" s="100" t="str">
        <f t="shared" si="9"/>
        <v/>
      </c>
      <c r="AC17" s="95" t="str">
        <f t="shared" si="10"/>
        <v/>
      </c>
      <c r="AD17" s="96" t="str">
        <f>IFERROR(AB17*AC17*Assumptions!$B$15/3956,"")</f>
        <v/>
      </c>
      <c r="AE17" s="94" t="str">
        <f>IFERROR(
IF(P17&lt;=5,
(Assumptions!$W$8*(W17/P17)^2+(Assumptions!$X$8*(W17/P17))+Assumptions!$Y$8),
IF(P17&lt;=20,
(Assumptions!$W$9*(W17/P17)^2+(Assumptions!$X$9*(W17/P17))+Assumptions!$Y$9),
IF(P17&lt;=50,
(Assumptions!$W$10*(W17/P17)^2+(Assumptions!$X$10*(W17/P17))+Assumptions!$Y$10),
(Assumptions!$W$11*(W17/P17)^2+(Assumptions!$X$11+(W17/P17))+Assumptions!$Y$11)))),
"")</f>
        <v/>
      </c>
      <c r="AF17" s="99" t="str">
        <f t="shared" si="11"/>
        <v/>
      </c>
      <c r="AG17" s="95" t="str">
        <f>IFERROR(
IF(P17&lt;=5,
(Assumptions!$W$8*(AF17/P17)^2+(Assumptions!$X$8*(AF17/P17))+Assumptions!$Y$8),
IF(P17&lt;=20,
(Assumptions!$W$9*(AF17/P17)^2+(Assumptions!$X$9*(AF17/P17))+Assumptions!$Y$9),
IF(P17&lt;=50,
(Assumptions!$W$10*(AF17/P17)^2+(Assumptions!$X$10*(AF17/P17))+Assumptions!$Y$10),
(Assumptions!$W$11*(AF17/P17)^2+(Assumptions!$X$11+(AF17/P17))+Assumptions!$Y$11)))),
"")</f>
        <v/>
      </c>
      <c r="AH17" s="95" t="str">
        <f t="shared" si="12"/>
        <v/>
      </c>
      <c r="AI17" s="95" t="str">
        <f>IFERROR(
IF(P17&lt;=5,
(Assumptions!$W$8*(AH17/P17)^2+(Assumptions!$X$8*(AH17/P17))+Assumptions!$Y$8),
IF(P17&lt;=20,
(Assumptions!$W$9*(AH17/P17)^2+(Assumptions!$X$9*(AH17/P17))+Assumptions!$Y$9),
IF(P17&lt;=50,
(Assumptions!$W$10*(AH17/P17)^2+(Assumptions!$X$10*(AH17/P17))+Assumptions!$Y$10),
(Assumptions!$W$11*(AH17/P17)^2+(Assumptions!$X$11+(AH17/P17))+Assumptions!$Y$11)))),"")</f>
        <v/>
      </c>
      <c r="AJ17" s="95" t="str">
        <f t="shared" si="13"/>
        <v/>
      </c>
      <c r="AK17" s="96" t="str">
        <f>IFERROR(
IF(P17&lt;=5,
(Assumptions!$W$8*(AJ17/P17)^2+(Assumptions!$X$8*(AJ17/P17))+Assumptions!$Y$8),
IF(P17&lt;=20,
(Assumptions!$W$9*(AJ17/P17)^2+(Assumptions!$X$9*(AJ17/P17))+Assumptions!$Y$9),
IF(P17&lt;=50,
(Assumptions!$W$10*(AJ17/P17)^2+(Assumptions!$X$10*(AJ17/P17))+Assumptions!$Y$10),
(Assumptions!$W$11*(AJ17/P17)^2+(Assumptions!$X$11+(AJ17/P17))+Assumptions!$Y$11)))),
"")</f>
        <v/>
      </c>
      <c r="AL17" s="99" t="str">
        <f>IFERROR(
IF(C17="VTS",
IF(P17&gt;=AVERAGE(
INDEX(Assumptions!$I$38:$I$57,MATCH(P17,Assumptions!$I$38:$I$57,-1)),
INDEX(Assumptions!$I$38:$I$57,MATCH(P17,Assumptions!$I$38:$I$57,-1)+1)),
INDEX(Assumptions!$I$38:$I$57,MATCH(P17,Assumptions!$I$38:$I$57,-1)),
INDEX(Assumptions!$I$38:$I$57,MATCH(P17,Assumptions!$I$38:$I$57,-1)+1)),
IF(P17&gt;=AVERAGE(
INDEX(Assumptions!$I$13:$I$32,MATCH(P17,Assumptions!$I$13:$I$32,-1)),
INDEX(Assumptions!$I$13:$I$32,MATCH(P17,Assumptions!$I$13:$I$32,-1)+1)),
INDEX(Assumptions!$I$13:$I$32,MATCH(P17,Assumptions!$I$13:$I$32,-1)),
INDEX(Assumptions!$I$13:$I$32,MATCH(P17,Assumptions!$I$13:$I$32,-1)+1))),
"")</f>
        <v/>
      </c>
      <c r="AM17" s="95" t="str">
        <f>IFERROR(
IF(C17="VTS",
VLOOKUP(AL17,Assumptions!$I$38:$K$57,MATCH(R17,Assumptions!$I$37:$K$37,0),FALSE),
VLOOKUP(AL17,Assumptions!$I$13:$K$32,MATCH(R17,Assumptions!$I$12:$K$12,0),FALSE)),
"")</f>
        <v/>
      </c>
      <c r="AN17" s="95" t="str">
        <f t="shared" si="14"/>
        <v/>
      </c>
      <c r="AO17" s="95" t="str">
        <f>IFERROR(AN17*
(Assumptions!$S$7*(X17/(AR17*Assumptions!$AB$9/100)/P17)^3+
Assumptions!$S$8*(X17/(AR17*Assumptions!$AB$9/100)/P17)^2+
Assumptions!$S$9*(X17/(AR17*Assumptions!$AB$9/100)/P17)+
Assumptions!$S$10),"")</f>
        <v/>
      </c>
      <c r="AP17" s="95" t="str">
        <f>IFERROR(AN17*
(Assumptions!$S$7*(AA17/(AR17*Assumptions!$AB$8/100)/P17)^3+
Assumptions!$S$8*(AA17/(AR17*Assumptions!$AB$8/100)/P17)^2+
Assumptions!$S$9*(AA17/(AR17*Assumptions!$AB$8/100)/P17)+
Assumptions!$S$10),"")</f>
        <v/>
      </c>
      <c r="AQ17" s="95" t="str">
        <f>IFERROR(AN17*
(Assumptions!$S$7*(AD17/(AR17*Assumptions!$AB$10/100)/P17)^3+
Assumptions!$S$8*(AD17/(AR17*Assumptions!$AB$10/100)/P17)^2+
Assumptions!$S$9*(AD17/(AR17*Assumptions!$AB$10/100)/P17)+
Assumptions!$S$10),"")</f>
        <v/>
      </c>
      <c r="AR17" s="95" t="str">
        <f>IFERROR(
Assumptions!$AD$8*LN(U17)^2+
Assumptions!$AE$8*LN(T17)*LN(U17)+
Assumptions!$AF$8*LN(T17)^2+
Assumptions!$AG$8*LN(U17)+
Assumptions!$AH$8*LN(T17)-
(IF(S17=1800,
VLOOKUP(C17,Assumptions!$AA$13:$AC$17,3),
IF(S17=3600,
VLOOKUP(C17,Assumptions!$AA$18:$AC$22,3),
""))+Assumptions!$AI$8),
"")</f>
        <v/>
      </c>
      <c r="AS17" s="96" t="str">
        <f>IFERROR(
Assumptions!$D$11*(X17/(Assumptions!$AB$9*AR17/100)+AO17)+
Assumptions!$D$10*(AA17/(Assumptions!$AB$8*AR17/100)+AP17)+
Assumptions!$D$12*(AD17/(Assumptions!$AB$10*AR17/100)+AQ17),
"")</f>
        <v/>
      </c>
      <c r="AT17" s="76" t="str">
        <f>IFERROR(
(W17+AE17)*Assumptions!$F$11+
(AF17+AG17)*Assumptions!$F$8+
(AH17+AI17)*Assumptions!$F$9+
(AJ17+AK17)*Assumptions!$F$10,
"")</f>
        <v/>
      </c>
      <c r="AU17" s="77" t="str">
        <f t="shared" si="15"/>
        <v/>
      </c>
      <c r="AV17" s="68" t="str">
        <f t="shared" si="1"/>
        <v/>
      </c>
    </row>
    <row r="18" spans="1:48" x14ac:dyDescent="0.25">
      <c r="A18" s="264"/>
      <c r="B18" s="265"/>
      <c r="C18" s="265"/>
      <c r="D18" s="265"/>
      <c r="E18" s="266"/>
      <c r="F18" s="270"/>
      <c r="G18" s="271"/>
      <c r="H18" s="271"/>
      <c r="I18" s="272"/>
      <c r="J18" s="270"/>
      <c r="K18" s="271"/>
      <c r="L18" s="272"/>
      <c r="M18" s="270"/>
      <c r="N18" s="271"/>
      <c r="O18" s="272"/>
      <c r="P18" s="290"/>
      <c r="Q18" s="314"/>
      <c r="R18" s="51" t="str">
        <f t="shared" si="0"/>
        <v/>
      </c>
      <c r="S18" s="84" t="str">
        <f t="shared" si="2"/>
        <v/>
      </c>
      <c r="T18" s="93" t="str">
        <f t="shared" si="3"/>
        <v/>
      </c>
      <c r="U18" s="100" t="str">
        <f t="shared" si="4"/>
        <v/>
      </c>
      <c r="V18" s="95" t="str">
        <f t="shared" si="5"/>
        <v/>
      </c>
      <c r="W18" s="95" t="str">
        <f t="shared" si="6"/>
        <v/>
      </c>
      <c r="X18" s="96" t="str">
        <f>IFERROR(U18*V18*Assumptions!$B$15/3956,"")</f>
        <v/>
      </c>
      <c r="Y18" s="102" t="str">
        <f t="shared" si="7"/>
        <v/>
      </c>
      <c r="Z18" s="95" t="str">
        <f t="shared" si="8"/>
        <v/>
      </c>
      <c r="AA18" s="96" t="str">
        <f>IFERROR(Y18*Z18*Assumptions!$B$15/3956,"")</f>
        <v/>
      </c>
      <c r="AB18" s="100" t="str">
        <f t="shared" si="9"/>
        <v/>
      </c>
      <c r="AC18" s="95" t="str">
        <f t="shared" si="10"/>
        <v/>
      </c>
      <c r="AD18" s="96" t="str">
        <f>IFERROR(AB18*AC18*Assumptions!$B$15/3956,"")</f>
        <v/>
      </c>
      <c r="AE18" s="94" t="str">
        <f>IFERROR(
IF(P18&lt;=5,
(Assumptions!$W$8*(W18/P18)^2+(Assumptions!$X$8*(W18/P18))+Assumptions!$Y$8),
IF(P18&lt;=20,
(Assumptions!$W$9*(W18/P18)^2+(Assumptions!$X$9*(W18/P18))+Assumptions!$Y$9),
IF(P18&lt;=50,
(Assumptions!$W$10*(W18/P18)^2+(Assumptions!$X$10*(W18/P18))+Assumptions!$Y$10),
(Assumptions!$W$11*(W18/P18)^2+(Assumptions!$X$11+(W18/P18))+Assumptions!$Y$11)))),
"")</f>
        <v/>
      </c>
      <c r="AF18" s="99" t="str">
        <f t="shared" si="11"/>
        <v/>
      </c>
      <c r="AG18" s="95" t="str">
        <f>IFERROR(
IF(P18&lt;=5,
(Assumptions!$W$8*(AF18/P18)^2+(Assumptions!$X$8*(AF18/P18))+Assumptions!$Y$8),
IF(P18&lt;=20,
(Assumptions!$W$9*(AF18/P18)^2+(Assumptions!$X$9*(AF18/P18))+Assumptions!$Y$9),
IF(P18&lt;=50,
(Assumptions!$W$10*(AF18/P18)^2+(Assumptions!$X$10*(AF18/P18))+Assumptions!$Y$10),
(Assumptions!$W$11*(AF18/P18)^2+(Assumptions!$X$11+(AF18/P18))+Assumptions!$Y$11)))),
"")</f>
        <v/>
      </c>
      <c r="AH18" s="95" t="str">
        <f t="shared" si="12"/>
        <v/>
      </c>
      <c r="AI18" s="95" t="str">
        <f>IFERROR(
IF(P18&lt;=5,
(Assumptions!$W$8*(AH18/P18)^2+(Assumptions!$X$8*(AH18/P18))+Assumptions!$Y$8),
IF(P18&lt;=20,
(Assumptions!$W$9*(AH18/P18)^2+(Assumptions!$X$9*(AH18/P18))+Assumptions!$Y$9),
IF(P18&lt;=50,
(Assumptions!$W$10*(AH18/P18)^2+(Assumptions!$X$10*(AH18/P18))+Assumptions!$Y$10),
(Assumptions!$W$11*(AH18/P18)^2+(Assumptions!$X$11+(AH18/P18))+Assumptions!$Y$11)))),"")</f>
        <v/>
      </c>
      <c r="AJ18" s="95" t="str">
        <f t="shared" si="13"/>
        <v/>
      </c>
      <c r="AK18" s="96" t="str">
        <f>IFERROR(
IF(P18&lt;=5,
(Assumptions!$W$8*(AJ18/P18)^2+(Assumptions!$X$8*(AJ18/P18))+Assumptions!$Y$8),
IF(P18&lt;=20,
(Assumptions!$W$9*(AJ18/P18)^2+(Assumptions!$X$9*(AJ18/P18))+Assumptions!$Y$9),
IF(P18&lt;=50,
(Assumptions!$W$10*(AJ18/P18)^2+(Assumptions!$X$10*(AJ18/P18))+Assumptions!$Y$10),
(Assumptions!$W$11*(AJ18/P18)^2+(Assumptions!$X$11+(AJ18/P18))+Assumptions!$Y$11)))),
"")</f>
        <v/>
      </c>
      <c r="AL18" s="99" t="str">
        <f>IFERROR(
IF(C18="VTS",
IF(P18&gt;=AVERAGE(
INDEX(Assumptions!$I$38:$I$57,MATCH(P18,Assumptions!$I$38:$I$57,-1)),
INDEX(Assumptions!$I$38:$I$57,MATCH(P18,Assumptions!$I$38:$I$57,-1)+1)),
INDEX(Assumptions!$I$38:$I$57,MATCH(P18,Assumptions!$I$38:$I$57,-1)),
INDEX(Assumptions!$I$38:$I$57,MATCH(P18,Assumptions!$I$38:$I$57,-1)+1)),
IF(P18&gt;=AVERAGE(
INDEX(Assumptions!$I$13:$I$32,MATCH(P18,Assumptions!$I$13:$I$32,-1)),
INDEX(Assumptions!$I$13:$I$32,MATCH(P18,Assumptions!$I$13:$I$32,-1)+1)),
INDEX(Assumptions!$I$13:$I$32,MATCH(P18,Assumptions!$I$13:$I$32,-1)),
INDEX(Assumptions!$I$13:$I$32,MATCH(P18,Assumptions!$I$13:$I$32,-1)+1))),
"")</f>
        <v/>
      </c>
      <c r="AM18" s="95" t="str">
        <f>IFERROR(
IF(C18="VTS",
VLOOKUP(AL18,Assumptions!$I$38:$K$57,MATCH(R18,Assumptions!$I$37:$K$37,0),FALSE),
VLOOKUP(AL18,Assumptions!$I$13:$K$32,MATCH(R18,Assumptions!$I$12:$K$12,0),FALSE)),
"")</f>
        <v/>
      </c>
      <c r="AN18" s="95" t="str">
        <f t="shared" si="14"/>
        <v/>
      </c>
      <c r="AO18" s="95" t="str">
        <f>IFERROR(AN18*
(Assumptions!$S$7*(X18/(AR18*Assumptions!$AB$9/100)/P18)^3+
Assumptions!$S$8*(X18/(AR18*Assumptions!$AB$9/100)/P18)^2+
Assumptions!$S$9*(X18/(AR18*Assumptions!$AB$9/100)/P18)+
Assumptions!$S$10),"")</f>
        <v/>
      </c>
      <c r="AP18" s="95" t="str">
        <f>IFERROR(AN18*
(Assumptions!$S$7*(AA18/(AR18*Assumptions!$AB$8/100)/P18)^3+
Assumptions!$S$8*(AA18/(AR18*Assumptions!$AB$8/100)/P18)^2+
Assumptions!$S$9*(AA18/(AR18*Assumptions!$AB$8/100)/P18)+
Assumptions!$S$10),"")</f>
        <v/>
      </c>
      <c r="AQ18" s="95" t="str">
        <f>IFERROR(AN18*
(Assumptions!$S$7*(AD18/(AR18*Assumptions!$AB$10/100)/P18)^3+
Assumptions!$S$8*(AD18/(AR18*Assumptions!$AB$10/100)/P18)^2+
Assumptions!$S$9*(AD18/(AR18*Assumptions!$AB$10/100)/P18)+
Assumptions!$S$10),"")</f>
        <v/>
      </c>
      <c r="AR18" s="95" t="str">
        <f>IFERROR(
Assumptions!$AD$8*LN(U18)^2+
Assumptions!$AE$8*LN(T18)*LN(U18)+
Assumptions!$AF$8*LN(T18)^2+
Assumptions!$AG$8*LN(U18)+
Assumptions!$AH$8*LN(T18)-
(IF(S18=1800,
VLOOKUP(C18,Assumptions!$AA$13:$AC$17,3),
IF(S18=3600,
VLOOKUP(C18,Assumptions!$AA$18:$AC$22,3),
""))+Assumptions!$AI$8),
"")</f>
        <v/>
      </c>
      <c r="AS18" s="96" t="str">
        <f>IFERROR(
Assumptions!$D$11*(X18/(Assumptions!$AB$9*AR18/100)+AO18)+
Assumptions!$D$10*(AA18/(Assumptions!$AB$8*AR18/100)+AP18)+
Assumptions!$D$12*(AD18/(Assumptions!$AB$10*AR18/100)+AQ18),
"")</f>
        <v/>
      </c>
      <c r="AT18" s="76" t="str">
        <f>IFERROR(
(W18+AE18)*Assumptions!$F$11+
(AF18+AG18)*Assumptions!$F$8+
(AH18+AI18)*Assumptions!$F$9+
(AJ18+AK18)*Assumptions!$F$10,
"")</f>
        <v/>
      </c>
      <c r="AU18" s="77" t="str">
        <f t="shared" si="15"/>
        <v/>
      </c>
      <c r="AV18" s="68" t="str">
        <f t="shared" si="1"/>
        <v/>
      </c>
    </row>
    <row r="19" spans="1:48" x14ac:dyDescent="0.25">
      <c r="A19" s="264"/>
      <c r="B19" s="265"/>
      <c r="C19" s="265"/>
      <c r="D19" s="265"/>
      <c r="E19" s="266"/>
      <c r="F19" s="270"/>
      <c r="G19" s="271"/>
      <c r="H19" s="271"/>
      <c r="I19" s="272"/>
      <c r="J19" s="270"/>
      <c r="K19" s="271"/>
      <c r="L19" s="272"/>
      <c r="M19" s="270"/>
      <c r="N19" s="271"/>
      <c r="O19" s="272"/>
      <c r="P19" s="290"/>
      <c r="Q19" s="314"/>
      <c r="R19" s="51" t="str">
        <f t="shared" si="0"/>
        <v/>
      </c>
      <c r="S19" s="84" t="str">
        <f t="shared" si="2"/>
        <v/>
      </c>
      <c r="T19" s="93" t="str">
        <f t="shared" si="3"/>
        <v/>
      </c>
      <c r="U19" s="100" t="str">
        <f t="shared" si="4"/>
        <v/>
      </c>
      <c r="V19" s="95" t="str">
        <f t="shared" si="5"/>
        <v/>
      </c>
      <c r="W19" s="95" t="str">
        <f t="shared" si="6"/>
        <v/>
      </c>
      <c r="X19" s="96" t="str">
        <f>IFERROR(U19*V19*Assumptions!$B$15/3956,"")</f>
        <v/>
      </c>
      <c r="Y19" s="102" t="str">
        <f t="shared" si="7"/>
        <v/>
      </c>
      <c r="Z19" s="95" t="str">
        <f t="shared" si="8"/>
        <v/>
      </c>
      <c r="AA19" s="96" t="str">
        <f>IFERROR(Y19*Z19*Assumptions!$B$15/3956,"")</f>
        <v/>
      </c>
      <c r="AB19" s="100" t="str">
        <f t="shared" si="9"/>
        <v/>
      </c>
      <c r="AC19" s="95" t="str">
        <f t="shared" si="10"/>
        <v/>
      </c>
      <c r="AD19" s="96" t="str">
        <f>IFERROR(AB19*AC19*Assumptions!$B$15/3956,"")</f>
        <v/>
      </c>
      <c r="AE19" s="94" t="str">
        <f>IFERROR(
IF(P19&lt;=5,
(Assumptions!$W$8*(W19/P19)^2+(Assumptions!$X$8*(W19/P19))+Assumptions!$Y$8),
IF(P19&lt;=20,
(Assumptions!$W$9*(W19/P19)^2+(Assumptions!$X$9*(W19/P19))+Assumptions!$Y$9),
IF(P19&lt;=50,
(Assumptions!$W$10*(W19/P19)^2+(Assumptions!$X$10*(W19/P19))+Assumptions!$Y$10),
(Assumptions!$W$11*(W19/P19)^2+(Assumptions!$X$11+(W19/P19))+Assumptions!$Y$11)))),
"")</f>
        <v/>
      </c>
      <c r="AF19" s="99" t="str">
        <f t="shared" si="11"/>
        <v/>
      </c>
      <c r="AG19" s="95" t="str">
        <f>IFERROR(
IF(P19&lt;=5,
(Assumptions!$W$8*(AF19/P19)^2+(Assumptions!$X$8*(AF19/P19))+Assumptions!$Y$8),
IF(P19&lt;=20,
(Assumptions!$W$9*(AF19/P19)^2+(Assumptions!$X$9*(AF19/P19))+Assumptions!$Y$9),
IF(P19&lt;=50,
(Assumptions!$W$10*(AF19/P19)^2+(Assumptions!$X$10*(AF19/P19))+Assumptions!$Y$10),
(Assumptions!$W$11*(AF19/P19)^2+(Assumptions!$X$11+(AF19/P19))+Assumptions!$Y$11)))),
"")</f>
        <v/>
      </c>
      <c r="AH19" s="95" t="str">
        <f t="shared" si="12"/>
        <v/>
      </c>
      <c r="AI19" s="95" t="str">
        <f>IFERROR(
IF(P19&lt;=5,
(Assumptions!$W$8*(AH19/P19)^2+(Assumptions!$X$8*(AH19/P19))+Assumptions!$Y$8),
IF(P19&lt;=20,
(Assumptions!$W$9*(AH19/P19)^2+(Assumptions!$X$9*(AH19/P19))+Assumptions!$Y$9),
IF(P19&lt;=50,
(Assumptions!$W$10*(AH19/P19)^2+(Assumptions!$X$10*(AH19/P19))+Assumptions!$Y$10),
(Assumptions!$W$11*(AH19/P19)^2+(Assumptions!$X$11+(AH19/P19))+Assumptions!$Y$11)))),"")</f>
        <v/>
      </c>
      <c r="AJ19" s="95" t="str">
        <f t="shared" si="13"/>
        <v/>
      </c>
      <c r="AK19" s="96" t="str">
        <f>IFERROR(
IF(P19&lt;=5,
(Assumptions!$W$8*(AJ19/P19)^2+(Assumptions!$X$8*(AJ19/P19))+Assumptions!$Y$8),
IF(P19&lt;=20,
(Assumptions!$W$9*(AJ19/P19)^2+(Assumptions!$X$9*(AJ19/P19))+Assumptions!$Y$9),
IF(P19&lt;=50,
(Assumptions!$W$10*(AJ19/P19)^2+(Assumptions!$X$10*(AJ19/P19))+Assumptions!$Y$10),
(Assumptions!$W$11*(AJ19/P19)^2+(Assumptions!$X$11+(AJ19/P19))+Assumptions!$Y$11)))),
"")</f>
        <v/>
      </c>
      <c r="AL19" s="99" t="str">
        <f>IFERROR(
IF(C19="VTS",
IF(P19&gt;=AVERAGE(
INDEX(Assumptions!$I$38:$I$57,MATCH(P19,Assumptions!$I$38:$I$57,-1)),
INDEX(Assumptions!$I$38:$I$57,MATCH(P19,Assumptions!$I$38:$I$57,-1)+1)),
INDEX(Assumptions!$I$38:$I$57,MATCH(P19,Assumptions!$I$38:$I$57,-1)),
INDEX(Assumptions!$I$38:$I$57,MATCH(P19,Assumptions!$I$38:$I$57,-1)+1)),
IF(P19&gt;=AVERAGE(
INDEX(Assumptions!$I$13:$I$32,MATCH(P19,Assumptions!$I$13:$I$32,-1)),
INDEX(Assumptions!$I$13:$I$32,MATCH(P19,Assumptions!$I$13:$I$32,-1)+1)),
INDEX(Assumptions!$I$13:$I$32,MATCH(P19,Assumptions!$I$13:$I$32,-1)),
INDEX(Assumptions!$I$13:$I$32,MATCH(P19,Assumptions!$I$13:$I$32,-1)+1))),
"")</f>
        <v/>
      </c>
      <c r="AM19" s="95" t="str">
        <f>IFERROR(
IF(C19="VTS",
VLOOKUP(AL19,Assumptions!$I$38:$K$57,MATCH(R19,Assumptions!$I$37:$K$37,0),FALSE),
VLOOKUP(AL19,Assumptions!$I$13:$K$32,MATCH(R19,Assumptions!$I$12:$K$12,0),FALSE)),
"")</f>
        <v/>
      </c>
      <c r="AN19" s="95" t="str">
        <f t="shared" si="14"/>
        <v/>
      </c>
      <c r="AO19" s="95" t="str">
        <f>IFERROR(AN19*
(Assumptions!$S$7*(X19/(AR19*Assumptions!$AB$9/100)/P19)^3+
Assumptions!$S$8*(X19/(AR19*Assumptions!$AB$9/100)/P19)^2+
Assumptions!$S$9*(X19/(AR19*Assumptions!$AB$9/100)/P19)+
Assumptions!$S$10),"")</f>
        <v/>
      </c>
      <c r="AP19" s="95" t="str">
        <f>IFERROR(AN19*
(Assumptions!$S$7*(AA19/(AR19*Assumptions!$AB$8/100)/P19)^3+
Assumptions!$S$8*(AA19/(AR19*Assumptions!$AB$8/100)/P19)^2+
Assumptions!$S$9*(AA19/(AR19*Assumptions!$AB$8/100)/P19)+
Assumptions!$S$10),"")</f>
        <v/>
      </c>
      <c r="AQ19" s="95" t="str">
        <f>IFERROR(AN19*
(Assumptions!$S$7*(AD19/(AR19*Assumptions!$AB$10/100)/P19)^3+
Assumptions!$S$8*(AD19/(AR19*Assumptions!$AB$10/100)/P19)^2+
Assumptions!$S$9*(AD19/(AR19*Assumptions!$AB$10/100)/P19)+
Assumptions!$S$10),"")</f>
        <v/>
      </c>
      <c r="AR19" s="95" t="str">
        <f>IFERROR(
Assumptions!$AD$8*LN(U19)^2+
Assumptions!$AE$8*LN(T19)*LN(U19)+
Assumptions!$AF$8*LN(T19)^2+
Assumptions!$AG$8*LN(U19)+
Assumptions!$AH$8*LN(T19)-
(IF(S19=1800,
VLOOKUP(C19,Assumptions!$AA$13:$AC$17,3),
IF(S19=3600,
VLOOKUP(C19,Assumptions!$AA$18:$AC$22,3),
""))+Assumptions!$AI$8),
"")</f>
        <v/>
      </c>
      <c r="AS19" s="96" t="str">
        <f>IFERROR(
Assumptions!$D$11*(X19/(Assumptions!$AB$9*AR19/100)+AO19)+
Assumptions!$D$10*(AA19/(Assumptions!$AB$8*AR19/100)+AP19)+
Assumptions!$D$12*(AD19/(Assumptions!$AB$10*AR19/100)+AQ19),
"")</f>
        <v/>
      </c>
      <c r="AT19" s="76" t="str">
        <f>IFERROR(
(W19+AE19)*Assumptions!$F$11+
(AF19+AG19)*Assumptions!$F$8+
(AH19+AI19)*Assumptions!$F$9+
(AJ19+AK19)*Assumptions!$F$10,
"")</f>
        <v/>
      </c>
      <c r="AU19" s="77" t="str">
        <f t="shared" si="15"/>
        <v/>
      </c>
      <c r="AV19" s="68" t="str">
        <f t="shared" si="1"/>
        <v/>
      </c>
    </row>
    <row r="20" spans="1:48" x14ac:dyDescent="0.25">
      <c r="A20" s="264"/>
      <c r="B20" s="265"/>
      <c r="C20" s="265"/>
      <c r="D20" s="265"/>
      <c r="E20" s="266"/>
      <c r="F20" s="270"/>
      <c r="G20" s="271"/>
      <c r="H20" s="271"/>
      <c r="I20" s="272"/>
      <c r="J20" s="270"/>
      <c r="K20" s="271"/>
      <c r="L20" s="272"/>
      <c r="M20" s="270"/>
      <c r="N20" s="271"/>
      <c r="O20" s="272"/>
      <c r="P20" s="290"/>
      <c r="Q20" s="314"/>
      <c r="R20" s="51" t="str">
        <f t="shared" si="0"/>
        <v/>
      </c>
      <c r="S20" s="84" t="str">
        <f t="shared" si="2"/>
        <v/>
      </c>
      <c r="T20" s="93" t="str">
        <f t="shared" si="3"/>
        <v/>
      </c>
      <c r="U20" s="100" t="str">
        <f t="shared" si="4"/>
        <v/>
      </c>
      <c r="V20" s="95" t="str">
        <f t="shared" si="5"/>
        <v/>
      </c>
      <c r="W20" s="95" t="str">
        <f t="shared" si="6"/>
        <v/>
      </c>
      <c r="X20" s="96" t="str">
        <f>IFERROR(U20*V20*Assumptions!$B$15/3956,"")</f>
        <v/>
      </c>
      <c r="Y20" s="102" t="str">
        <f t="shared" si="7"/>
        <v/>
      </c>
      <c r="Z20" s="95" t="str">
        <f t="shared" si="8"/>
        <v/>
      </c>
      <c r="AA20" s="96" t="str">
        <f>IFERROR(Y20*Z20*Assumptions!$B$15/3956,"")</f>
        <v/>
      </c>
      <c r="AB20" s="100" t="str">
        <f t="shared" si="9"/>
        <v/>
      </c>
      <c r="AC20" s="95" t="str">
        <f t="shared" si="10"/>
        <v/>
      </c>
      <c r="AD20" s="96" t="str">
        <f>IFERROR(AB20*AC20*Assumptions!$B$15/3956,"")</f>
        <v/>
      </c>
      <c r="AE20" s="94" t="str">
        <f>IFERROR(
IF(P20&lt;=5,
(Assumptions!$W$8*(W20/P20)^2+(Assumptions!$X$8*(W20/P20))+Assumptions!$Y$8),
IF(P20&lt;=20,
(Assumptions!$W$9*(W20/P20)^2+(Assumptions!$X$9*(W20/P20))+Assumptions!$Y$9),
IF(P20&lt;=50,
(Assumptions!$W$10*(W20/P20)^2+(Assumptions!$X$10*(W20/P20))+Assumptions!$Y$10),
(Assumptions!$W$11*(W20/P20)^2+(Assumptions!$X$11+(W20/P20))+Assumptions!$Y$11)))),
"")</f>
        <v/>
      </c>
      <c r="AF20" s="99" t="str">
        <f t="shared" si="11"/>
        <v/>
      </c>
      <c r="AG20" s="95" t="str">
        <f>IFERROR(
IF(P20&lt;=5,
(Assumptions!$W$8*(AF20/P20)^2+(Assumptions!$X$8*(AF20/P20))+Assumptions!$Y$8),
IF(P20&lt;=20,
(Assumptions!$W$9*(AF20/P20)^2+(Assumptions!$X$9*(AF20/P20))+Assumptions!$Y$9),
IF(P20&lt;=50,
(Assumptions!$W$10*(AF20/P20)^2+(Assumptions!$X$10*(AF20/P20))+Assumptions!$Y$10),
(Assumptions!$W$11*(AF20/P20)^2+(Assumptions!$X$11+(AF20/P20))+Assumptions!$Y$11)))),
"")</f>
        <v/>
      </c>
      <c r="AH20" s="95" t="str">
        <f t="shared" si="12"/>
        <v/>
      </c>
      <c r="AI20" s="95" t="str">
        <f>IFERROR(
IF(P20&lt;=5,
(Assumptions!$W$8*(AH20/P20)^2+(Assumptions!$X$8*(AH20/P20))+Assumptions!$Y$8),
IF(P20&lt;=20,
(Assumptions!$W$9*(AH20/P20)^2+(Assumptions!$X$9*(AH20/P20))+Assumptions!$Y$9),
IF(P20&lt;=50,
(Assumptions!$W$10*(AH20/P20)^2+(Assumptions!$X$10*(AH20/P20))+Assumptions!$Y$10),
(Assumptions!$W$11*(AH20/P20)^2+(Assumptions!$X$11+(AH20/P20))+Assumptions!$Y$11)))),"")</f>
        <v/>
      </c>
      <c r="AJ20" s="95" t="str">
        <f t="shared" si="13"/>
        <v/>
      </c>
      <c r="AK20" s="96" t="str">
        <f>IFERROR(
IF(P20&lt;=5,
(Assumptions!$W$8*(AJ20/P20)^2+(Assumptions!$X$8*(AJ20/P20))+Assumptions!$Y$8),
IF(P20&lt;=20,
(Assumptions!$W$9*(AJ20/P20)^2+(Assumptions!$X$9*(AJ20/P20))+Assumptions!$Y$9),
IF(P20&lt;=50,
(Assumptions!$W$10*(AJ20/P20)^2+(Assumptions!$X$10*(AJ20/P20))+Assumptions!$Y$10),
(Assumptions!$W$11*(AJ20/P20)^2+(Assumptions!$X$11+(AJ20/P20))+Assumptions!$Y$11)))),
"")</f>
        <v/>
      </c>
      <c r="AL20" s="99" t="str">
        <f>IFERROR(
IF(C20="VTS",
IF(P20&gt;=AVERAGE(
INDEX(Assumptions!$I$38:$I$57,MATCH(P20,Assumptions!$I$38:$I$57,-1)),
INDEX(Assumptions!$I$38:$I$57,MATCH(P20,Assumptions!$I$38:$I$57,-1)+1)),
INDEX(Assumptions!$I$38:$I$57,MATCH(P20,Assumptions!$I$38:$I$57,-1)),
INDEX(Assumptions!$I$38:$I$57,MATCH(P20,Assumptions!$I$38:$I$57,-1)+1)),
IF(P20&gt;=AVERAGE(
INDEX(Assumptions!$I$13:$I$32,MATCH(P20,Assumptions!$I$13:$I$32,-1)),
INDEX(Assumptions!$I$13:$I$32,MATCH(P20,Assumptions!$I$13:$I$32,-1)+1)),
INDEX(Assumptions!$I$13:$I$32,MATCH(P20,Assumptions!$I$13:$I$32,-1)),
INDEX(Assumptions!$I$13:$I$32,MATCH(P20,Assumptions!$I$13:$I$32,-1)+1))),
"")</f>
        <v/>
      </c>
      <c r="AM20" s="95" t="str">
        <f>IFERROR(
IF(C20="VTS",
VLOOKUP(AL20,Assumptions!$I$38:$K$57,MATCH(R20,Assumptions!$I$37:$K$37,0),FALSE),
VLOOKUP(AL20,Assumptions!$I$13:$K$32,MATCH(R20,Assumptions!$I$12:$K$12,0),FALSE)),
"")</f>
        <v/>
      </c>
      <c r="AN20" s="95" t="str">
        <f t="shared" si="14"/>
        <v/>
      </c>
      <c r="AO20" s="95" t="str">
        <f>IFERROR(AN20*
(Assumptions!$S$7*(X20/(AR20*Assumptions!$AB$9/100)/P20)^3+
Assumptions!$S$8*(X20/(AR20*Assumptions!$AB$9/100)/P20)^2+
Assumptions!$S$9*(X20/(AR20*Assumptions!$AB$9/100)/P20)+
Assumptions!$S$10),"")</f>
        <v/>
      </c>
      <c r="AP20" s="95" t="str">
        <f>IFERROR(AN20*
(Assumptions!$S$7*(AA20/(AR20*Assumptions!$AB$8/100)/P20)^3+
Assumptions!$S$8*(AA20/(AR20*Assumptions!$AB$8/100)/P20)^2+
Assumptions!$S$9*(AA20/(AR20*Assumptions!$AB$8/100)/P20)+
Assumptions!$S$10),"")</f>
        <v/>
      </c>
      <c r="AQ20" s="95" t="str">
        <f>IFERROR(AN20*
(Assumptions!$S$7*(AD20/(AR20*Assumptions!$AB$10/100)/P20)^3+
Assumptions!$S$8*(AD20/(AR20*Assumptions!$AB$10/100)/P20)^2+
Assumptions!$S$9*(AD20/(AR20*Assumptions!$AB$10/100)/P20)+
Assumptions!$S$10),"")</f>
        <v/>
      </c>
      <c r="AR20" s="95" t="str">
        <f>IFERROR(
Assumptions!$AD$8*LN(U20)^2+
Assumptions!$AE$8*LN(T20)*LN(U20)+
Assumptions!$AF$8*LN(T20)^2+
Assumptions!$AG$8*LN(U20)+
Assumptions!$AH$8*LN(T20)-
(IF(S20=1800,
VLOOKUP(C20,Assumptions!$AA$13:$AC$17,3),
IF(S20=3600,
VLOOKUP(C20,Assumptions!$AA$18:$AC$22,3),
""))+Assumptions!$AI$8),
"")</f>
        <v/>
      </c>
      <c r="AS20" s="96" t="str">
        <f>IFERROR(
Assumptions!$D$11*(X20/(Assumptions!$AB$9*AR20/100)+AO20)+
Assumptions!$D$10*(AA20/(Assumptions!$AB$8*AR20/100)+AP20)+
Assumptions!$D$12*(AD20/(Assumptions!$AB$10*AR20/100)+AQ20),
"")</f>
        <v/>
      </c>
      <c r="AT20" s="76" t="str">
        <f>IFERROR(
(W20+AE20)*Assumptions!$F$11+
(AF20+AG20)*Assumptions!$F$8+
(AH20+AI20)*Assumptions!$F$9+
(AJ20+AK20)*Assumptions!$F$10,
"")</f>
        <v/>
      </c>
      <c r="AU20" s="77" t="str">
        <f t="shared" si="15"/>
        <v/>
      </c>
      <c r="AV20" s="68" t="str">
        <f t="shared" si="1"/>
        <v/>
      </c>
    </row>
    <row r="21" spans="1:48" x14ac:dyDescent="0.25">
      <c r="A21" s="264"/>
      <c r="B21" s="265"/>
      <c r="C21" s="265"/>
      <c r="D21" s="265"/>
      <c r="E21" s="266"/>
      <c r="F21" s="270"/>
      <c r="G21" s="271"/>
      <c r="H21" s="271"/>
      <c r="I21" s="272"/>
      <c r="J21" s="270"/>
      <c r="K21" s="271"/>
      <c r="L21" s="272"/>
      <c r="M21" s="270"/>
      <c r="N21" s="271"/>
      <c r="O21" s="272"/>
      <c r="P21" s="290"/>
      <c r="Q21" s="314"/>
      <c r="R21" s="51" t="str">
        <f t="shared" si="0"/>
        <v/>
      </c>
      <c r="S21" s="84" t="str">
        <f t="shared" si="2"/>
        <v/>
      </c>
      <c r="T21" s="93" t="str">
        <f t="shared" si="3"/>
        <v/>
      </c>
      <c r="U21" s="100" t="str">
        <f t="shared" si="4"/>
        <v/>
      </c>
      <c r="V21" s="95" t="str">
        <f t="shared" si="5"/>
        <v/>
      </c>
      <c r="W21" s="95" t="str">
        <f t="shared" si="6"/>
        <v/>
      </c>
      <c r="X21" s="96" t="str">
        <f>IFERROR(U21*V21*Assumptions!$B$15/3956,"")</f>
        <v/>
      </c>
      <c r="Y21" s="102" t="str">
        <f t="shared" si="7"/>
        <v/>
      </c>
      <c r="Z21" s="95" t="str">
        <f t="shared" si="8"/>
        <v/>
      </c>
      <c r="AA21" s="96" t="str">
        <f>IFERROR(Y21*Z21*Assumptions!$B$15/3956,"")</f>
        <v/>
      </c>
      <c r="AB21" s="100" t="str">
        <f t="shared" si="9"/>
        <v/>
      </c>
      <c r="AC21" s="95" t="str">
        <f t="shared" si="10"/>
        <v/>
      </c>
      <c r="AD21" s="96" t="str">
        <f>IFERROR(AB21*AC21*Assumptions!$B$15/3956,"")</f>
        <v/>
      </c>
      <c r="AE21" s="94" t="str">
        <f>IFERROR(
IF(P21&lt;=5,
(Assumptions!$W$8*(W21/P21)^2+(Assumptions!$X$8*(W21/P21))+Assumptions!$Y$8),
IF(P21&lt;=20,
(Assumptions!$W$9*(W21/P21)^2+(Assumptions!$X$9*(W21/P21))+Assumptions!$Y$9),
IF(P21&lt;=50,
(Assumptions!$W$10*(W21/P21)^2+(Assumptions!$X$10*(W21/P21))+Assumptions!$Y$10),
(Assumptions!$W$11*(W21/P21)^2+(Assumptions!$X$11+(W21/P21))+Assumptions!$Y$11)))),
"")</f>
        <v/>
      </c>
      <c r="AF21" s="99" t="str">
        <f t="shared" si="11"/>
        <v/>
      </c>
      <c r="AG21" s="95" t="str">
        <f>IFERROR(
IF(P21&lt;=5,
(Assumptions!$W$8*(AF21/P21)^2+(Assumptions!$X$8*(AF21/P21))+Assumptions!$Y$8),
IF(P21&lt;=20,
(Assumptions!$W$9*(AF21/P21)^2+(Assumptions!$X$9*(AF21/P21))+Assumptions!$Y$9),
IF(P21&lt;=50,
(Assumptions!$W$10*(AF21/P21)^2+(Assumptions!$X$10*(AF21/P21))+Assumptions!$Y$10),
(Assumptions!$W$11*(AF21/P21)^2+(Assumptions!$X$11+(AF21/P21))+Assumptions!$Y$11)))),
"")</f>
        <v/>
      </c>
      <c r="AH21" s="95" t="str">
        <f t="shared" si="12"/>
        <v/>
      </c>
      <c r="AI21" s="95" t="str">
        <f>IFERROR(
IF(P21&lt;=5,
(Assumptions!$W$8*(AH21/P21)^2+(Assumptions!$X$8*(AH21/P21))+Assumptions!$Y$8),
IF(P21&lt;=20,
(Assumptions!$W$9*(AH21/P21)^2+(Assumptions!$X$9*(AH21/P21))+Assumptions!$Y$9),
IF(P21&lt;=50,
(Assumptions!$W$10*(AH21/P21)^2+(Assumptions!$X$10*(AH21/P21))+Assumptions!$Y$10),
(Assumptions!$W$11*(AH21/P21)^2+(Assumptions!$X$11+(AH21/P21))+Assumptions!$Y$11)))),"")</f>
        <v/>
      </c>
      <c r="AJ21" s="95" t="str">
        <f t="shared" si="13"/>
        <v/>
      </c>
      <c r="AK21" s="96" t="str">
        <f>IFERROR(
IF(P21&lt;=5,
(Assumptions!$W$8*(AJ21/P21)^2+(Assumptions!$X$8*(AJ21/P21))+Assumptions!$Y$8),
IF(P21&lt;=20,
(Assumptions!$W$9*(AJ21/P21)^2+(Assumptions!$X$9*(AJ21/P21))+Assumptions!$Y$9),
IF(P21&lt;=50,
(Assumptions!$W$10*(AJ21/P21)^2+(Assumptions!$X$10*(AJ21/P21))+Assumptions!$Y$10),
(Assumptions!$W$11*(AJ21/P21)^2+(Assumptions!$X$11+(AJ21/P21))+Assumptions!$Y$11)))),
"")</f>
        <v/>
      </c>
      <c r="AL21" s="99" t="str">
        <f>IFERROR(
IF(C21="VTS",
IF(P21&gt;=AVERAGE(
INDEX(Assumptions!$I$38:$I$57,MATCH(P21,Assumptions!$I$38:$I$57,-1)),
INDEX(Assumptions!$I$38:$I$57,MATCH(P21,Assumptions!$I$38:$I$57,-1)+1)),
INDEX(Assumptions!$I$38:$I$57,MATCH(P21,Assumptions!$I$38:$I$57,-1)),
INDEX(Assumptions!$I$38:$I$57,MATCH(P21,Assumptions!$I$38:$I$57,-1)+1)),
IF(P21&gt;=AVERAGE(
INDEX(Assumptions!$I$13:$I$32,MATCH(P21,Assumptions!$I$13:$I$32,-1)),
INDEX(Assumptions!$I$13:$I$32,MATCH(P21,Assumptions!$I$13:$I$32,-1)+1)),
INDEX(Assumptions!$I$13:$I$32,MATCH(P21,Assumptions!$I$13:$I$32,-1)),
INDEX(Assumptions!$I$13:$I$32,MATCH(P21,Assumptions!$I$13:$I$32,-1)+1))),
"")</f>
        <v/>
      </c>
      <c r="AM21" s="95" t="str">
        <f>IFERROR(
IF(C21="VTS",
VLOOKUP(AL21,Assumptions!$I$38:$K$57,MATCH(R21,Assumptions!$I$37:$K$37,0),FALSE),
VLOOKUP(AL21,Assumptions!$I$13:$K$32,MATCH(R21,Assumptions!$I$12:$K$12,0),FALSE)),
"")</f>
        <v/>
      </c>
      <c r="AN21" s="95" t="str">
        <f t="shared" si="14"/>
        <v/>
      </c>
      <c r="AO21" s="95" t="str">
        <f>IFERROR(AN21*
(Assumptions!$S$7*(X21/(AR21*Assumptions!$AB$9/100)/P21)^3+
Assumptions!$S$8*(X21/(AR21*Assumptions!$AB$9/100)/P21)^2+
Assumptions!$S$9*(X21/(AR21*Assumptions!$AB$9/100)/P21)+
Assumptions!$S$10),"")</f>
        <v/>
      </c>
      <c r="AP21" s="95" t="str">
        <f>IFERROR(AN21*
(Assumptions!$S$7*(AA21/(AR21*Assumptions!$AB$8/100)/P21)^3+
Assumptions!$S$8*(AA21/(AR21*Assumptions!$AB$8/100)/P21)^2+
Assumptions!$S$9*(AA21/(AR21*Assumptions!$AB$8/100)/P21)+
Assumptions!$S$10),"")</f>
        <v/>
      </c>
      <c r="AQ21" s="95" t="str">
        <f>IFERROR(AN21*
(Assumptions!$S$7*(AD21/(AR21*Assumptions!$AB$10/100)/P21)^3+
Assumptions!$S$8*(AD21/(AR21*Assumptions!$AB$10/100)/P21)^2+
Assumptions!$S$9*(AD21/(AR21*Assumptions!$AB$10/100)/P21)+
Assumptions!$S$10),"")</f>
        <v/>
      </c>
      <c r="AR21" s="95" t="str">
        <f>IFERROR(
Assumptions!$AD$8*LN(U21)^2+
Assumptions!$AE$8*LN(T21)*LN(U21)+
Assumptions!$AF$8*LN(T21)^2+
Assumptions!$AG$8*LN(U21)+
Assumptions!$AH$8*LN(T21)-
(IF(S21=1800,
VLOOKUP(C21,Assumptions!$AA$13:$AC$17,3),
IF(S21=3600,
VLOOKUP(C21,Assumptions!$AA$18:$AC$22,3),
""))+Assumptions!$AI$8),
"")</f>
        <v/>
      </c>
      <c r="AS21" s="96" t="str">
        <f>IFERROR(
Assumptions!$D$11*(X21/(Assumptions!$AB$9*AR21/100)+AO21)+
Assumptions!$D$10*(AA21/(Assumptions!$AB$8*AR21/100)+AP21)+
Assumptions!$D$12*(AD21/(Assumptions!$AB$10*AR21/100)+AQ21),
"")</f>
        <v/>
      </c>
      <c r="AT21" s="76" t="str">
        <f>IFERROR(
(W21+AE21)*Assumptions!$F$11+
(AF21+AG21)*Assumptions!$F$8+
(AH21+AI21)*Assumptions!$F$9+
(AJ21+AK21)*Assumptions!$F$10,
"")</f>
        <v/>
      </c>
      <c r="AU21" s="77" t="str">
        <f t="shared" si="15"/>
        <v/>
      </c>
      <c r="AV21" s="68" t="str">
        <f t="shared" si="1"/>
        <v/>
      </c>
    </row>
    <row r="22" spans="1:48" x14ac:dyDescent="0.25">
      <c r="A22" s="264"/>
      <c r="B22" s="265"/>
      <c r="C22" s="265"/>
      <c r="D22" s="265"/>
      <c r="E22" s="266"/>
      <c r="F22" s="270"/>
      <c r="G22" s="271"/>
      <c r="H22" s="271"/>
      <c r="I22" s="272"/>
      <c r="J22" s="270"/>
      <c r="K22" s="271"/>
      <c r="L22" s="272"/>
      <c r="M22" s="270"/>
      <c r="N22" s="271"/>
      <c r="O22" s="272"/>
      <c r="P22" s="290"/>
      <c r="Q22" s="314"/>
      <c r="R22" s="51" t="str">
        <f t="shared" si="0"/>
        <v/>
      </c>
      <c r="S22" s="84" t="str">
        <f t="shared" si="2"/>
        <v/>
      </c>
      <c r="T22" s="93" t="str">
        <f t="shared" si="3"/>
        <v/>
      </c>
      <c r="U22" s="100" t="str">
        <f t="shared" si="4"/>
        <v/>
      </c>
      <c r="V22" s="95" t="str">
        <f t="shared" si="5"/>
        <v/>
      </c>
      <c r="W22" s="95" t="str">
        <f t="shared" si="6"/>
        <v/>
      </c>
      <c r="X22" s="96" t="str">
        <f>IFERROR(U22*V22*Assumptions!$B$15/3956,"")</f>
        <v/>
      </c>
      <c r="Y22" s="102" t="str">
        <f t="shared" si="7"/>
        <v/>
      </c>
      <c r="Z22" s="95" t="str">
        <f t="shared" si="8"/>
        <v/>
      </c>
      <c r="AA22" s="96" t="str">
        <f>IFERROR(Y22*Z22*Assumptions!$B$15/3956,"")</f>
        <v/>
      </c>
      <c r="AB22" s="100" t="str">
        <f t="shared" si="9"/>
        <v/>
      </c>
      <c r="AC22" s="95" t="str">
        <f t="shared" si="10"/>
        <v/>
      </c>
      <c r="AD22" s="96" t="str">
        <f>IFERROR(AB22*AC22*Assumptions!$B$15/3956,"")</f>
        <v/>
      </c>
      <c r="AE22" s="94" t="str">
        <f>IFERROR(
IF(P22&lt;=5,
(Assumptions!$W$8*(W22/P22)^2+(Assumptions!$X$8*(W22/P22))+Assumptions!$Y$8),
IF(P22&lt;=20,
(Assumptions!$W$9*(W22/P22)^2+(Assumptions!$X$9*(W22/P22))+Assumptions!$Y$9),
IF(P22&lt;=50,
(Assumptions!$W$10*(W22/P22)^2+(Assumptions!$X$10*(W22/P22))+Assumptions!$Y$10),
(Assumptions!$W$11*(W22/P22)^2+(Assumptions!$X$11+(W22/P22))+Assumptions!$Y$11)))),
"")</f>
        <v/>
      </c>
      <c r="AF22" s="99" t="str">
        <f t="shared" si="11"/>
        <v/>
      </c>
      <c r="AG22" s="95" t="str">
        <f>IFERROR(
IF(P22&lt;=5,
(Assumptions!$W$8*(AF22/P22)^2+(Assumptions!$X$8*(AF22/P22))+Assumptions!$Y$8),
IF(P22&lt;=20,
(Assumptions!$W$9*(AF22/P22)^2+(Assumptions!$X$9*(AF22/P22))+Assumptions!$Y$9),
IF(P22&lt;=50,
(Assumptions!$W$10*(AF22/P22)^2+(Assumptions!$X$10*(AF22/P22))+Assumptions!$Y$10),
(Assumptions!$W$11*(AF22/P22)^2+(Assumptions!$X$11+(AF22/P22))+Assumptions!$Y$11)))),
"")</f>
        <v/>
      </c>
      <c r="AH22" s="95" t="str">
        <f t="shared" si="12"/>
        <v/>
      </c>
      <c r="AI22" s="95" t="str">
        <f>IFERROR(
IF(P22&lt;=5,
(Assumptions!$W$8*(AH22/P22)^2+(Assumptions!$X$8*(AH22/P22))+Assumptions!$Y$8),
IF(P22&lt;=20,
(Assumptions!$W$9*(AH22/P22)^2+(Assumptions!$X$9*(AH22/P22))+Assumptions!$Y$9),
IF(P22&lt;=50,
(Assumptions!$W$10*(AH22/P22)^2+(Assumptions!$X$10*(AH22/P22))+Assumptions!$Y$10),
(Assumptions!$W$11*(AH22/P22)^2+(Assumptions!$X$11+(AH22/P22))+Assumptions!$Y$11)))),"")</f>
        <v/>
      </c>
      <c r="AJ22" s="95" t="str">
        <f t="shared" si="13"/>
        <v/>
      </c>
      <c r="AK22" s="96" t="str">
        <f>IFERROR(
IF(P22&lt;=5,
(Assumptions!$W$8*(AJ22/P22)^2+(Assumptions!$X$8*(AJ22/P22))+Assumptions!$Y$8),
IF(P22&lt;=20,
(Assumptions!$W$9*(AJ22/P22)^2+(Assumptions!$X$9*(AJ22/P22))+Assumptions!$Y$9),
IF(P22&lt;=50,
(Assumptions!$W$10*(AJ22/P22)^2+(Assumptions!$X$10*(AJ22/P22))+Assumptions!$Y$10),
(Assumptions!$W$11*(AJ22/P22)^2+(Assumptions!$X$11+(AJ22/P22))+Assumptions!$Y$11)))),
"")</f>
        <v/>
      </c>
      <c r="AL22" s="99" t="str">
        <f>IFERROR(
IF(C22="VTS",
IF(P22&gt;=AVERAGE(
INDEX(Assumptions!$I$38:$I$57,MATCH(P22,Assumptions!$I$38:$I$57,-1)),
INDEX(Assumptions!$I$38:$I$57,MATCH(P22,Assumptions!$I$38:$I$57,-1)+1)),
INDEX(Assumptions!$I$38:$I$57,MATCH(P22,Assumptions!$I$38:$I$57,-1)),
INDEX(Assumptions!$I$38:$I$57,MATCH(P22,Assumptions!$I$38:$I$57,-1)+1)),
IF(P22&gt;=AVERAGE(
INDEX(Assumptions!$I$13:$I$32,MATCH(P22,Assumptions!$I$13:$I$32,-1)),
INDEX(Assumptions!$I$13:$I$32,MATCH(P22,Assumptions!$I$13:$I$32,-1)+1)),
INDEX(Assumptions!$I$13:$I$32,MATCH(P22,Assumptions!$I$13:$I$32,-1)),
INDEX(Assumptions!$I$13:$I$32,MATCH(P22,Assumptions!$I$13:$I$32,-1)+1))),
"")</f>
        <v/>
      </c>
      <c r="AM22" s="95" t="str">
        <f>IFERROR(
IF(C22="VTS",
VLOOKUP(AL22,Assumptions!$I$38:$K$57,MATCH(R22,Assumptions!$I$37:$K$37,0),FALSE),
VLOOKUP(AL22,Assumptions!$I$13:$K$32,MATCH(R22,Assumptions!$I$12:$K$12,0),FALSE)),
"")</f>
        <v/>
      </c>
      <c r="AN22" s="95" t="str">
        <f t="shared" si="14"/>
        <v/>
      </c>
      <c r="AO22" s="95" t="str">
        <f>IFERROR(AN22*
(Assumptions!$S$7*(X22/(AR22*Assumptions!$AB$9/100)/P22)^3+
Assumptions!$S$8*(X22/(AR22*Assumptions!$AB$9/100)/P22)^2+
Assumptions!$S$9*(X22/(AR22*Assumptions!$AB$9/100)/P22)+
Assumptions!$S$10),"")</f>
        <v/>
      </c>
      <c r="AP22" s="95" t="str">
        <f>IFERROR(AN22*
(Assumptions!$S$7*(AA22/(AR22*Assumptions!$AB$8/100)/P22)^3+
Assumptions!$S$8*(AA22/(AR22*Assumptions!$AB$8/100)/P22)^2+
Assumptions!$S$9*(AA22/(AR22*Assumptions!$AB$8/100)/P22)+
Assumptions!$S$10),"")</f>
        <v/>
      </c>
      <c r="AQ22" s="95" t="str">
        <f>IFERROR(AN22*
(Assumptions!$S$7*(AD22/(AR22*Assumptions!$AB$10/100)/P22)^3+
Assumptions!$S$8*(AD22/(AR22*Assumptions!$AB$10/100)/P22)^2+
Assumptions!$S$9*(AD22/(AR22*Assumptions!$AB$10/100)/P22)+
Assumptions!$S$10),"")</f>
        <v/>
      </c>
      <c r="AR22" s="95" t="str">
        <f>IFERROR(
Assumptions!$AD$8*LN(U22)^2+
Assumptions!$AE$8*LN(T22)*LN(U22)+
Assumptions!$AF$8*LN(T22)^2+
Assumptions!$AG$8*LN(U22)+
Assumptions!$AH$8*LN(T22)-
(IF(S22=1800,
VLOOKUP(C22,Assumptions!$AA$13:$AC$17,3),
IF(S22=3600,
VLOOKUP(C22,Assumptions!$AA$18:$AC$22,3),
""))+Assumptions!$AI$8),
"")</f>
        <v/>
      </c>
      <c r="AS22" s="96" t="str">
        <f>IFERROR(
Assumptions!$D$11*(X22/(Assumptions!$AB$9*AR22/100)+AO22)+
Assumptions!$D$10*(AA22/(Assumptions!$AB$8*AR22/100)+AP22)+
Assumptions!$D$12*(AD22/(Assumptions!$AB$10*AR22/100)+AQ22),
"")</f>
        <v/>
      </c>
      <c r="AT22" s="76" t="str">
        <f>IFERROR(
(W22+AE22)*Assumptions!$F$11+
(AF22+AG22)*Assumptions!$F$8+
(AH22+AI22)*Assumptions!$F$9+
(AJ22+AK22)*Assumptions!$F$10,
"")</f>
        <v/>
      </c>
      <c r="AU22" s="77" t="str">
        <f t="shared" si="15"/>
        <v/>
      </c>
      <c r="AV22" s="68" t="str">
        <f t="shared" si="1"/>
        <v/>
      </c>
    </row>
    <row r="23" spans="1:48" x14ac:dyDescent="0.25">
      <c r="A23" s="264"/>
      <c r="B23" s="265"/>
      <c r="C23" s="265"/>
      <c r="D23" s="265"/>
      <c r="E23" s="266"/>
      <c r="F23" s="270"/>
      <c r="G23" s="271"/>
      <c r="H23" s="271"/>
      <c r="I23" s="272"/>
      <c r="J23" s="270"/>
      <c r="K23" s="271"/>
      <c r="L23" s="272"/>
      <c r="M23" s="270"/>
      <c r="N23" s="271"/>
      <c r="O23" s="272"/>
      <c r="P23" s="290"/>
      <c r="Q23" s="314"/>
      <c r="R23" s="51" t="str">
        <f t="shared" si="0"/>
        <v/>
      </c>
      <c r="S23" s="84" t="str">
        <f t="shared" si="2"/>
        <v/>
      </c>
      <c r="T23" s="93" t="str">
        <f t="shared" si="3"/>
        <v/>
      </c>
      <c r="U23" s="100" t="str">
        <f t="shared" si="4"/>
        <v/>
      </c>
      <c r="V23" s="95" t="str">
        <f t="shared" si="5"/>
        <v/>
      </c>
      <c r="W23" s="95" t="str">
        <f t="shared" si="6"/>
        <v/>
      </c>
      <c r="X23" s="96" t="str">
        <f>IFERROR(U23*V23*Assumptions!$B$15/3956,"")</f>
        <v/>
      </c>
      <c r="Y23" s="102" t="str">
        <f t="shared" si="7"/>
        <v/>
      </c>
      <c r="Z23" s="95" t="str">
        <f t="shared" si="8"/>
        <v/>
      </c>
      <c r="AA23" s="96" t="str">
        <f>IFERROR(Y23*Z23*Assumptions!$B$15/3956,"")</f>
        <v/>
      </c>
      <c r="AB23" s="100" t="str">
        <f t="shared" si="9"/>
        <v/>
      </c>
      <c r="AC23" s="95" t="str">
        <f t="shared" si="10"/>
        <v/>
      </c>
      <c r="AD23" s="96" t="str">
        <f>IFERROR(AB23*AC23*Assumptions!$B$15/3956,"")</f>
        <v/>
      </c>
      <c r="AE23" s="94" t="str">
        <f>IFERROR(
IF(P23&lt;=5,
(Assumptions!$W$8*(W23/P23)^2+(Assumptions!$X$8*(W23/P23))+Assumptions!$Y$8),
IF(P23&lt;=20,
(Assumptions!$W$9*(W23/P23)^2+(Assumptions!$X$9*(W23/P23))+Assumptions!$Y$9),
IF(P23&lt;=50,
(Assumptions!$W$10*(W23/P23)^2+(Assumptions!$X$10*(W23/P23))+Assumptions!$Y$10),
(Assumptions!$W$11*(W23/P23)^2+(Assumptions!$X$11+(W23/P23))+Assumptions!$Y$11)))),
"")</f>
        <v/>
      </c>
      <c r="AF23" s="99" t="str">
        <f t="shared" si="11"/>
        <v/>
      </c>
      <c r="AG23" s="95" t="str">
        <f>IFERROR(
IF(P23&lt;=5,
(Assumptions!$W$8*(AF23/P23)^2+(Assumptions!$X$8*(AF23/P23))+Assumptions!$Y$8),
IF(P23&lt;=20,
(Assumptions!$W$9*(AF23/P23)^2+(Assumptions!$X$9*(AF23/P23))+Assumptions!$Y$9),
IF(P23&lt;=50,
(Assumptions!$W$10*(AF23/P23)^2+(Assumptions!$X$10*(AF23/P23))+Assumptions!$Y$10),
(Assumptions!$W$11*(AF23/P23)^2+(Assumptions!$X$11+(AF23/P23))+Assumptions!$Y$11)))),
"")</f>
        <v/>
      </c>
      <c r="AH23" s="95" t="str">
        <f t="shared" si="12"/>
        <v/>
      </c>
      <c r="AI23" s="95" t="str">
        <f>IFERROR(
IF(P23&lt;=5,
(Assumptions!$W$8*(AH23/P23)^2+(Assumptions!$X$8*(AH23/P23))+Assumptions!$Y$8),
IF(P23&lt;=20,
(Assumptions!$W$9*(AH23/P23)^2+(Assumptions!$X$9*(AH23/P23))+Assumptions!$Y$9),
IF(P23&lt;=50,
(Assumptions!$W$10*(AH23/P23)^2+(Assumptions!$X$10*(AH23/P23))+Assumptions!$Y$10),
(Assumptions!$W$11*(AH23/P23)^2+(Assumptions!$X$11+(AH23/P23))+Assumptions!$Y$11)))),"")</f>
        <v/>
      </c>
      <c r="AJ23" s="95" t="str">
        <f t="shared" si="13"/>
        <v/>
      </c>
      <c r="AK23" s="96" t="str">
        <f>IFERROR(
IF(P23&lt;=5,
(Assumptions!$W$8*(AJ23/P23)^2+(Assumptions!$X$8*(AJ23/P23))+Assumptions!$Y$8),
IF(P23&lt;=20,
(Assumptions!$W$9*(AJ23/P23)^2+(Assumptions!$X$9*(AJ23/P23))+Assumptions!$Y$9),
IF(P23&lt;=50,
(Assumptions!$W$10*(AJ23/P23)^2+(Assumptions!$X$10*(AJ23/P23))+Assumptions!$Y$10),
(Assumptions!$W$11*(AJ23/P23)^2+(Assumptions!$X$11+(AJ23/P23))+Assumptions!$Y$11)))),
"")</f>
        <v/>
      </c>
      <c r="AL23" s="99" t="str">
        <f>IFERROR(
IF(C23="VTS",
IF(P23&gt;=AVERAGE(
INDEX(Assumptions!$I$38:$I$57,MATCH(P23,Assumptions!$I$38:$I$57,-1)),
INDEX(Assumptions!$I$38:$I$57,MATCH(P23,Assumptions!$I$38:$I$57,-1)+1)),
INDEX(Assumptions!$I$38:$I$57,MATCH(P23,Assumptions!$I$38:$I$57,-1)),
INDEX(Assumptions!$I$38:$I$57,MATCH(P23,Assumptions!$I$38:$I$57,-1)+1)),
IF(P23&gt;=AVERAGE(
INDEX(Assumptions!$I$13:$I$32,MATCH(P23,Assumptions!$I$13:$I$32,-1)),
INDEX(Assumptions!$I$13:$I$32,MATCH(P23,Assumptions!$I$13:$I$32,-1)+1)),
INDEX(Assumptions!$I$13:$I$32,MATCH(P23,Assumptions!$I$13:$I$32,-1)),
INDEX(Assumptions!$I$13:$I$32,MATCH(P23,Assumptions!$I$13:$I$32,-1)+1))),
"")</f>
        <v/>
      </c>
      <c r="AM23" s="95" t="str">
        <f>IFERROR(
IF(C23="VTS",
VLOOKUP(AL23,Assumptions!$I$38:$K$57,MATCH(R23,Assumptions!$I$37:$K$37,0),FALSE),
VLOOKUP(AL23,Assumptions!$I$13:$K$32,MATCH(R23,Assumptions!$I$12:$K$12,0),FALSE)),
"")</f>
        <v/>
      </c>
      <c r="AN23" s="95" t="str">
        <f t="shared" si="14"/>
        <v/>
      </c>
      <c r="AO23" s="95" t="str">
        <f>IFERROR(AN23*
(Assumptions!$S$7*(X23/(AR23*Assumptions!$AB$9/100)/P23)^3+
Assumptions!$S$8*(X23/(AR23*Assumptions!$AB$9/100)/P23)^2+
Assumptions!$S$9*(X23/(AR23*Assumptions!$AB$9/100)/P23)+
Assumptions!$S$10),"")</f>
        <v/>
      </c>
      <c r="AP23" s="95" t="str">
        <f>IFERROR(AN23*
(Assumptions!$S$7*(AA23/(AR23*Assumptions!$AB$8/100)/P23)^3+
Assumptions!$S$8*(AA23/(AR23*Assumptions!$AB$8/100)/P23)^2+
Assumptions!$S$9*(AA23/(AR23*Assumptions!$AB$8/100)/P23)+
Assumptions!$S$10),"")</f>
        <v/>
      </c>
      <c r="AQ23" s="95" t="str">
        <f>IFERROR(AN23*
(Assumptions!$S$7*(AD23/(AR23*Assumptions!$AB$10/100)/P23)^3+
Assumptions!$S$8*(AD23/(AR23*Assumptions!$AB$10/100)/P23)^2+
Assumptions!$S$9*(AD23/(AR23*Assumptions!$AB$10/100)/P23)+
Assumptions!$S$10),"")</f>
        <v/>
      </c>
      <c r="AR23" s="95" t="str">
        <f>IFERROR(
Assumptions!$AD$8*LN(U23)^2+
Assumptions!$AE$8*LN(T23)*LN(U23)+
Assumptions!$AF$8*LN(T23)^2+
Assumptions!$AG$8*LN(U23)+
Assumptions!$AH$8*LN(T23)-
(IF(S23=1800,
VLOOKUP(C23,Assumptions!$AA$13:$AC$17,3),
IF(S23=3600,
VLOOKUP(C23,Assumptions!$AA$18:$AC$22,3),
""))+Assumptions!$AI$8),
"")</f>
        <v/>
      </c>
      <c r="AS23" s="96" t="str">
        <f>IFERROR(
Assumptions!$D$11*(X23/(Assumptions!$AB$9*AR23/100)+AO23)+
Assumptions!$D$10*(AA23/(Assumptions!$AB$8*AR23/100)+AP23)+
Assumptions!$D$12*(AD23/(Assumptions!$AB$10*AR23/100)+AQ23),
"")</f>
        <v/>
      </c>
      <c r="AT23" s="76" t="str">
        <f>IFERROR(
(W23+AE23)*Assumptions!$F$11+
(AF23+AG23)*Assumptions!$F$8+
(AH23+AI23)*Assumptions!$F$9+
(AJ23+AK23)*Assumptions!$F$10,
"")</f>
        <v/>
      </c>
      <c r="AU23" s="77" t="str">
        <f t="shared" si="15"/>
        <v/>
      </c>
      <c r="AV23" s="68" t="str">
        <f t="shared" si="1"/>
        <v/>
      </c>
    </row>
    <row r="24" spans="1:48" x14ac:dyDescent="0.25">
      <c r="A24" s="264"/>
      <c r="B24" s="265"/>
      <c r="C24" s="265"/>
      <c r="D24" s="265"/>
      <c r="E24" s="266"/>
      <c r="F24" s="270"/>
      <c r="G24" s="271"/>
      <c r="H24" s="271"/>
      <c r="I24" s="272"/>
      <c r="J24" s="270"/>
      <c r="K24" s="271"/>
      <c r="L24" s="272"/>
      <c r="M24" s="270"/>
      <c r="N24" s="271"/>
      <c r="O24" s="272"/>
      <c r="P24" s="290"/>
      <c r="Q24" s="314"/>
      <c r="R24" s="51" t="str">
        <f t="shared" si="0"/>
        <v/>
      </c>
      <c r="S24" s="84" t="str">
        <f t="shared" si="2"/>
        <v/>
      </c>
      <c r="T24" s="93" t="str">
        <f t="shared" si="3"/>
        <v/>
      </c>
      <c r="U24" s="100" t="str">
        <f t="shared" si="4"/>
        <v/>
      </c>
      <c r="V24" s="95" t="str">
        <f t="shared" si="5"/>
        <v/>
      </c>
      <c r="W24" s="95" t="str">
        <f t="shared" si="6"/>
        <v/>
      </c>
      <c r="X24" s="96" t="str">
        <f>IFERROR(U24*V24*Assumptions!$B$15/3956,"")</f>
        <v/>
      </c>
      <c r="Y24" s="102" t="str">
        <f t="shared" si="7"/>
        <v/>
      </c>
      <c r="Z24" s="95" t="str">
        <f t="shared" si="8"/>
        <v/>
      </c>
      <c r="AA24" s="96" t="str">
        <f>IFERROR(Y24*Z24*Assumptions!$B$15/3956,"")</f>
        <v/>
      </c>
      <c r="AB24" s="100" t="str">
        <f t="shared" si="9"/>
        <v/>
      </c>
      <c r="AC24" s="95" t="str">
        <f t="shared" si="10"/>
        <v/>
      </c>
      <c r="AD24" s="96" t="str">
        <f>IFERROR(AB24*AC24*Assumptions!$B$15/3956,"")</f>
        <v/>
      </c>
      <c r="AE24" s="94" t="str">
        <f>IFERROR(
IF(P24&lt;=5,
(Assumptions!$W$8*(W24/P24)^2+(Assumptions!$X$8*(W24/P24))+Assumptions!$Y$8),
IF(P24&lt;=20,
(Assumptions!$W$9*(W24/P24)^2+(Assumptions!$X$9*(W24/P24))+Assumptions!$Y$9),
IF(P24&lt;=50,
(Assumptions!$W$10*(W24/P24)^2+(Assumptions!$X$10*(W24/P24))+Assumptions!$Y$10),
(Assumptions!$W$11*(W24/P24)^2+(Assumptions!$X$11+(W24/P24))+Assumptions!$Y$11)))),
"")</f>
        <v/>
      </c>
      <c r="AF24" s="99" t="str">
        <f t="shared" si="11"/>
        <v/>
      </c>
      <c r="AG24" s="95" t="str">
        <f>IFERROR(
IF(P24&lt;=5,
(Assumptions!$W$8*(AF24/P24)^2+(Assumptions!$X$8*(AF24/P24))+Assumptions!$Y$8),
IF(P24&lt;=20,
(Assumptions!$W$9*(AF24/P24)^2+(Assumptions!$X$9*(AF24/P24))+Assumptions!$Y$9),
IF(P24&lt;=50,
(Assumptions!$W$10*(AF24/P24)^2+(Assumptions!$X$10*(AF24/P24))+Assumptions!$Y$10),
(Assumptions!$W$11*(AF24/P24)^2+(Assumptions!$X$11+(AF24/P24))+Assumptions!$Y$11)))),
"")</f>
        <v/>
      </c>
      <c r="AH24" s="95" t="str">
        <f t="shared" si="12"/>
        <v/>
      </c>
      <c r="AI24" s="95" t="str">
        <f>IFERROR(
IF(P24&lt;=5,
(Assumptions!$W$8*(AH24/P24)^2+(Assumptions!$X$8*(AH24/P24))+Assumptions!$Y$8),
IF(P24&lt;=20,
(Assumptions!$W$9*(AH24/P24)^2+(Assumptions!$X$9*(AH24/P24))+Assumptions!$Y$9),
IF(P24&lt;=50,
(Assumptions!$W$10*(AH24/P24)^2+(Assumptions!$X$10*(AH24/P24))+Assumptions!$Y$10),
(Assumptions!$W$11*(AH24/P24)^2+(Assumptions!$X$11+(AH24/P24))+Assumptions!$Y$11)))),"")</f>
        <v/>
      </c>
      <c r="AJ24" s="95" t="str">
        <f t="shared" si="13"/>
        <v/>
      </c>
      <c r="AK24" s="96" t="str">
        <f>IFERROR(
IF(P24&lt;=5,
(Assumptions!$W$8*(AJ24/P24)^2+(Assumptions!$X$8*(AJ24/P24))+Assumptions!$Y$8),
IF(P24&lt;=20,
(Assumptions!$W$9*(AJ24/P24)^2+(Assumptions!$X$9*(AJ24/P24))+Assumptions!$Y$9),
IF(P24&lt;=50,
(Assumptions!$W$10*(AJ24/P24)^2+(Assumptions!$X$10*(AJ24/P24))+Assumptions!$Y$10),
(Assumptions!$W$11*(AJ24/P24)^2+(Assumptions!$X$11+(AJ24/P24))+Assumptions!$Y$11)))),
"")</f>
        <v/>
      </c>
      <c r="AL24" s="99" t="str">
        <f>IFERROR(
IF(C24="VTS",
IF(P24&gt;=AVERAGE(
INDEX(Assumptions!$I$38:$I$57,MATCH(P24,Assumptions!$I$38:$I$57,-1)),
INDEX(Assumptions!$I$38:$I$57,MATCH(P24,Assumptions!$I$38:$I$57,-1)+1)),
INDEX(Assumptions!$I$38:$I$57,MATCH(P24,Assumptions!$I$38:$I$57,-1)),
INDEX(Assumptions!$I$38:$I$57,MATCH(P24,Assumptions!$I$38:$I$57,-1)+1)),
IF(P24&gt;=AVERAGE(
INDEX(Assumptions!$I$13:$I$32,MATCH(P24,Assumptions!$I$13:$I$32,-1)),
INDEX(Assumptions!$I$13:$I$32,MATCH(P24,Assumptions!$I$13:$I$32,-1)+1)),
INDEX(Assumptions!$I$13:$I$32,MATCH(P24,Assumptions!$I$13:$I$32,-1)),
INDEX(Assumptions!$I$13:$I$32,MATCH(P24,Assumptions!$I$13:$I$32,-1)+1))),
"")</f>
        <v/>
      </c>
      <c r="AM24" s="95" t="str">
        <f>IFERROR(
IF(C24="VTS",
VLOOKUP(AL24,Assumptions!$I$38:$K$57,MATCH(R24,Assumptions!$I$37:$K$37,0),FALSE),
VLOOKUP(AL24,Assumptions!$I$13:$K$32,MATCH(R24,Assumptions!$I$12:$K$12,0),FALSE)),
"")</f>
        <v/>
      </c>
      <c r="AN24" s="95" t="str">
        <f t="shared" si="14"/>
        <v/>
      </c>
      <c r="AO24" s="95" t="str">
        <f>IFERROR(AN24*
(Assumptions!$S$7*(X24/(AR24*Assumptions!$AB$9/100)/P24)^3+
Assumptions!$S$8*(X24/(AR24*Assumptions!$AB$9/100)/P24)^2+
Assumptions!$S$9*(X24/(AR24*Assumptions!$AB$9/100)/P24)+
Assumptions!$S$10),"")</f>
        <v/>
      </c>
      <c r="AP24" s="95" t="str">
        <f>IFERROR(AN24*
(Assumptions!$S$7*(AA24/(AR24*Assumptions!$AB$8/100)/P24)^3+
Assumptions!$S$8*(AA24/(AR24*Assumptions!$AB$8/100)/P24)^2+
Assumptions!$S$9*(AA24/(AR24*Assumptions!$AB$8/100)/P24)+
Assumptions!$S$10),"")</f>
        <v/>
      </c>
      <c r="AQ24" s="95" t="str">
        <f>IFERROR(AN24*
(Assumptions!$S$7*(AD24/(AR24*Assumptions!$AB$10/100)/P24)^3+
Assumptions!$S$8*(AD24/(AR24*Assumptions!$AB$10/100)/P24)^2+
Assumptions!$S$9*(AD24/(AR24*Assumptions!$AB$10/100)/P24)+
Assumptions!$S$10),"")</f>
        <v/>
      </c>
      <c r="AR24" s="95" t="str">
        <f>IFERROR(
Assumptions!$AD$8*LN(U24)^2+
Assumptions!$AE$8*LN(T24)*LN(U24)+
Assumptions!$AF$8*LN(T24)^2+
Assumptions!$AG$8*LN(U24)+
Assumptions!$AH$8*LN(T24)-
(IF(S24=1800,
VLOOKUP(C24,Assumptions!$AA$13:$AC$17,3),
IF(S24=3600,
VLOOKUP(C24,Assumptions!$AA$18:$AC$22,3),
""))+Assumptions!$AI$8),
"")</f>
        <v/>
      </c>
      <c r="AS24" s="96" t="str">
        <f>IFERROR(
Assumptions!$D$11*(X24/(Assumptions!$AB$9*AR24/100)+AO24)+
Assumptions!$D$10*(AA24/(Assumptions!$AB$8*AR24/100)+AP24)+
Assumptions!$D$12*(AD24/(Assumptions!$AB$10*AR24/100)+AQ24),
"")</f>
        <v/>
      </c>
      <c r="AT24" s="76" t="str">
        <f>IFERROR(
(W24+AE24)*Assumptions!$F$11+
(AF24+AG24)*Assumptions!$F$8+
(AH24+AI24)*Assumptions!$F$9+
(AJ24+AK24)*Assumptions!$F$10,
"")</f>
        <v/>
      </c>
      <c r="AU24" s="77" t="str">
        <f t="shared" si="15"/>
        <v/>
      </c>
      <c r="AV24" s="68" t="str">
        <f t="shared" si="1"/>
        <v/>
      </c>
    </row>
    <row r="25" spans="1:48" x14ac:dyDescent="0.25">
      <c r="A25" s="264"/>
      <c r="B25" s="265"/>
      <c r="C25" s="265"/>
      <c r="D25" s="265"/>
      <c r="E25" s="266"/>
      <c r="F25" s="270"/>
      <c r="G25" s="271"/>
      <c r="H25" s="271"/>
      <c r="I25" s="272"/>
      <c r="J25" s="270"/>
      <c r="K25" s="271"/>
      <c r="L25" s="272"/>
      <c r="M25" s="270"/>
      <c r="N25" s="271"/>
      <c r="O25" s="272"/>
      <c r="P25" s="290"/>
      <c r="Q25" s="314"/>
      <c r="R25" s="51" t="str">
        <f t="shared" si="0"/>
        <v/>
      </c>
      <c r="S25" s="84" t="str">
        <f t="shared" si="2"/>
        <v/>
      </c>
      <c r="T25" s="93" t="str">
        <f t="shared" si="3"/>
        <v/>
      </c>
      <c r="U25" s="100" t="str">
        <f t="shared" si="4"/>
        <v/>
      </c>
      <c r="V25" s="95" t="str">
        <f t="shared" si="5"/>
        <v/>
      </c>
      <c r="W25" s="95" t="str">
        <f t="shared" si="6"/>
        <v/>
      </c>
      <c r="X25" s="96" t="str">
        <f>IFERROR(U25*V25*Assumptions!$B$15/3956,"")</f>
        <v/>
      </c>
      <c r="Y25" s="102" t="str">
        <f t="shared" si="7"/>
        <v/>
      </c>
      <c r="Z25" s="95" t="str">
        <f t="shared" si="8"/>
        <v/>
      </c>
      <c r="AA25" s="96" t="str">
        <f>IFERROR(Y25*Z25*Assumptions!$B$15/3956,"")</f>
        <v/>
      </c>
      <c r="AB25" s="100" t="str">
        <f t="shared" si="9"/>
        <v/>
      </c>
      <c r="AC25" s="95" t="str">
        <f t="shared" si="10"/>
        <v/>
      </c>
      <c r="AD25" s="96" t="str">
        <f>IFERROR(AB25*AC25*Assumptions!$B$15/3956,"")</f>
        <v/>
      </c>
      <c r="AE25" s="94" t="str">
        <f>IFERROR(
IF(P25&lt;=5,
(Assumptions!$W$8*(W25/P25)^2+(Assumptions!$X$8*(W25/P25))+Assumptions!$Y$8),
IF(P25&lt;=20,
(Assumptions!$W$9*(W25/P25)^2+(Assumptions!$X$9*(W25/P25))+Assumptions!$Y$9),
IF(P25&lt;=50,
(Assumptions!$W$10*(W25/P25)^2+(Assumptions!$X$10*(W25/P25))+Assumptions!$Y$10),
(Assumptions!$W$11*(W25/P25)^2+(Assumptions!$X$11+(W25/P25))+Assumptions!$Y$11)))),
"")</f>
        <v/>
      </c>
      <c r="AF25" s="99" t="str">
        <f t="shared" si="11"/>
        <v/>
      </c>
      <c r="AG25" s="95" t="str">
        <f>IFERROR(
IF(P25&lt;=5,
(Assumptions!$W$8*(AF25/P25)^2+(Assumptions!$X$8*(AF25/P25))+Assumptions!$Y$8),
IF(P25&lt;=20,
(Assumptions!$W$9*(AF25/P25)^2+(Assumptions!$X$9*(AF25/P25))+Assumptions!$Y$9),
IF(P25&lt;=50,
(Assumptions!$W$10*(AF25/P25)^2+(Assumptions!$X$10*(AF25/P25))+Assumptions!$Y$10),
(Assumptions!$W$11*(AF25/P25)^2+(Assumptions!$X$11+(AF25/P25))+Assumptions!$Y$11)))),
"")</f>
        <v/>
      </c>
      <c r="AH25" s="95" t="str">
        <f t="shared" si="12"/>
        <v/>
      </c>
      <c r="AI25" s="95" t="str">
        <f>IFERROR(
IF(P25&lt;=5,
(Assumptions!$W$8*(AH25/P25)^2+(Assumptions!$X$8*(AH25/P25))+Assumptions!$Y$8),
IF(P25&lt;=20,
(Assumptions!$W$9*(AH25/P25)^2+(Assumptions!$X$9*(AH25/P25))+Assumptions!$Y$9),
IF(P25&lt;=50,
(Assumptions!$W$10*(AH25/P25)^2+(Assumptions!$X$10*(AH25/P25))+Assumptions!$Y$10),
(Assumptions!$W$11*(AH25/P25)^2+(Assumptions!$X$11+(AH25/P25))+Assumptions!$Y$11)))),"")</f>
        <v/>
      </c>
      <c r="AJ25" s="95" t="str">
        <f t="shared" si="13"/>
        <v/>
      </c>
      <c r="AK25" s="96" t="str">
        <f>IFERROR(
IF(P25&lt;=5,
(Assumptions!$W$8*(AJ25/P25)^2+(Assumptions!$X$8*(AJ25/P25))+Assumptions!$Y$8),
IF(P25&lt;=20,
(Assumptions!$W$9*(AJ25/P25)^2+(Assumptions!$X$9*(AJ25/P25))+Assumptions!$Y$9),
IF(P25&lt;=50,
(Assumptions!$W$10*(AJ25/P25)^2+(Assumptions!$X$10*(AJ25/P25))+Assumptions!$Y$10),
(Assumptions!$W$11*(AJ25/P25)^2+(Assumptions!$X$11+(AJ25/P25))+Assumptions!$Y$11)))),
"")</f>
        <v/>
      </c>
      <c r="AL25" s="99" t="str">
        <f>IFERROR(
IF(C25="VTS",
IF(P25&gt;=AVERAGE(
INDEX(Assumptions!$I$38:$I$57,MATCH(P25,Assumptions!$I$38:$I$57,-1)),
INDEX(Assumptions!$I$38:$I$57,MATCH(P25,Assumptions!$I$38:$I$57,-1)+1)),
INDEX(Assumptions!$I$38:$I$57,MATCH(P25,Assumptions!$I$38:$I$57,-1)),
INDEX(Assumptions!$I$38:$I$57,MATCH(P25,Assumptions!$I$38:$I$57,-1)+1)),
IF(P25&gt;=AVERAGE(
INDEX(Assumptions!$I$13:$I$32,MATCH(P25,Assumptions!$I$13:$I$32,-1)),
INDEX(Assumptions!$I$13:$I$32,MATCH(P25,Assumptions!$I$13:$I$32,-1)+1)),
INDEX(Assumptions!$I$13:$I$32,MATCH(P25,Assumptions!$I$13:$I$32,-1)),
INDEX(Assumptions!$I$13:$I$32,MATCH(P25,Assumptions!$I$13:$I$32,-1)+1))),
"")</f>
        <v/>
      </c>
      <c r="AM25" s="95" t="str">
        <f>IFERROR(
IF(C25="VTS",
VLOOKUP(AL25,Assumptions!$I$38:$K$57,MATCH(R25,Assumptions!$I$37:$K$37,0),FALSE),
VLOOKUP(AL25,Assumptions!$I$13:$K$32,MATCH(R25,Assumptions!$I$12:$K$12,0),FALSE)),
"")</f>
        <v/>
      </c>
      <c r="AN25" s="95" t="str">
        <f t="shared" si="14"/>
        <v/>
      </c>
      <c r="AO25" s="95" t="str">
        <f>IFERROR(AN25*
(Assumptions!$S$7*(X25/(AR25*Assumptions!$AB$9/100)/P25)^3+
Assumptions!$S$8*(X25/(AR25*Assumptions!$AB$9/100)/P25)^2+
Assumptions!$S$9*(X25/(AR25*Assumptions!$AB$9/100)/P25)+
Assumptions!$S$10),"")</f>
        <v/>
      </c>
      <c r="AP25" s="95" t="str">
        <f>IFERROR(AN25*
(Assumptions!$S$7*(AA25/(AR25*Assumptions!$AB$8/100)/P25)^3+
Assumptions!$S$8*(AA25/(AR25*Assumptions!$AB$8/100)/P25)^2+
Assumptions!$S$9*(AA25/(AR25*Assumptions!$AB$8/100)/P25)+
Assumptions!$S$10),"")</f>
        <v/>
      </c>
      <c r="AQ25" s="95" t="str">
        <f>IFERROR(AN25*
(Assumptions!$S$7*(AD25/(AR25*Assumptions!$AB$10/100)/P25)^3+
Assumptions!$S$8*(AD25/(AR25*Assumptions!$AB$10/100)/P25)^2+
Assumptions!$S$9*(AD25/(AR25*Assumptions!$AB$10/100)/P25)+
Assumptions!$S$10),"")</f>
        <v/>
      </c>
      <c r="AR25" s="95" t="str">
        <f>IFERROR(
Assumptions!$AD$8*LN(U25)^2+
Assumptions!$AE$8*LN(T25)*LN(U25)+
Assumptions!$AF$8*LN(T25)^2+
Assumptions!$AG$8*LN(U25)+
Assumptions!$AH$8*LN(T25)-
(IF(S25=1800,
VLOOKUP(C25,Assumptions!$AA$13:$AC$17,3),
IF(S25=3600,
VLOOKUP(C25,Assumptions!$AA$18:$AC$22,3),
""))+Assumptions!$AI$8),
"")</f>
        <v/>
      </c>
      <c r="AS25" s="96" t="str">
        <f>IFERROR(
Assumptions!$D$11*(X25/(Assumptions!$AB$9*AR25/100)+AO25)+
Assumptions!$D$10*(AA25/(Assumptions!$AB$8*AR25/100)+AP25)+
Assumptions!$D$12*(AD25/(Assumptions!$AB$10*AR25/100)+AQ25),
"")</f>
        <v/>
      </c>
      <c r="AT25" s="76" t="str">
        <f>IFERROR(
(W25+AE25)*Assumptions!$F$11+
(AF25+AG25)*Assumptions!$F$8+
(AH25+AI25)*Assumptions!$F$9+
(AJ25+AK25)*Assumptions!$F$10,
"")</f>
        <v/>
      </c>
      <c r="AU25" s="77" t="str">
        <f t="shared" si="15"/>
        <v/>
      </c>
      <c r="AV25" s="68" t="str">
        <f t="shared" si="1"/>
        <v/>
      </c>
    </row>
    <row r="26" spans="1:48" x14ac:dyDescent="0.25">
      <c r="A26" s="264"/>
      <c r="B26" s="265"/>
      <c r="C26" s="265"/>
      <c r="D26" s="265"/>
      <c r="E26" s="266"/>
      <c r="F26" s="270"/>
      <c r="G26" s="271"/>
      <c r="H26" s="271"/>
      <c r="I26" s="272"/>
      <c r="J26" s="270"/>
      <c r="K26" s="271"/>
      <c r="L26" s="272"/>
      <c r="M26" s="270"/>
      <c r="N26" s="271"/>
      <c r="O26" s="272"/>
      <c r="P26" s="290"/>
      <c r="Q26" s="314"/>
      <c r="R26" s="51" t="str">
        <f t="shared" si="0"/>
        <v/>
      </c>
      <c r="S26" s="84" t="str">
        <f t="shared" si="2"/>
        <v/>
      </c>
      <c r="T26" s="93" t="str">
        <f t="shared" si="3"/>
        <v/>
      </c>
      <c r="U26" s="100" t="str">
        <f t="shared" si="4"/>
        <v/>
      </c>
      <c r="V26" s="95" t="str">
        <f t="shared" si="5"/>
        <v/>
      </c>
      <c r="W26" s="95" t="str">
        <f t="shared" si="6"/>
        <v/>
      </c>
      <c r="X26" s="96" t="str">
        <f>IFERROR(U26*V26*Assumptions!$B$15/3956,"")</f>
        <v/>
      </c>
      <c r="Y26" s="102" t="str">
        <f t="shared" si="7"/>
        <v/>
      </c>
      <c r="Z26" s="95" t="str">
        <f t="shared" si="8"/>
        <v/>
      </c>
      <c r="AA26" s="96" t="str">
        <f>IFERROR(Y26*Z26*Assumptions!$B$15/3956,"")</f>
        <v/>
      </c>
      <c r="AB26" s="100" t="str">
        <f t="shared" si="9"/>
        <v/>
      </c>
      <c r="AC26" s="95" t="str">
        <f t="shared" si="10"/>
        <v/>
      </c>
      <c r="AD26" s="96" t="str">
        <f>IFERROR(AB26*AC26*Assumptions!$B$15/3956,"")</f>
        <v/>
      </c>
      <c r="AE26" s="94" t="str">
        <f>IFERROR(
IF(P26&lt;=5,
(Assumptions!$W$8*(W26/P26)^2+(Assumptions!$X$8*(W26/P26))+Assumptions!$Y$8),
IF(P26&lt;=20,
(Assumptions!$W$9*(W26/P26)^2+(Assumptions!$X$9*(W26/P26))+Assumptions!$Y$9),
IF(P26&lt;=50,
(Assumptions!$W$10*(W26/P26)^2+(Assumptions!$X$10*(W26/P26))+Assumptions!$Y$10),
(Assumptions!$W$11*(W26/P26)^2+(Assumptions!$X$11+(W26/P26))+Assumptions!$Y$11)))),
"")</f>
        <v/>
      </c>
      <c r="AF26" s="99" t="str">
        <f t="shared" si="11"/>
        <v/>
      </c>
      <c r="AG26" s="95" t="str">
        <f>IFERROR(
IF(P26&lt;=5,
(Assumptions!$W$8*(AF26/P26)^2+(Assumptions!$X$8*(AF26/P26))+Assumptions!$Y$8),
IF(P26&lt;=20,
(Assumptions!$W$9*(AF26/P26)^2+(Assumptions!$X$9*(AF26/P26))+Assumptions!$Y$9),
IF(P26&lt;=50,
(Assumptions!$W$10*(AF26/P26)^2+(Assumptions!$X$10*(AF26/P26))+Assumptions!$Y$10),
(Assumptions!$W$11*(AF26/P26)^2+(Assumptions!$X$11+(AF26/P26))+Assumptions!$Y$11)))),
"")</f>
        <v/>
      </c>
      <c r="AH26" s="95" t="str">
        <f t="shared" si="12"/>
        <v/>
      </c>
      <c r="AI26" s="95" t="str">
        <f>IFERROR(
IF(P26&lt;=5,
(Assumptions!$W$8*(AH26/P26)^2+(Assumptions!$X$8*(AH26/P26))+Assumptions!$Y$8),
IF(P26&lt;=20,
(Assumptions!$W$9*(AH26/P26)^2+(Assumptions!$X$9*(AH26/P26))+Assumptions!$Y$9),
IF(P26&lt;=50,
(Assumptions!$W$10*(AH26/P26)^2+(Assumptions!$X$10*(AH26/P26))+Assumptions!$Y$10),
(Assumptions!$W$11*(AH26/P26)^2+(Assumptions!$X$11+(AH26/P26))+Assumptions!$Y$11)))),"")</f>
        <v/>
      </c>
      <c r="AJ26" s="95" t="str">
        <f t="shared" si="13"/>
        <v/>
      </c>
      <c r="AK26" s="96" t="str">
        <f>IFERROR(
IF(P26&lt;=5,
(Assumptions!$W$8*(AJ26/P26)^2+(Assumptions!$X$8*(AJ26/P26))+Assumptions!$Y$8),
IF(P26&lt;=20,
(Assumptions!$W$9*(AJ26/P26)^2+(Assumptions!$X$9*(AJ26/P26))+Assumptions!$Y$9),
IF(P26&lt;=50,
(Assumptions!$W$10*(AJ26/P26)^2+(Assumptions!$X$10*(AJ26/P26))+Assumptions!$Y$10),
(Assumptions!$W$11*(AJ26/P26)^2+(Assumptions!$X$11+(AJ26/P26))+Assumptions!$Y$11)))),
"")</f>
        <v/>
      </c>
      <c r="AL26" s="99" t="str">
        <f>IFERROR(
IF(C26="VTS",
IF(P26&gt;=AVERAGE(
INDEX(Assumptions!$I$38:$I$57,MATCH(P26,Assumptions!$I$38:$I$57,-1)),
INDEX(Assumptions!$I$38:$I$57,MATCH(P26,Assumptions!$I$38:$I$57,-1)+1)),
INDEX(Assumptions!$I$38:$I$57,MATCH(P26,Assumptions!$I$38:$I$57,-1)),
INDEX(Assumptions!$I$38:$I$57,MATCH(P26,Assumptions!$I$38:$I$57,-1)+1)),
IF(P26&gt;=AVERAGE(
INDEX(Assumptions!$I$13:$I$32,MATCH(P26,Assumptions!$I$13:$I$32,-1)),
INDEX(Assumptions!$I$13:$I$32,MATCH(P26,Assumptions!$I$13:$I$32,-1)+1)),
INDEX(Assumptions!$I$13:$I$32,MATCH(P26,Assumptions!$I$13:$I$32,-1)),
INDEX(Assumptions!$I$13:$I$32,MATCH(P26,Assumptions!$I$13:$I$32,-1)+1))),
"")</f>
        <v/>
      </c>
      <c r="AM26" s="95" t="str">
        <f>IFERROR(
IF(C26="VTS",
VLOOKUP(AL26,Assumptions!$I$38:$K$57,MATCH(R26,Assumptions!$I$37:$K$37,0),FALSE),
VLOOKUP(AL26,Assumptions!$I$13:$K$32,MATCH(R26,Assumptions!$I$12:$K$12,0),FALSE)),
"")</f>
        <v/>
      </c>
      <c r="AN26" s="95" t="str">
        <f t="shared" si="14"/>
        <v/>
      </c>
      <c r="AO26" s="95" t="str">
        <f>IFERROR(AN26*
(Assumptions!$S$7*(X26/(AR26*Assumptions!$AB$9/100)/P26)^3+
Assumptions!$S$8*(X26/(AR26*Assumptions!$AB$9/100)/P26)^2+
Assumptions!$S$9*(X26/(AR26*Assumptions!$AB$9/100)/P26)+
Assumptions!$S$10),"")</f>
        <v/>
      </c>
      <c r="AP26" s="95" t="str">
        <f>IFERROR(AN26*
(Assumptions!$S$7*(AA26/(AR26*Assumptions!$AB$8/100)/P26)^3+
Assumptions!$S$8*(AA26/(AR26*Assumptions!$AB$8/100)/P26)^2+
Assumptions!$S$9*(AA26/(AR26*Assumptions!$AB$8/100)/P26)+
Assumptions!$S$10),"")</f>
        <v/>
      </c>
      <c r="AQ26" s="95" t="str">
        <f>IFERROR(AN26*
(Assumptions!$S$7*(AD26/(AR26*Assumptions!$AB$10/100)/P26)^3+
Assumptions!$S$8*(AD26/(AR26*Assumptions!$AB$10/100)/P26)^2+
Assumptions!$S$9*(AD26/(AR26*Assumptions!$AB$10/100)/P26)+
Assumptions!$S$10),"")</f>
        <v/>
      </c>
      <c r="AR26" s="95" t="str">
        <f>IFERROR(
Assumptions!$AD$8*LN(U26)^2+
Assumptions!$AE$8*LN(T26)*LN(U26)+
Assumptions!$AF$8*LN(T26)^2+
Assumptions!$AG$8*LN(U26)+
Assumptions!$AH$8*LN(T26)-
(IF(S26=1800,
VLOOKUP(C26,Assumptions!$AA$13:$AC$17,3),
IF(S26=3600,
VLOOKUP(C26,Assumptions!$AA$18:$AC$22,3),
""))+Assumptions!$AI$8),
"")</f>
        <v/>
      </c>
      <c r="AS26" s="96" t="str">
        <f>IFERROR(
Assumptions!$D$11*(X26/(Assumptions!$AB$9*AR26/100)+AO26)+
Assumptions!$D$10*(AA26/(Assumptions!$AB$8*AR26/100)+AP26)+
Assumptions!$D$12*(AD26/(Assumptions!$AB$10*AR26/100)+AQ26),
"")</f>
        <v/>
      </c>
      <c r="AT26" s="76" t="str">
        <f>IFERROR(
(W26+AE26)*Assumptions!$F$11+
(AF26+AG26)*Assumptions!$F$8+
(AH26+AI26)*Assumptions!$F$9+
(AJ26+AK26)*Assumptions!$F$10,
"")</f>
        <v/>
      </c>
      <c r="AU26" s="77" t="str">
        <f t="shared" si="15"/>
        <v/>
      </c>
      <c r="AV26" s="68" t="str">
        <f t="shared" si="1"/>
        <v/>
      </c>
    </row>
    <row r="27" spans="1:48" x14ac:dyDescent="0.25">
      <c r="A27" s="264"/>
      <c r="B27" s="265"/>
      <c r="C27" s="265"/>
      <c r="D27" s="265"/>
      <c r="E27" s="266"/>
      <c r="F27" s="270"/>
      <c r="G27" s="271"/>
      <c r="H27" s="271"/>
      <c r="I27" s="272"/>
      <c r="J27" s="270"/>
      <c r="K27" s="271"/>
      <c r="L27" s="272"/>
      <c r="M27" s="270"/>
      <c r="N27" s="271"/>
      <c r="O27" s="272"/>
      <c r="P27" s="290"/>
      <c r="Q27" s="314"/>
      <c r="R27" s="51" t="str">
        <f t="shared" si="0"/>
        <v/>
      </c>
      <c r="S27" s="84" t="str">
        <f t="shared" si="2"/>
        <v/>
      </c>
      <c r="T27" s="93" t="str">
        <f t="shared" si="3"/>
        <v/>
      </c>
      <c r="U27" s="100" t="str">
        <f t="shared" si="4"/>
        <v/>
      </c>
      <c r="V27" s="95" t="str">
        <f t="shared" si="5"/>
        <v/>
      </c>
      <c r="W27" s="95" t="str">
        <f t="shared" si="6"/>
        <v/>
      </c>
      <c r="X27" s="96" t="str">
        <f>IFERROR(U27*V27*Assumptions!$B$15/3956,"")</f>
        <v/>
      </c>
      <c r="Y27" s="102" t="str">
        <f t="shared" si="7"/>
        <v/>
      </c>
      <c r="Z27" s="95" t="str">
        <f t="shared" si="8"/>
        <v/>
      </c>
      <c r="AA27" s="96" t="str">
        <f>IFERROR(Y27*Z27*Assumptions!$B$15/3956,"")</f>
        <v/>
      </c>
      <c r="AB27" s="100" t="str">
        <f t="shared" si="9"/>
        <v/>
      </c>
      <c r="AC27" s="95" t="str">
        <f t="shared" si="10"/>
        <v/>
      </c>
      <c r="AD27" s="96" t="str">
        <f>IFERROR(AB27*AC27*Assumptions!$B$15/3956,"")</f>
        <v/>
      </c>
      <c r="AE27" s="94" t="str">
        <f>IFERROR(
IF(P27&lt;=5,
(Assumptions!$W$8*(W27/P27)^2+(Assumptions!$X$8*(W27/P27))+Assumptions!$Y$8),
IF(P27&lt;=20,
(Assumptions!$W$9*(W27/P27)^2+(Assumptions!$X$9*(W27/P27))+Assumptions!$Y$9),
IF(P27&lt;=50,
(Assumptions!$W$10*(W27/P27)^2+(Assumptions!$X$10*(W27/P27))+Assumptions!$Y$10),
(Assumptions!$W$11*(W27/P27)^2+(Assumptions!$X$11+(W27/P27))+Assumptions!$Y$11)))),
"")</f>
        <v/>
      </c>
      <c r="AF27" s="99" t="str">
        <f t="shared" si="11"/>
        <v/>
      </c>
      <c r="AG27" s="95" t="str">
        <f>IFERROR(
IF(P27&lt;=5,
(Assumptions!$W$8*(AF27/P27)^2+(Assumptions!$X$8*(AF27/P27))+Assumptions!$Y$8),
IF(P27&lt;=20,
(Assumptions!$W$9*(AF27/P27)^2+(Assumptions!$X$9*(AF27/P27))+Assumptions!$Y$9),
IF(P27&lt;=50,
(Assumptions!$W$10*(AF27/P27)^2+(Assumptions!$X$10*(AF27/P27))+Assumptions!$Y$10),
(Assumptions!$W$11*(AF27/P27)^2+(Assumptions!$X$11+(AF27/P27))+Assumptions!$Y$11)))),
"")</f>
        <v/>
      </c>
      <c r="AH27" s="95" t="str">
        <f t="shared" si="12"/>
        <v/>
      </c>
      <c r="AI27" s="95" t="str">
        <f>IFERROR(
IF(P27&lt;=5,
(Assumptions!$W$8*(AH27/P27)^2+(Assumptions!$X$8*(AH27/P27))+Assumptions!$Y$8),
IF(P27&lt;=20,
(Assumptions!$W$9*(AH27/P27)^2+(Assumptions!$X$9*(AH27/P27))+Assumptions!$Y$9),
IF(P27&lt;=50,
(Assumptions!$W$10*(AH27/P27)^2+(Assumptions!$X$10*(AH27/P27))+Assumptions!$Y$10),
(Assumptions!$W$11*(AH27/P27)^2+(Assumptions!$X$11+(AH27/P27))+Assumptions!$Y$11)))),"")</f>
        <v/>
      </c>
      <c r="AJ27" s="95" t="str">
        <f t="shared" si="13"/>
        <v/>
      </c>
      <c r="AK27" s="96" t="str">
        <f>IFERROR(
IF(P27&lt;=5,
(Assumptions!$W$8*(AJ27/P27)^2+(Assumptions!$X$8*(AJ27/P27))+Assumptions!$Y$8),
IF(P27&lt;=20,
(Assumptions!$W$9*(AJ27/P27)^2+(Assumptions!$X$9*(AJ27/P27))+Assumptions!$Y$9),
IF(P27&lt;=50,
(Assumptions!$W$10*(AJ27/P27)^2+(Assumptions!$X$10*(AJ27/P27))+Assumptions!$Y$10),
(Assumptions!$W$11*(AJ27/P27)^2+(Assumptions!$X$11+(AJ27/P27))+Assumptions!$Y$11)))),
"")</f>
        <v/>
      </c>
      <c r="AL27" s="99" t="str">
        <f>IFERROR(
IF(C27="VTS",
IF(P27&gt;=AVERAGE(
INDEX(Assumptions!$I$38:$I$57,MATCH(P27,Assumptions!$I$38:$I$57,-1)),
INDEX(Assumptions!$I$38:$I$57,MATCH(P27,Assumptions!$I$38:$I$57,-1)+1)),
INDEX(Assumptions!$I$38:$I$57,MATCH(P27,Assumptions!$I$38:$I$57,-1)),
INDEX(Assumptions!$I$38:$I$57,MATCH(P27,Assumptions!$I$38:$I$57,-1)+1)),
IF(P27&gt;=AVERAGE(
INDEX(Assumptions!$I$13:$I$32,MATCH(P27,Assumptions!$I$13:$I$32,-1)),
INDEX(Assumptions!$I$13:$I$32,MATCH(P27,Assumptions!$I$13:$I$32,-1)+1)),
INDEX(Assumptions!$I$13:$I$32,MATCH(P27,Assumptions!$I$13:$I$32,-1)),
INDEX(Assumptions!$I$13:$I$32,MATCH(P27,Assumptions!$I$13:$I$32,-1)+1))),
"")</f>
        <v/>
      </c>
      <c r="AM27" s="95" t="str">
        <f>IFERROR(
IF(C27="VTS",
VLOOKUP(AL27,Assumptions!$I$38:$K$57,MATCH(R27,Assumptions!$I$37:$K$37,0),FALSE),
VLOOKUP(AL27,Assumptions!$I$13:$K$32,MATCH(R27,Assumptions!$I$12:$K$12,0),FALSE)),
"")</f>
        <v/>
      </c>
      <c r="AN27" s="95" t="str">
        <f t="shared" si="14"/>
        <v/>
      </c>
      <c r="AO27" s="95" t="str">
        <f>IFERROR(AN27*
(Assumptions!$S$7*(X27/(AR27*Assumptions!$AB$9/100)/P27)^3+
Assumptions!$S$8*(X27/(AR27*Assumptions!$AB$9/100)/P27)^2+
Assumptions!$S$9*(X27/(AR27*Assumptions!$AB$9/100)/P27)+
Assumptions!$S$10),"")</f>
        <v/>
      </c>
      <c r="AP27" s="95" t="str">
        <f>IFERROR(AN27*
(Assumptions!$S$7*(AA27/(AR27*Assumptions!$AB$8/100)/P27)^3+
Assumptions!$S$8*(AA27/(AR27*Assumptions!$AB$8/100)/P27)^2+
Assumptions!$S$9*(AA27/(AR27*Assumptions!$AB$8/100)/P27)+
Assumptions!$S$10),"")</f>
        <v/>
      </c>
      <c r="AQ27" s="95" t="str">
        <f>IFERROR(AN27*
(Assumptions!$S$7*(AD27/(AR27*Assumptions!$AB$10/100)/P27)^3+
Assumptions!$S$8*(AD27/(AR27*Assumptions!$AB$10/100)/P27)^2+
Assumptions!$S$9*(AD27/(AR27*Assumptions!$AB$10/100)/P27)+
Assumptions!$S$10),"")</f>
        <v/>
      </c>
      <c r="AR27" s="95" t="str">
        <f>IFERROR(
Assumptions!$AD$8*LN(U27)^2+
Assumptions!$AE$8*LN(T27)*LN(U27)+
Assumptions!$AF$8*LN(T27)^2+
Assumptions!$AG$8*LN(U27)+
Assumptions!$AH$8*LN(T27)-
(IF(S27=1800,
VLOOKUP(C27,Assumptions!$AA$13:$AC$17,3),
IF(S27=3600,
VLOOKUP(C27,Assumptions!$AA$18:$AC$22,3),
""))+Assumptions!$AI$8),
"")</f>
        <v/>
      </c>
      <c r="AS27" s="96" t="str">
        <f>IFERROR(
Assumptions!$D$11*(X27/(Assumptions!$AB$9*AR27/100)+AO27)+
Assumptions!$D$10*(AA27/(Assumptions!$AB$8*AR27/100)+AP27)+
Assumptions!$D$12*(AD27/(Assumptions!$AB$10*AR27/100)+AQ27),
"")</f>
        <v/>
      </c>
      <c r="AT27" s="76" t="str">
        <f>IFERROR(
(W27+AE27)*Assumptions!$F$11+
(AF27+AG27)*Assumptions!$F$8+
(AH27+AI27)*Assumptions!$F$9+
(AJ27+AK27)*Assumptions!$F$10,
"")</f>
        <v/>
      </c>
      <c r="AU27" s="77" t="str">
        <f t="shared" si="15"/>
        <v/>
      </c>
      <c r="AV27" s="68" t="str">
        <f t="shared" si="1"/>
        <v/>
      </c>
    </row>
    <row r="28" spans="1:48" x14ac:dyDescent="0.25">
      <c r="A28" s="264"/>
      <c r="B28" s="265"/>
      <c r="C28" s="265"/>
      <c r="D28" s="265"/>
      <c r="E28" s="266"/>
      <c r="F28" s="270"/>
      <c r="G28" s="271"/>
      <c r="H28" s="271"/>
      <c r="I28" s="272"/>
      <c r="J28" s="270"/>
      <c r="K28" s="271"/>
      <c r="L28" s="272"/>
      <c r="M28" s="270"/>
      <c r="N28" s="271"/>
      <c r="O28" s="272"/>
      <c r="P28" s="290"/>
      <c r="Q28" s="314"/>
      <c r="R28" s="51" t="str">
        <f t="shared" si="0"/>
        <v/>
      </c>
      <c r="S28" s="84" t="str">
        <f t="shared" si="2"/>
        <v/>
      </c>
      <c r="T28" s="93" t="str">
        <f t="shared" si="3"/>
        <v/>
      </c>
      <c r="U28" s="100" t="str">
        <f t="shared" si="4"/>
        <v/>
      </c>
      <c r="V28" s="95" t="str">
        <f t="shared" si="5"/>
        <v/>
      </c>
      <c r="W28" s="95" t="str">
        <f t="shared" si="6"/>
        <v/>
      </c>
      <c r="X28" s="96" t="str">
        <f>IFERROR(U28*V28*Assumptions!$B$15/3956,"")</f>
        <v/>
      </c>
      <c r="Y28" s="102" t="str">
        <f t="shared" si="7"/>
        <v/>
      </c>
      <c r="Z28" s="95" t="str">
        <f t="shared" si="8"/>
        <v/>
      </c>
      <c r="AA28" s="96" t="str">
        <f>IFERROR(Y28*Z28*Assumptions!$B$15/3956,"")</f>
        <v/>
      </c>
      <c r="AB28" s="100" t="str">
        <f t="shared" si="9"/>
        <v/>
      </c>
      <c r="AC28" s="95" t="str">
        <f t="shared" si="10"/>
        <v/>
      </c>
      <c r="AD28" s="96" t="str">
        <f>IFERROR(AB28*AC28*Assumptions!$B$15/3956,"")</f>
        <v/>
      </c>
      <c r="AE28" s="94" t="str">
        <f>IFERROR(
IF(P28&lt;=5,
(Assumptions!$W$8*(W28/P28)^2+(Assumptions!$X$8*(W28/P28))+Assumptions!$Y$8),
IF(P28&lt;=20,
(Assumptions!$W$9*(W28/P28)^2+(Assumptions!$X$9*(W28/P28))+Assumptions!$Y$9),
IF(P28&lt;=50,
(Assumptions!$W$10*(W28/P28)^2+(Assumptions!$X$10*(W28/P28))+Assumptions!$Y$10),
(Assumptions!$W$11*(W28/P28)^2+(Assumptions!$X$11+(W28/P28))+Assumptions!$Y$11)))),
"")</f>
        <v/>
      </c>
      <c r="AF28" s="99" t="str">
        <f t="shared" si="11"/>
        <v/>
      </c>
      <c r="AG28" s="95" t="str">
        <f>IFERROR(
IF(P28&lt;=5,
(Assumptions!$W$8*(AF28/P28)^2+(Assumptions!$X$8*(AF28/P28))+Assumptions!$Y$8),
IF(P28&lt;=20,
(Assumptions!$W$9*(AF28/P28)^2+(Assumptions!$X$9*(AF28/P28))+Assumptions!$Y$9),
IF(P28&lt;=50,
(Assumptions!$W$10*(AF28/P28)^2+(Assumptions!$X$10*(AF28/P28))+Assumptions!$Y$10),
(Assumptions!$W$11*(AF28/P28)^2+(Assumptions!$X$11+(AF28/P28))+Assumptions!$Y$11)))),
"")</f>
        <v/>
      </c>
      <c r="AH28" s="95" t="str">
        <f t="shared" si="12"/>
        <v/>
      </c>
      <c r="AI28" s="95" t="str">
        <f>IFERROR(
IF(P28&lt;=5,
(Assumptions!$W$8*(AH28/P28)^2+(Assumptions!$X$8*(AH28/P28))+Assumptions!$Y$8),
IF(P28&lt;=20,
(Assumptions!$W$9*(AH28/P28)^2+(Assumptions!$X$9*(AH28/P28))+Assumptions!$Y$9),
IF(P28&lt;=50,
(Assumptions!$W$10*(AH28/P28)^2+(Assumptions!$X$10*(AH28/P28))+Assumptions!$Y$10),
(Assumptions!$W$11*(AH28/P28)^2+(Assumptions!$X$11+(AH28/P28))+Assumptions!$Y$11)))),"")</f>
        <v/>
      </c>
      <c r="AJ28" s="95" t="str">
        <f t="shared" si="13"/>
        <v/>
      </c>
      <c r="AK28" s="96" t="str">
        <f>IFERROR(
IF(P28&lt;=5,
(Assumptions!$W$8*(AJ28/P28)^2+(Assumptions!$X$8*(AJ28/P28))+Assumptions!$Y$8),
IF(P28&lt;=20,
(Assumptions!$W$9*(AJ28/P28)^2+(Assumptions!$X$9*(AJ28/P28))+Assumptions!$Y$9),
IF(P28&lt;=50,
(Assumptions!$W$10*(AJ28/P28)^2+(Assumptions!$X$10*(AJ28/P28))+Assumptions!$Y$10),
(Assumptions!$W$11*(AJ28/P28)^2+(Assumptions!$X$11+(AJ28/P28))+Assumptions!$Y$11)))),
"")</f>
        <v/>
      </c>
      <c r="AL28" s="99" t="str">
        <f>IFERROR(
IF(C28="VTS",
IF(P28&gt;=AVERAGE(
INDEX(Assumptions!$I$38:$I$57,MATCH(P28,Assumptions!$I$38:$I$57,-1)),
INDEX(Assumptions!$I$38:$I$57,MATCH(P28,Assumptions!$I$38:$I$57,-1)+1)),
INDEX(Assumptions!$I$38:$I$57,MATCH(P28,Assumptions!$I$38:$I$57,-1)),
INDEX(Assumptions!$I$38:$I$57,MATCH(P28,Assumptions!$I$38:$I$57,-1)+1)),
IF(P28&gt;=AVERAGE(
INDEX(Assumptions!$I$13:$I$32,MATCH(P28,Assumptions!$I$13:$I$32,-1)),
INDEX(Assumptions!$I$13:$I$32,MATCH(P28,Assumptions!$I$13:$I$32,-1)+1)),
INDEX(Assumptions!$I$13:$I$32,MATCH(P28,Assumptions!$I$13:$I$32,-1)),
INDEX(Assumptions!$I$13:$I$32,MATCH(P28,Assumptions!$I$13:$I$32,-1)+1))),
"")</f>
        <v/>
      </c>
      <c r="AM28" s="95" t="str">
        <f>IFERROR(
IF(C28="VTS",
VLOOKUP(AL28,Assumptions!$I$38:$K$57,MATCH(R28,Assumptions!$I$37:$K$37,0),FALSE),
VLOOKUP(AL28,Assumptions!$I$13:$K$32,MATCH(R28,Assumptions!$I$12:$K$12,0),FALSE)),
"")</f>
        <v/>
      </c>
      <c r="AN28" s="95" t="str">
        <f t="shared" si="14"/>
        <v/>
      </c>
      <c r="AO28" s="95" t="str">
        <f>IFERROR(AN28*
(Assumptions!$S$7*(X28/(AR28*Assumptions!$AB$9/100)/P28)^3+
Assumptions!$S$8*(X28/(AR28*Assumptions!$AB$9/100)/P28)^2+
Assumptions!$S$9*(X28/(AR28*Assumptions!$AB$9/100)/P28)+
Assumptions!$S$10),"")</f>
        <v/>
      </c>
      <c r="AP28" s="95" t="str">
        <f>IFERROR(AN28*
(Assumptions!$S$7*(AA28/(AR28*Assumptions!$AB$8/100)/P28)^3+
Assumptions!$S$8*(AA28/(AR28*Assumptions!$AB$8/100)/P28)^2+
Assumptions!$S$9*(AA28/(AR28*Assumptions!$AB$8/100)/P28)+
Assumptions!$S$10),"")</f>
        <v/>
      </c>
      <c r="AQ28" s="95" t="str">
        <f>IFERROR(AN28*
(Assumptions!$S$7*(AD28/(AR28*Assumptions!$AB$10/100)/P28)^3+
Assumptions!$S$8*(AD28/(AR28*Assumptions!$AB$10/100)/P28)^2+
Assumptions!$S$9*(AD28/(AR28*Assumptions!$AB$10/100)/P28)+
Assumptions!$S$10),"")</f>
        <v/>
      </c>
      <c r="AR28" s="95" t="str">
        <f>IFERROR(
Assumptions!$AD$8*LN(U28)^2+
Assumptions!$AE$8*LN(T28)*LN(U28)+
Assumptions!$AF$8*LN(T28)^2+
Assumptions!$AG$8*LN(U28)+
Assumptions!$AH$8*LN(T28)-
(IF(S28=1800,
VLOOKUP(C28,Assumptions!$AA$13:$AC$17,3),
IF(S28=3600,
VLOOKUP(C28,Assumptions!$AA$18:$AC$22,3),
""))+Assumptions!$AI$8),
"")</f>
        <v/>
      </c>
      <c r="AS28" s="96" t="str">
        <f>IFERROR(
Assumptions!$D$11*(X28/(Assumptions!$AB$9*AR28/100)+AO28)+
Assumptions!$D$10*(AA28/(Assumptions!$AB$8*AR28/100)+AP28)+
Assumptions!$D$12*(AD28/(Assumptions!$AB$10*AR28/100)+AQ28),
"")</f>
        <v/>
      </c>
      <c r="AT28" s="76" t="str">
        <f>IFERROR(
(W28+AE28)*Assumptions!$F$11+
(AF28+AG28)*Assumptions!$F$8+
(AH28+AI28)*Assumptions!$F$9+
(AJ28+AK28)*Assumptions!$F$10,
"")</f>
        <v/>
      </c>
      <c r="AU28" s="77" t="str">
        <f t="shared" si="15"/>
        <v/>
      </c>
      <c r="AV28" s="68" t="str">
        <f t="shared" si="1"/>
        <v/>
      </c>
    </row>
    <row r="29" spans="1:48" x14ac:dyDescent="0.25">
      <c r="A29" s="264"/>
      <c r="B29" s="265"/>
      <c r="C29" s="265"/>
      <c r="D29" s="265"/>
      <c r="E29" s="266"/>
      <c r="F29" s="270"/>
      <c r="G29" s="271"/>
      <c r="H29" s="271"/>
      <c r="I29" s="272"/>
      <c r="J29" s="270"/>
      <c r="K29" s="271"/>
      <c r="L29" s="272"/>
      <c r="M29" s="270"/>
      <c r="N29" s="271"/>
      <c r="O29" s="272"/>
      <c r="P29" s="290"/>
      <c r="Q29" s="314"/>
      <c r="R29" s="51" t="str">
        <f t="shared" si="0"/>
        <v/>
      </c>
      <c r="S29" s="84" t="str">
        <f t="shared" si="2"/>
        <v/>
      </c>
      <c r="T29" s="93" t="str">
        <f t="shared" si="3"/>
        <v/>
      </c>
      <c r="U29" s="100" t="str">
        <f t="shared" si="4"/>
        <v/>
      </c>
      <c r="V29" s="95" t="str">
        <f t="shared" si="5"/>
        <v/>
      </c>
      <c r="W29" s="95" t="str">
        <f t="shared" si="6"/>
        <v/>
      </c>
      <c r="X29" s="96" t="str">
        <f>IFERROR(U29*V29*Assumptions!$B$15/3956,"")</f>
        <v/>
      </c>
      <c r="Y29" s="102" t="str">
        <f t="shared" si="7"/>
        <v/>
      </c>
      <c r="Z29" s="95" t="str">
        <f t="shared" si="8"/>
        <v/>
      </c>
      <c r="AA29" s="96" t="str">
        <f>IFERROR(Y29*Z29*Assumptions!$B$15/3956,"")</f>
        <v/>
      </c>
      <c r="AB29" s="100" t="str">
        <f t="shared" si="9"/>
        <v/>
      </c>
      <c r="AC29" s="95" t="str">
        <f t="shared" si="10"/>
        <v/>
      </c>
      <c r="AD29" s="96" t="str">
        <f>IFERROR(AB29*AC29*Assumptions!$B$15/3956,"")</f>
        <v/>
      </c>
      <c r="AE29" s="94" t="str">
        <f>IFERROR(
IF(P29&lt;=5,
(Assumptions!$W$8*(W29/P29)^2+(Assumptions!$X$8*(W29/P29))+Assumptions!$Y$8),
IF(P29&lt;=20,
(Assumptions!$W$9*(W29/P29)^2+(Assumptions!$X$9*(W29/P29))+Assumptions!$Y$9),
IF(P29&lt;=50,
(Assumptions!$W$10*(W29/P29)^2+(Assumptions!$X$10*(W29/P29))+Assumptions!$Y$10),
(Assumptions!$W$11*(W29/P29)^2+(Assumptions!$X$11+(W29/P29))+Assumptions!$Y$11)))),
"")</f>
        <v/>
      </c>
      <c r="AF29" s="99" t="str">
        <f t="shared" si="11"/>
        <v/>
      </c>
      <c r="AG29" s="95" t="str">
        <f>IFERROR(
IF(P29&lt;=5,
(Assumptions!$W$8*(AF29/P29)^2+(Assumptions!$X$8*(AF29/P29))+Assumptions!$Y$8),
IF(P29&lt;=20,
(Assumptions!$W$9*(AF29/P29)^2+(Assumptions!$X$9*(AF29/P29))+Assumptions!$Y$9),
IF(P29&lt;=50,
(Assumptions!$W$10*(AF29/P29)^2+(Assumptions!$X$10*(AF29/P29))+Assumptions!$Y$10),
(Assumptions!$W$11*(AF29/P29)^2+(Assumptions!$X$11+(AF29/P29))+Assumptions!$Y$11)))),
"")</f>
        <v/>
      </c>
      <c r="AH29" s="95" t="str">
        <f t="shared" si="12"/>
        <v/>
      </c>
      <c r="AI29" s="95" t="str">
        <f>IFERROR(
IF(P29&lt;=5,
(Assumptions!$W$8*(AH29/P29)^2+(Assumptions!$X$8*(AH29/P29))+Assumptions!$Y$8),
IF(P29&lt;=20,
(Assumptions!$W$9*(AH29/P29)^2+(Assumptions!$X$9*(AH29/P29))+Assumptions!$Y$9),
IF(P29&lt;=50,
(Assumptions!$W$10*(AH29/P29)^2+(Assumptions!$X$10*(AH29/P29))+Assumptions!$Y$10),
(Assumptions!$W$11*(AH29/P29)^2+(Assumptions!$X$11+(AH29/P29))+Assumptions!$Y$11)))),"")</f>
        <v/>
      </c>
      <c r="AJ29" s="95" t="str">
        <f t="shared" si="13"/>
        <v/>
      </c>
      <c r="AK29" s="96" t="str">
        <f>IFERROR(
IF(P29&lt;=5,
(Assumptions!$W$8*(AJ29/P29)^2+(Assumptions!$X$8*(AJ29/P29))+Assumptions!$Y$8),
IF(P29&lt;=20,
(Assumptions!$W$9*(AJ29/P29)^2+(Assumptions!$X$9*(AJ29/P29))+Assumptions!$Y$9),
IF(P29&lt;=50,
(Assumptions!$W$10*(AJ29/P29)^2+(Assumptions!$X$10*(AJ29/P29))+Assumptions!$Y$10),
(Assumptions!$W$11*(AJ29/P29)^2+(Assumptions!$X$11+(AJ29/P29))+Assumptions!$Y$11)))),
"")</f>
        <v/>
      </c>
      <c r="AL29" s="99" t="str">
        <f>IFERROR(
IF(C29="VTS",
IF(P29&gt;=AVERAGE(
INDEX(Assumptions!$I$38:$I$57,MATCH(P29,Assumptions!$I$38:$I$57,-1)),
INDEX(Assumptions!$I$38:$I$57,MATCH(P29,Assumptions!$I$38:$I$57,-1)+1)),
INDEX(Assumptions!$I$38:$I$57,MATCH(P29,Assumptions!$I$38:$I$57,-1)),
INDEX(Assumptions!$I$38:$I$57,MATCH(P29,Assumptions!$I$38:$I$57,-1)+1)),
IF(P29&gt;=AVERAGE(
INDEX(Assumptions!$I$13:$I$32,MATCH(P29,Assumptions!$I$13:$I$32,-1)),
INDEX(Assumptions!$I$13:$I$32,MATCH(P29,Assumptions!$I$13:$I$32,-1)+1)),
INDEX(Assumptions!$I$13:$I$32,MATCH(P29,Assumptions!$I$13:$I$32,-1)),
INDEX(Assumptions!$I$13:$I$32,MATCH(P29,Assumptions!$I$13:$I$32,-1)+1))),
"")</f>
        <v/>
      </c>
      <c r="AM29" s="95" t="str">
        <f>IFERROR(
IF(C29="VTS",
VLOOKUP(AL29,Assumptions!$I$38:$K$57,MATCH(R29,Assumptions!$I$37:$K$37,0),FALSE),
VLOOKUP(AL29,Assumptions!$I$13:$K$32,MATCH(R29,Assumptions!$I$12:$K$12,0),FALSE)),
"")</f>
        <v/>
      </c>
      <c r="AN29" s="95" t="str">
        <f t="shared" si="14"/>
        <v/>
      </c>
      <c r="AO29" s="95" t="str">
        <f>IFERROR(AN29*
(Assumptions!$S$7*(X29/(AR29*Assumptions!$AB$9/100)/P29)^3+
Assumptions!$S$8*(X29/(AR29*Assumptions!$AB$9/100)/P29)^2+
Assumptions!$S$9*(X29/(AR29*Assumptions!$AB$9/100)/P29)+
Assumptions!$S$10),"")</f>
        <v/>
      </c>
      <c r="AP29" s="95" t="str">
        <f>IFERROR(AN29*
(Assumptions!$S$7*(AA29/(AR29*Assumptions!$AB$8/100)/P29)^3+
Assumptions!$S$8*(AA29/(AR29*Assumptions!$AB$8/100)/P29)^2+
Assumptions!$S$9*(AA29/(AR29*Assumptions!$AB$8/100)/P29)+
Assumptions!$S$10),"")</f>
        <v/>
      </c>
      <c r="AQ29" s="95" t="str">
        <f>IFERROR(AN29*
(Assumptions!$S$7*(AD29/(AR29*Assumptions!$AB$10/100)/P29)^3+
Assumptions!$S$8*(AD29/(AR29*Assumptions!$AB$10/100)/P29)^2+
Assumptions!$S$9*(AD29/(AR29*Assumptions!$AB$10/100)/P29)+
Assumptions!$S$10),"")</f>
        <v/>
      </c>
      <c r="AR29" s="95" t="str">
        <f>IFERROR(
Assumptions!$AD$8*LN(U29)^2+
Assumptions!$AE$8*LN(T29)*LN(U29)+
Assumptions!$AF$8*LN(T29)^2+
Assumptions!$AG$8*LN(U29)+
Assumptions!$AH$8*LN(T29)-
(IF(S29=1800,
VLOOKUP(C29,Assumptions!$AA$13:$AC$17,3),
IF(S29=3600,
VLOOKUP(C29,Assumptions!$AA$18:$AC$22,3),
""))+Assumptions!$AI$8),
"")</f>
        <v/>
      </c>
      <c r="AS29" s="96" t="str">
        <f>IFERROR(
Assumptions!$D$11*(X29/(Assumptions!$AB$9*AR29/100)+AO29)+
Assumptions!$D$10*(AA29/(Assumptions!$AB$8*AR29/100)+AP29)+
Assumptions!$D$12*(AD29/(Assumptions!$AB$10*AR29/100)+AQ29),
"")</f>
        <v/>
      </c>
      <c r="AT29" s="76" t="str">
        <f>IFERROR(
(W29+AE29)*Assumptions!$F$11+
(AF29+AG29)*Assumptions!$F$8+
(AH29+AI29)*Assumptions!$F$9+
(AJ29+AK29)*Assumptions!$F$10,
"")</f>
        <v/>
      </c>
      <c r="AU29" s="77" t="str">
        <f t="shared" si="15"/>
        <v/>
      </c>
      <c r="AV29" s="68" t="str">
        <f t="shared" si="1"/>
        <v/>
      </c>
    </row>
    <row r="30" spans="1:48" x14ac:dyDescent="0.25">
      <c r="A30" s="264"/>
      <c r="B30" s="265"/>
      <c r="C30" s="265"/>
      <c r="D30" s="265"/>
      <c r="E30" s="266"/>
      <c r="F30" s="270"/>
      <c r="G30" s="271"/>
      <c r="H30" s="271"/>
      <c r="I30" s="272"/>
      <c r="J30" s="270"/>
      <c r="K30" s="271"/>
      <c r="L30" s="272"/>
      <c r="M30" s="270"/>
      <c r="N30" s="271"/>
      <c r="O30" s="272"/>
      <c r="P30" s="290"/>
      <c r="Q30" s="314"/>
      <c r="R30" s="51" t="str">
        <f t="shared" si="0"/>
        <v/>
      </c>
      <c r="S30" s="84" t="str">
        <f t="shared" si="2"/>
        <v/>
      </c>
      <c r="T30" s="93" t="str">
        <f t="shared" si="3"/>
        <v/>
      </c>
      <c r="U30" s="100" t="str">
        <f t="shared" si="4"/>
        <v/>
      </c>
      <c r="V30" s="95" t="str">
        <f t="shared" si="5"/>
        <v/>
      </c>
      <c r="W30" s="95" t="str">
        <f t="shared" si="6"/>
        <v/>
      </c>
      <c r="X30" s="96" t="str">
        <f>IFERROR(U30*V30*Assumptions!$B$15/3956,"")</f>
        <v/>
      </c>
      <c r="Y30" s="102" t="str">
        <f t="shared" si="7"/>
        <v/>
      </c>
      <c r="Z30" s="95" t="str">
        <f t="shared" si="8"/>
        <v/>
      </c>
      <c r="AA30" s="96" t="str">
        <f>IFERROR(Y30*Z30*Assumptions!$B$15/3956,"")</f>
        <v/>
      </c>
      <c r="AB30" s="100" t="str">
        <f t="shared" si="9"/>
        <v/>
      </c>
      <c r="AC30" s="95" t="str">
        <f t="shared" si="10"/>
        <v/>
      </c>
      <c r="AD30" s="96" t="str">
        <f>IFERROR(AB30*AC30*Assumptions!$B$15/3956,"")</f>
        <v/>
      </c>
      <c r="AE30" s="94" t="str">
        <f>IFERROR(
IF(P30&lt;=5,
(Assumptions!$W$8*(W30/P30)^2+(Assumptions!$X$8*(W30/P30))+Assumptions!$Y$8),
IF(P30&lt;=20,
(Assumptions!$W$9*(W30/P30)^2+(Assumptions!$X$9*(W30/P30))+Assumptions!$Y$9),
IF(P30&lt;=50,
(Assumptions!$W$10*(W30/P30)^2+(Assumptions!$X$10*(W30/P30))+Assumptions!$Y$10),
(Assumptions!$W$11*(W30/P30)^2+(Assumptions!$X$11+(W30/P30))+Assumptions!$Y$11)))),
"")</f>
        <v/>
      </c>
      <c r="AF30" s="99" t="str">
        <f t="shared" si="11"/>
        <v/>
      </c>
      <c r="AG30" s="95" t="str">
        <f>IFERROR(
IF(P30&lt;=5,
(Assumptions!$W$8*(AF30/P30)^2+(Assumptions!$X$8*(AF30/P30))+Assumptions!$Y$8),
IF(P30&lt;=20,
(Assumptions!$W$9*(AF30/P30)^2+(Assumptions!$X$9*(AF30/P30))+Assumptions!$Y$9),
IF(P30&lt;=50,
(Assumptions!$W$10*(AF30/P30)^2+(Assumptions!$X$10*(AF30/P30))+Assumptions!$Y$10),
(Assumptions!$W$11*(AF30/P30)^2+(Assumptions!$X$11+(AF30/P30))+Assumptions!$Y$11)))),
"")</f>
        <v/>
      </c>
      <c r="AH30" s="95" t="str">
        <f t="shared" si="12"/>
        <v/>
      </c>
      <c r="AI30" s="95" t="str">
        <f>IFERROR(
IF(P30&lt;=5,
(Assumptions!$W$8*(AH30/P30)^2+(Assumptions!$X$8*(AH30/P30))+Assumptions!$Y$8),
IF(P30&lt;=20,
(Assumptions!$W$9*(AH30/P30)^2+(Assumptions!$X$9*(AH30/P30))+Assumptions!$Y$9),
IF(P30&lt;=50,
(Assumptions!$W$10*(AH30/P30)^2+(Assumptions!$X$10*(AH30/P30))+Assumptions!$Y$10),
(Assumptions!$W$11*(AH30/P30)^2+(Assumptions!$X$11+(AH30/P30))+Assumptions!$Y$11)))),"")</f>
        <v/>
      </c>
      <c r="AJ30" s="95" t="str">
        <f t="shared" si="13"/>
        <v/>
      </c>
      <c r="AK30" s="96" t="str">
        <f>IFERROR(
IF(P30&lt;=5,
(Assumptions!$W$8*(AJ30/P30)^2+(Assumptions!$X$8*(AJ30/P30))+Assumptions!$Y$8),
IF(P30&lt;=20,
(Assumptions!$W$9*(AJ30/P30)^2+(Assumptions!$X$9*(AJ30/P30))+Assumptions!$Y$9),
IF(P30&lt;=50,
(Assumptions!$W$10*(AJ30/P30)^2+(Assumptions!$X$10*(AJ30/P30))+Assumptions!$Y$10),
(Assumptions!$W$11*(AJ30/P30)^2+(Assumptions!$X$11+(AJ30/P30))+Assumptions!$Y$11)))),
"")</f>
        <v/>
      </c>
      <c r="AL30" s="99" t="str">
        <f>IFERROR(
IF(C30="VTS",
IF(P30&gt;=AVERAGE(
INDEX(Assumptions!$I$38:$I$57,MATCH(P30,Assumptions!$I$38:$I$57,-1)),
INDEX(Assumptions!$I$38:$I$57,MATCH(P30,Assumptions!$I$38:$I$57,-1)+1)),
INDEX(Assumptions!$I$38:$I$57,MATCH(P30,Assumptions!$I$38:$I$57,-1)),
INDEX(Assumptions!$I$38:$I$57,MATCH(P30,Assumptions!$I$38:$I$57,-1)+1)),
IF(P30&gt;=AVERAGE(
INDEX(Assumptions!$I$13:$I$32,MATCH(P30,Assumptions!$I$13:$I$32,-1)),
INDEX(Assumptions!$I$13:$I$32,MATCH(P30,Assumptions!$I$13:$I$32,-1)+1)),
INDEX(Assumptions!$I$13:$I$32,MATCH(P30,Assumptions!$I$13:$I$32,-1)),
INDEX(Assumptions!$I$13:$I$32,MATCH(P30,Assumptions!$I$13:$I$32,-1)+1))),
"")</f>
        <v/>
      </c>
      <c r="AM30" s="95" t="str">
        <f>IFERROR(
IF(C30="VTS",
VLOOKUP(AL30,Assumptions!$I$38:$K$57,MATCH(R30,Assumptions!$I$37:$K$37,0),FALSE),
VLOOKUP(AL30,Assumptions!$I$13:$K$32,MATCH(R30,Assumptions!$I$12:$K$12,0),FALSE)),
"")</f>
        <v/>
      </c>
      <c r="AN30" s="95" t="str">
        <f t="shared" si="14"/>
        <v/>
      </c>
      <c r="AO30" s="95" t="str">
        <f>IFERROR(AN30*
(Assumptions!$S$7*(X30/(AR30*Assumptions!$AB$9/100)/P30)^3+
Assumptions!$S$8*(X30/(AR30*Assumptions!$AB$9/100)/P30)^2+
Assumptions!$S$9*(X30/(AR30*Assumptions!$AB$9/100)/P30)+
Assumptions!$S$10),"")</f>
        <v/>
      </c>
      <c r="AP30" s="95" t="str">
        <f>IFERROR(AN30*
(Assumptions!$S$7*(AA30/(AR30*Assumptions!$AB$8/100)/P30)^3+
Assumptions!$S$8*(AA30/(AR30*Assumptions!$AB$8/100)/P30)^2+
Assumptions!$S$9*(AA30/(AR30*Assumptions!$AB$8/100)/P30)+
Assumptions!$S$10),"")</f>
        <v/>
      </c>
      <c r="AQ30" s="95" t="str">
        <f>IFERROR(AN30*
(Assumptions!$S$7*(AD30/(AR30*Assumptions!$AB$10/100)/P30)^3+
Assumptions!$S$8*(AD30/(AR30*Assumptions!$AB$10/100)/P30)^2+
Assumptions!$S$9*(AD30/(AR30*Assumptions!$AB$10/100)/P30)+
Assumptions!$S$10),"")</f>
        <v/>
      </c>
      <c r="AR30" s="95" t="str">
        <f>IFERROR(
Assumptions!$AD$8*LN(U30)^2+
Assumptions!$AE$8*LN(T30)*LN(U30)+
Assumptions!$AF$8*LN(T30)^2+
Assumptions!$AG$8*LN(U30)+
Assumptions!$AH$8*LN(T30)-
(IF(S30=1800,
VLOOKUP(C30,Assumptions!$AA$13:$AC$17,3),
IF(S30=3600,
VLOOKUP(C30,Assumptions!$AA$18:$AC$22,3),
""))+Assumptions!$AI$8),
"")</f>
        <v/>
      </c>
      <c r="AS30" s="96" t="str">
        <f>IFERROR(
Assumptions!$D$11*(X30/(Assumptions!$AB$9*AR30/100)+AO30)+
Assumptions!$D$10*(AA30/(Assumptions!$AB$8*AR30/100)+AP30)+
Assumptions!$D$12*(AD30/(Assumptions!$AB$10*AR30/100)+AQ30),
"")</f>
        <v/>
      </c>
      <c r="AT30" s="76" t="str">
        <f>IFERROR(
(W30+AE30)*Assumptions!$F$11+
(AF30+AG30)*Assumptions!$F$8+
(AH30+AI30)*Assumptions!$F$9+
(AJ30+AK30)*Assumptions!$F$10,
"")</f>
        <v/>
      </c>
      <c r="AU30" s="77" t="str">
        <f t="shared" si="15"/>
        <v/>
      </c>
      <c r="AV30" s="68" t="str">
        <f t="shared" si="1"/>
        <v/>
      </c>
    </row>
    <row r="31" spans="1:48" x14ac:dyDescent="0.25">
      <c r="A31" s="264"/>
      <c r="B31" s="265"/>
      <c r="C31" s="265"/>
      <c r="D31" s="265"/>
      <c r="E31" s="266"/>
      <c r="F31" s="270"/>
      <c r="G31" s="271"/>
      <c r="H31" s="271"/>
      <c r="I31" s="272"/>
      <c r="J31" s="270"/>
      <c r="K31" s="271"/>
      <c r="L31" s="272"/>
      <c r="M31" s="270"/>
      <c r="N31" s="271"/>
      <c r="O31" s="272"/>
      <c r="P31" s="290"/>
      <c r="Q31" s="314"/>
      <c r="R31" s="51" t="str">
        <f t="shared" si="0"/>
        <v/>
      </c>
      <c r="S31" s="84" t="str">
        <f t="shared" si="2"/>
        <v/>
      </c>
      <c r="T31" s="93" t="str">
        <f t="shared" si="3"/>
        <v/>
      </c>
      <c r="U31" s="100" t="str">
        <f t="shared" si="4"/>
        <v/>
      </c>
      <c r="V31" s="95" t="str">
        <f t="shared" si="5"/>
        <v/>
      </c>
      <c r="W31" s="95" t="str">
        <f t="shared" si="6"/>
        <v/>
      </c>
      <c r="X31" s="96" t="str">
        <f>IFERROR(U31*V31*Assumptions!$B$15/3956,"")</f>
        <v/>
      </c>
      <c r="Y31" s="102" t="str">
        <f t="shared" si="7"/>
        <v/>
      </c>
      <c r="Z31" s="95" t="str">
        <f t="shared" si="8"/>
        <v/>
      </c>
      <c r="AA31" s="96" t="str">
        <f>IFERROR(Y31*Z31*Assumptions!$B$15/3956,"")</f>
        <v/>
      </c>
      <c r="AB31" s="100" t="str">
        <f t="shared" si="9"/>
        <v/>
      </c>
      <c r="AC31" s="95" t="str">
        <f t="shared" si="10"/>
        <v/>
      </c>
      <c r="AD31" s="96" t="str">
        <f>IFERROR(AB31*AC31*Assumptions!$B$15/3956,"")</f>
        <v/>
      </c>
      <c r="AE31" s="94" t="str">
        <f>IFERROR(
IF(P31&lt;=5,
(Assumptions!$W$8*(W31/P31)^2+(Assumptions!$X$8*(W31/P31))+Assumptions!$Y$8),
IF(P31&lt;=20,
(Assumptions!$W$9*(W31/P31)^2+(Assumptions!$X$9*(W31/P31))+Assumptions!$Y$9),
IF(P31&lt;=50,
(Assumptions!$W$10*(W31/P31)^2+(Assumptions!$X$10*(W31/P31))+Assumptions!$Y$10),
(Assumptions!$W$11*(W31/P31)^2+(Assumptions!$X$11+(W31/P31))+Assumptions!$Y$11)))),
"")</f>
        <v/>
      </c>
      <c r="AF31" s="99" t="str">
        <f t="shared" si="11"/>
        <v/>
      </c>
      <c r="AG31" s="95" t="str">
        <f>IFERROR(
IF(P31&lt;=5,
(Assumptions!$W$8*(AF31/P31)^2+(Assumptions!$X$8*(AF31/P31))+Assumptions!$Y$8),
IF(P31&lt;=20,
(Assumptions!$W$9*(AF31/P31)^2+(Assumptions!$X$9*(AF31/P31))+Assumptions!$Y$9),
IF(P31&lt;=50,
(Assumptions!$W$10*(AF31/P31)^2+(Assumptions!$X$10*(AF31/P31))+Assumptions!$Y$10),
(Assumptions!$W$11*(AF31/P31)^2+(Assumptions!$X$11+(AF31/P31))+Assumptions!$Y$11)))),
"")</f>
        <v/>
      </c>
      <c r="AH31" s="95" t="str">
        <f t="shared" si="12"/>
        <v/>
      </c>
      <c r="AI31" s="95" t="str">
        <f>IFERROR(
IF(P31&lt;=5,
(Assumptions!$W$8*(AH31/P31)^2+(Assumptions!$X$8*(AH31/P31))+Assumptions!$Y$8),
IF(P31&lt;=20,
(Assumptions!$W$9*(AH31/P31)^2+(Assumptions!$X$9*(AH31/P31))+Assumptions!$Y$9),
IF(P31&lt;=50,
(Assumptions!$W$10*(AH31/P31)^2+(Assumptions!$X$10*(AH31/P31))+Assumptions!$Y$10),
(Assumptions!$W$11*(AH31/P31)^2+(Assumptions!$X$11+(AH31/P31))+Assumptions!$Y$11)))),"")</f>
        <v/>
      </c>
      <c r="AJ31" s="95" t="str">
        <f t="shared" si="13"/>
        <v/>
      </c>
      <c r="AK31" s="96" t="str">
        <f>IFERROR(
IF(P31&lt;=5,
(Assumptions!$W$8*(AJ31/P31)^2+(Assumptions!$X$8*(AJ31/P31))+Assumptions!$Y$8),
IF(P31&lt;=20,
(Assumptions!$W$9*(AJ31/P31)^2+(Assumptions!$X$9*(AJ31/P31))+Assumptions!$Y$9),
IF(P31&lt;=50,
(Assumptions!$W$10*(AJ31/P31)^2+(Assumptions!$X$10*(AJ31/P31))+Assumptions!$Y$10),
(Assumptions!$W$11*(AJ31/P31)^2+(Assumptions!$X$11+(AJ31/P31))+Assumptions!$Y$11)))),
"")</f>
        <v/>
      </c>
      <c r="AL31" s="99" t="str">
        <f>IFERROR(
IF(C31="VTS",
IF(P31&gt;=AVERAGE(
INDEX(Assumptions!$I$38:$I$57,MATCH(P31,Assumptions!$I$38:$I$57,-1)),
INDEX(Assumptions!$I$38:$I$57,MATCH(P31,Assumptions!$I$38:$I$57,-1)+1)),
INDEX(Assumptions!$I$38:$I$57,MATCH(P31,Assumptions!$I$38:$I$57,-1)),
INDEX(Assumptions!$I$38:$I$57,MATCH(P31,Assumptions!$I$38:$I$57,-1)+1)),
IF(P31&gt;=AVERAGE(
INDEX(Assumptions!$I$13:$I$32,MATCH(P31,Assumptions!$I$13:$I$32,-1)),
INDEX(Assumptions!$I$13:$I$32,MATCH(P31,Assumptions!$I$13:$I$32,-1)+1)),
INDEX(Assumptions!$I$13:$I$32,MATCH(P31,Assumptions!$I$13:$I$32,-1)),
INDEX(Assumptions!$I$13:$I$32,MATCH(P31,Assumptions!$I$13:$I$32,-1)+1))),
"")</f>
        <v/>
      </c>
      <c r="AM31" s="95" t="str">
        <f>IFERROR(
IF(C31="VTS",
VLOOKUP(AL31,Assumptions!$I$38:$K$57,MATCH(R31,Assumptions!$I$37:$K$37,0),FALSE),
VLOOKUP(AL31,Assumptions!$I$13:$K$32,MATCH(R31,Assumptions!$I$12:$K$12,0),FALSE)),
"")</f>
        <v/>
      </c>
      <c r="AN31" s="95" t="str">
        <f t="shared" si="14"/>
        <v/>
      </c>
      <c r="AO31" s="95" t="str">
        <f>IFERROR(AN31*
(Assumptions!$S$7*(X31/(AR31*Assumptions!$AB$9/100)/P31)^3+
Assumptions!$S$8*(X31/(AR31*Assumptions!$AB$9/100)/P31)^2+
Assumptions!$S$9*(X31/(AR31*Assumptions!$AB$9/100)/P31)+
Assumptions!$S$10),"")</f>
        <v/>
      </c>
      <c r="AP31" s="95" t="str">
        <f>IFERROR(AN31*
(Assumptions!$S$7*(AA31/(AR31*Assumptions!$AB$8/100)/P31)^3+
Assumptions!$S$8*(AA31/(AR31*Assumptions!$AB$8/100)/P31)^2+
Assumptions!$S$9*(AA31/(AR31*Assumptions!$AB$8/100)/P31)+
Assumptions!$S$10),"")</f>
        <v/>
      </c>
      <c r="AQ31" s="95" t="str">
        <f>IFERROR(AN31*
(Assumptions!$S$7*(AD31/(AR31*Assumptions!$AB$10/100)/P31)^3+
Assumptions!$S$8*(AD31/(AR31*Assumptions!$AB$10/100)/P31)^2+
Assumptions!$S$9*(AD31/(AR31*Assumptions!$AB$10/100)/P31)+
Assumptions!$S$10),"")</f>
        <v/>
      </c>
      <c r="AR31" s="95" t="str">
        <f>IFERROR(
Assumptions!$AD$8*LN(U31)^2+
Assumptions!$AE$8*LN(T31)*LN(U31)+
Assumptions!$AF$8*LN(T31)^2+
Assumptions!$AG$8*LN(U31)+
Assumptions!$AH$8*LN(T31)-
(IF(S31=1800,
VLOOKUP(C31,Assumptions!$AA$13:$AC$17,3),
IF(S31=3600,
VLOOKUP(C31,Assumptions!$AA$18:$AC$22,3),
""))+Assumptions!$AI$8),
"")</f>
        <v/>
      </c>
      <c r="AS31" s="96" t="str">
        <f>IFERROR(
Assumptions!$D$11*(X31/(Assumptions!$AB$9*AR31/100)+AO31)+
Assumptions!$D$10*(AA31/(Assumptions!$AB$8*AR31/100)+AP31)+
Assumptions!$D$12*(AD31/(Assumptions!$AB$10*AR31/100)+AQ31),
"")</f>
        <v/>
      </c>
      <c r="AT31" s="76" t="str">
        <f>IFERROR(
(W31+AE31)*Assumptions!$F$11+
(AF31+AG31)*Assumptions!$F$8+
(AH31+AI31)*Assumptions!$F$9+
(AJ31+AK31)*Assumptions!$F$10,
"")</f>
        <v/>
      </c>
      <c r="AU31" s="77" t="str">
        <f t="shared" si="15"/>
        <v/>
      </c>
      <c r="AV31" s="68" t="str">
        <f t="shared" si="1"/>
        <v/>
      </c>
    </row>
    <row r="32" spans="1:48" x14ac:dyDescent="0.25">
      <c r="A32" s="264"/>
      <c r="B32" s="265"/>
      <c r="C32" s="265"/>
      <c r="D32" s="265"/>
      <c r="E32" s="266"/>
      <c r="F32" s="270"/>
      <c r="G32" s="271"/>
      <c r="H32" s="271"/>
      <c r="I32" s="272"/>
      <c r="J32" s="270"/>
      <c r="K32" s="271"/>
      <c r="L32" s="272"/>
      <c r="M32" s="270"/>
      <c r="N32" s="271"/>
      <c r="O32" s="272"/>
      <c r="P32" s="290"/>
      <c r="Q32" s="314"/>
      <c r="R32" s="51" t="str">
        <f t="shared" si="0"/>
        <v/>
      </c>
      <c r="S32" s="84" t="str">
        <f t="shared" si="2"/>
        <v/>
      </c>
      <c r="T32" s="93" t="str">
        <f t="shared" si="3"/>
        <v/>
      </c>
      <c r="U32" s="100" t="str">
        <f t="shared" si="4"/>
        <v/>
      </c>
      <c r="V32" s="95" t="str">
        <f t="shared" si="5"/>
        <v/>
      </c>
      <c r="W32" s="95" t="str">
        <f t="shared" si="6"/>
        <v/>
      </c>
      <c r="X32" s="96" t="str">
        <f>IFERROR(U32*V32*Assumptions!$B$15/3956,"")</f>
        <v/>
      </c>
      <c r="Y32" s="102" t="str">
        <f t="shared" si="7"/>
        <v/>
      </c>
      <c r="Z32" s="95" t="str">
        <f t="shared" si="8"/>
        <v/>
      </c>
      <c r="AA32" s="96" t="str">
        <f>IFERROR(Y32*Z32*Assumptions!$B$15/3956,"")</f>
        <v/>
      </c>
      <c r="AB32" s="100" t="str">
        <f t="shared" si="9"/>
        <v/>
      </c>
      <c r="AC32" s="95" t="str">
        <f t="shared" si="10"/>
        <v/>
      </c>
      <c r="AD32" s="96" t="str">
        <f>IFERROR(AB32*AC32*Assumptions!$B$15/3956,"")</f>
        <v/>
      </c>
      <c r="AE32" s="94" t="str">
        <f>IFERROR(
IF(P32&lt;=5,
(Assumptions!$W$8*(W32/P32)^2+(Assumptions!$X$8*(W32/P32))+Assumptions!$Y$8),
IF(P32&lt;=20,
(Assumptions!$W$9*(W32/P32)^2+(Assumptions!$X$9*(W32/P32))+Assumptions!$Y$9),
IF(P32&lt;=50,
(Assumptions!$W$10*(W32/P32)^2+(Assumptions!$X$10*(W32/P32))+Assumptions!$Y$10),
(Assumptions!$W$11*(W32/P32)^2+(Assumptions!$X$11+(W32/P32))+Assumptions!$Y$11)))),
"")</f>
        <v/>
      </c>
      <c r="AF32" s="99" t="str">
        <f t="shared" si="11"/>
        <v/>
      </c>
      <c r="AG32" s="95" t="str">
        <f>IFERROR(
IF(P32&lt;=5,
(Assumptions!$W$8*(AF32/P32)^2+(Assumptions!$X$8*(AF32/P32))+Assumptions!$Y$8),
IF(P32&lt;=20,
(Assumptions!$W$9*(AF32/P32)^2+(Assumptions!$X$9*(AF32/P32))+Assumptions!$Y$9),
IF(P32&lt;=50,
(Assumptions!$W$10*(AF32/P32)^2+(Assumptions!$X$10*(AF32/P32))+Assumptions!$Y$10),
(Assumptions!$W$11*(AF32/P32)^2+(Assumptions!$X$11+(AF32/P32))+Assumptions!$Y$11)))),
"")</f>
        <v/>
      </c>
      <c r="AH32" s="95" t="str">
        <f t="shared" si="12"/>
        <v/>
      </c>
      <c r="AI32" s="95" t="str">
        <f>IFERROR(
IF(P32&lt;=5,
(Assumptions!$W$8*(AH32/P32)^2+(Assumptions!$X$8*(AH32/P32))+Assumptions!$Y$8),
IF(P32&lt;=20,
(Assumptions!$W$9*(AH32/P32)^2+(Assumptions!$X$9*(AH32/P32))+Assumptions!$Y$9),
IF(P32&lt;=50,
(Assumptions!$W$10*(AH32/P32)^2+(Assumptions!$X$10*(AH32/P32))+Assumptions!$Y$10),
(Assumptions!$W$11*(AH32/P32)^2+(Assumptions!$X$11+(AH32/P32))+Assumptions!$Y$11)))),"")</f>
        <v/>
      </c>
      <c r="AJ32" s="95" t="str">
        <f t="shared" si="13"/>
        <v/>
      </c>
      <c r="AK32" s="96" t="str">
        <f>IFERROR(
IF(P32&lt;=5,
(Assumptions!$W$8*(AJ32/P32)^2+(Assumptions!$X$8*(AJ32/P32))+Assumptions!$Y$8),
IF(P32&lt;=20,
(Assumptions!$W$9*(AJ32/P32)^2+(Assumptions!$X$9*(AJ32/P32))+Assumptions!$Y$9),
IF(P32&lt;=50,
(Assumptions!$W$10*(AJ32/P32)^2+(Assumptions!$X$10*(AJ32/P32))+Assumptions!$Y$10),
(Assumptions!$W$11*(AJ32/P32)^2+(Assumptions!$X$11+(AJ32/P32))+Assumptions!$Y$11)))),
"")</f>
        <v/>
      </c>
      <c r="AL32" s="99" t="str">
        <f>IFERROR(
IF(C32="VTS",
IF(P32&gt;=AVERAGE(
INDEX(Assumptions!$I$38:$I$57,MATCH(P32,Assumptions!$I$38:$I$57,-1)),
INDEX(Assumptions!$I$38:$I$57,MATCH(P32,Assumptions!$I$38:$I$57,-1)+1)),
INDEX(Assumptions!$I$38:$I$57,MATCH(P32,Assumptions!$I$38:$I$57,-1)),
INDEX(Assumptions!$I$38:$I$57,MATCH(P32,Assumptions!$I$38:$I$57,-1)+1)),
IF(P32&gt;=AVERAGE(
INDEX(Assumptions!$I$13:$I$32,MATCH(P32,Assumptions!$I$13:$I$32,-1)),
INDEX(Assumptions!$I$13:$I$32,MATCH(P32,Assumptions!$I$13:$I$32,-1)+1)),
INDEX(Assumptions!$I$13:$I$32,MATCH(P32,Assumptions!$I$13:$I$32,-1)),
INDEX(Assumptions!$I$13:$I$32,MATCH(P32,Assumptions!$I$13:$I$32,-1)+1))),
"")</f>
        <v/>
      </c>
      <c r="AM32" s="95" t="str">
        <f>IFERROR(
IF(C32="VTS",
VLOOKUP(AL32,Assumptions!$I$38:$K$57,MATCH(R32,Assumptions!$I$37:$K$37,0),FALSE),
VLOOKUP(AL32,Assumptions!$I$13:$K$32,MATCH(R32,Assumptions!$I$12:$K$12,0),FALSE)),
"")</f>
        <v/>
      </c>
      <c r="AN32" s="95" t="str">
        <f t="shared" si="14"/>
        <v/>
      </c>
      <c r="AO32" s="95" t="str">
        <f>IFERROR(AN32*
(Assumptions!$S$7*(X32/(AR32*Assumptions!$AB$9/100)/P32)^3+
Assumptions!$S$8*(X32/(AR32*Assumptions!$AB$9/100)/P32)^2+
Assumptions!$S$9*(X32/(AR32*Assumptions!$AB$9/100)/P32)+
Assumptions!$S$10),"")</f>
        <v/>
      </c>
      <c r="AP32" s="95" t="str">
        <f>IFERROR(AN32*
(Assumptions!$S$7*(AA32/(AR32*Assumptions!$AB$8/100)/P32)^3+
Assumptions!$S$8*(AA32/(AR32*Assumptions!$AB$8/100)/P32)^2+
Assumptions!$S$9*(AA32/(AR32*Assumptions!$AB$8/100)/P32)+
Assumptions!$S$10),"")</f>
        <v/>
      </c>
      <c r="AQ32" s="95" t="str">
        <f>IFERROR(AN32*
(Assumptions!$S$7*(AD32/(AR32*Assumptions!$AB$10/100)/P32)^3+
Assumptions!$S$8*(AD32/(AR32*Assumptions!$AB$10/100)/P32)^2+
Assumptions!$S$9*(AD32/(AR32*Assumptions!$AB$10/100)/P32)+
Assumptions!$S$10),"")</f>
        <v/>
      </c>
      <c r="AR32" s="95" t="str">
        <f>IFERROR(
Assumptions!$AD$8*LN(U32)^2+
Assumptions!$AE$8*LN(T32)*LN(U32)+
Assumptions!$AF$8*LN(T32)^2+
Assumptions!$AG$8*LN(U32)+
Assumptions!$AH$8*LN(T32)-
(IF(S32=1800,
VLOOKUP(C32,Assumptions!$AA$13:$AC$17,3),
IF(S32=3600,
VLOOKUP(C32,Assumptions!$AA$18:$AC$22,3),
""))+Assumptions!$AI$8),
"")</f>
        <v/>
      </c>
      <c r="AS32" s="96" t="str">
        <f>IFERROR(
Assumptions!$D$11*(X32/(Assumptions!$AB$9*AR32/100)+AO32)+
Assumptions!$D$10*(AA32/(Assumptions!$AB$8*AR32/100)+AP32)+
Assumptions!$D$12*(AD32/(Assumptions!$AB$10*AR32/100)+AQ32),
"")</f>
        <v/>
      </c>
      <c r="AT32" s="76" t="str">
        <f>IFERROR(
(W32+AE32)*Assumptions!$F$11+
(AF32+AG32)*Assumptions!$F$8+
(AH32+AI32)*Assumptions!$F$9+
(AJ32+AK32)*Assumptions!$F$10,
"")</f>
        <v/>
      </c>
      <c r="AU32" s="77" t="str">
        <f t="shared" si="15"/>
        <v/>
      </c>
      <c r="AV32" s="68" t="str">
        <f t="shared" si="1"/>
        <v/>
      </c>
    </row>
    <row r="33" spans="1:48" x14ac:dyDescent="0.25">
      <c r="A33" s="264"/>
      <c r="B33" s="265"/>
      <c r="C33" s="265"/>
      <c r="D33" s="265"/>
      <c r="E33" s="266"/>
      <c r="F33" s="270"/>
      <c r="G33" s="271"/>
      <c r="H33" s="271"/>
      <c r="I33" s="272"/>
      <c r="J33" s="270"/>
      <c r="K33" s="271"/>
      <c r="L33" s="272"/>
      <c r="M33" s="270"/>
      <c r="N33" s="271"/>
      <c r="O33" s="272"/>
      <c r="P33" s="290"/>
      <c r="Q33" s="314"/>
      <c r="R33" s="51" t="str">
        <f t="shared" si="0"/>
        <v/>
      </c>
      <c r="S33" s="84" t="str">
        <f t="shared" si="2"/>
        <v/>
      </c>
      <c r="T33" s="93" t="str">
        <f t="shared" si="3"/>
        <v/>
      </c>
      <c r="U33" s="100" t="str">
        <f t="shared" si="4"/>
        <v/>
      </c>
      <c r="V33" s="95" t="str">
        <f t="shared" si="5"/>
        <v/>
      </c>
      <c r="W33" s="95" t="str">
        <f t="shared" si="6"/>
        <v/>
      </c>
      <c r="X33" s="96" t="str">
        <f>IFERROR(U33*V33*Assumptions!$B$15/3956,"")</f>
        <v/>
      </c>
      <c r="Y33" s="102" t="str">
        <f t="shared" si="7"/>
        <v/>
      </c>
      <c r="Z33" s="95" t="str">
        <f t="shared" si="8"/>
        <v/>
      </c>
      <c r="AA33" s="96" t="str">
        <f>IFERROR(Y33*Z33*Assumptions!$B$15/3956,"")</f>
        <v/>
      </c>
      <c r="AB33" s="100" t="str">
        <f t="shared" si="9"/>
        <v/>
      </c>
      <c r="AC33" s="95" t="str">
        <f t="shared" si="10"/>
        <v/>
      </c>
      <c r="AD33" s="96" t="str">
        <f>IFERROR(AB33*AC33*Assumptions!$B$15/3956,"")</f>
        <v/>
      </c>
      <c r="AE33" s="94" t="str">
        <f>IFERROR(
IF(P33&lt;=5,
(Assumptions!$W$8*(W33/P33)^2+(Assumptions!$X$8*(W33/P33))+Assumptions!$Y$8),
IF(P33&lt;=20,
(Assumptions!$W$9*(W33/P33)^2+(Assumptions!$X$9*(W33/P33))+Assumptions!$Y$9),
IF(P33&lt;=50,
(Assumptions!$W$10*(W33/P33)^2+(Assumptions!$X$10*(W33/P33))+Assumptions!$Y$10),
(Assumptions!$W$11*(W33/P33)^2+(Assumptions!$X$11+(W33/P33))+Assumptions!$Y$11)))),
"")</f>
        <v/>
      </c>
      <c r="AF33" s="99" t="str">
        <f t="shared" si="11"/>
        <v/>
      </c>
      <c r="AG33" s="95" t="str">
        <f>IFERROR(
IF(P33&lt;=5,
(Assumptions!$W$8*(AF33/P33)^2+(Assumptions!$X$8*(AF33/P33))+Assumptions!$Y$8),
IF(P33&lt;=20,
(Assumptions!$W$9*(AF33/P33)^2+(Assumptions!$X$9*(AF33/P33))+Assumptions!$Y$9),
IF(P33&lt;=50,
(Assumptions!$W$10*(AF33/P33)^2+(Assumptions!$X$10*(AF33/P33))+Assumptions!$Y$10),
(Assumptions!$W$11*(AF33/P33)^2+(Assumptions!$X$11+(AF33/P33))+Assumptions!$Y$11)))),
"")</f>
        <v/>
      </c>
      <c r="AH33" s="95" t="str">
        <f t="shared" si="12"/>
        <v/>
      </c>
      <c r="AI33" s="95" t="str">
        <f>IFERROR(
IF(P33&lt;=5,
(Assumptions!$W$8*(AH33/P33)^2+(Assumptions!$X$8*(AH33/P33))+Assumptions!$Y$8),
IF(P33&lt;=20,
(Assumptions!$W$9*(AH33/P33)^2+(Assumptions!$X$9*(AH33/P33))+Assumptions!$Y$9),
IF(P33&lt;=50,
(Assumptions!$W$10*(AH33/P33)^2+(Assumptions!$X$10*(AH33/P33))+Assumptions!$Y$10),
(Assumptions!$W$11*(AH33/P33)^2+(Assumptions!$X$11+(AH33/P33))+Assumptions!$Y$11)))),"")</f>
        <v/>
      </c>
      <c r="AJ33" s="95" t="str">
        <f t="shared" si="13"/>
        <v/>
      </c>
      <c r="AK33" s="96" t="str">
        <f>IFERROR(
IF(P33&lt;=5,
(Assumptions!$W$8*(AJ33/P33)^2+(Assumptions!$X$8*(AJ33/P33))+Assumptions!$Y$8),
IF(P33&lt;=20,
(Assumptions!$W$9*(AJ33/P33)^2+(Assumptions!$X$9*(AJ33/P33))+Assumptions!$Y$9),
IF(P33&lt;=50,
(Assumptions!$W$10*(AJ33/P33)^2+(Assumptions!$X$10*(AJ33/P33))+Assumptions!$Y$10),
(Assumptions!$W$11*(AJ33/P33)^2+(Assumptions!$X$11+(AJ33/P33))+Assumptions!$Y$11)))),
"")</f>
        <v/>
      </c>
      <c r="AL33" s="99" t="str">
        <f>IFERROR(
IF(C33="VTS",
IF(P33&gt;=AVERAGE(
INDEX(Assumptions!$I$38:$I$57,MATCH(P33,Assumptions!$I$38:$I$57,-1)),
INDEX(Assumptions!$I$38:$I$57,MATCH(P33,Assumptions!$I$38:$I$57,-1)+1)),
INDEX(Assumptions!$I$38:$I$57,MATCH(P33,Assumptions!$I$38:$I$57,-1)),
INDEX(Assumptions!$I$38:$I$57,MATCH(P33,Assumptions!$I$38:$I$57,-1)+1)),
IF(P33&gt;=AVERAGE(
INDEX(Assumptions!$I$13:$I$32,MATCH(P33,Assumptions!$I$13:$I$32,-1)),
INDEX(Assumptions!$I$13:$I$32,MATCH(P33,Assumptions!$I$13:$I$32,-1)+1)),
INDEX(Assumptions!$I$13:$I$32,MATCH(P33,Assumptions!$I$13:$I$32,-1)),
INDEX(Assumptions!$I$13:$I$32,MATCH(P33,Assumptions!$I$13:$I$32,-1)+1))),
"")</f>
        <v/>
      </c>
      <c r="AM33" s="95" t="str">
        <f>IFERROR(
IF(C33="VTS",
VLOOKUP(AL33,Assumptions!$I$38:$K$57,MATCH(R33,Assumptions!$I$37:$K$37,0),FALSE),
VLOOKUP(AL33,Assumptions!$I$13:$K$32,MATCH(R33,Assumptions!$I$12:$K$12,0),FALSE)),
"")</f>
        <v/>
      </c>
      <c r="AN33" s="95" t="str">
        <f t="shared" si="14"/>
        <v/>
      </c>
      <c r="AO33" s="95" t="str">
        <f>IFERROR(AN33*
(Assumptions!$S$7*(X33/(AR33*Assumptions!$AB$9/100)/P33)^3+
Assumptions!$S$8*(X33/(AR33*Assumptions!$AB$9/100)/P33)^2+
Assumptions!$S$9*(X33/(AR33*Assumptions!$AB$9/100)/P33)+
Assumptions!$S$10),"")</f>
        <v/>
      </c>
      <c r="AP33" s="95" t="str">
        <f>IFERROR(AN33*
(Assumptions!$S$7*(AA33/(AR33*Assumptions!$AB$8/100)/P33)^3+
Assumptions!$S$8*(AA33/(AR33*Assumptions!$AB$8/100)/P33)^2+
Assumptions!$S$9*(AA33/(AR33*Assumptions!$AB$8/100)/P33)+
Assumptions!$S$10),"")</f>
        <v/>
      </c>
      <c r="AQ33" s="95" t="str">
        <f>IFERROR(AN33*
(Assumptions!$S$7*(AD33/(AR33*Assumptions!$AB$10/100)/P33)^3+
Assumptions!$S$8*(AD33/(AR33*Assumptions!$AB$10/100)/P33)^2+
Assumptions!$S$9*(AD33/(AR33*Assumptions!$AB$10/100)/P33)+
Assumptions!$S$10),"")</f>
        <v/>
      </c>
      <c r="AR33" s="95" t="str">
        <f>IFERROR(
Assumptions!$AD$8*LN(U33)^2+
Assumptions!$AE$8*LN(T33)*LN(U33)+
Assumptions!$AF$8*LN(T33)^2+
Assumptions!$AG$8*LN(U33)+
Assumptions!$AH$8*LN(T33)-
(IF(S33=1800,
VLOOKUP(C33,Assumptions!$AA$13:$AC$17,3),
IF(S33=3600,
VLOOKUP(C33,Assumptions!$AA$18:$AC$22,3),
""))+Assumptions!$AI$8),
"")</f>
        <v/>
      </c>
      <c r="AS33" s="96" t="str">
        <f>IFERROR(
Assumptions!$D$11*(X33/(Assumptions!$AB$9*AR33/100)+AO33)+
Assumptions!$D$10*(AA33/(Assumptions!$AB$8*AR33/100)+AP33)+
Assumptions!$D$12*(AD33/(Assumptions!$AB$10*AR33/100)+AQ33),
"")</f>
        <v/>
      </c>
      <c r="AT33" s="76" t="str">
        <f>IFERROR(
(W33+AE33)*Assumptions!$F$11+
(AF33+AG33)*Assumptions!$F$8+
(AH33+AI33)*Assumptions!$F$9+
(AJ33+AK33)*Assumptions!$F$10,
"")</f>
        <v/>
      </c>
      <c r="AU33" s="77" t="str">
        <f t="shared" si="15"/>
        <v/>
      </c>
      <c r="AV33" s="68" t="str">
        <f t="shared" si="1"/>
        <v/>
      </c>
    </row>
    <row r="34" spans="1:48" x14ac:dyDescent="0.25">
      <c r="A34" s="264"/>
      <c r="B34" s="265"/>
      <c r="C34" s="265"/>
      <c r="D34" s="265"/>
      <c r="E34" s="266"/>
      <c r="F34" s="270"/>
      <c r="G34" s="271"/>
      <c r="H34" s="271"/>
      <c r="I34" s="272"/>
      <c r="J34" s="270"/>
      <c r="K34" s="271"/>
      <c r="L34" s="272"/>
      <c r="M34" s="270"/>
      <c r="N34" s="271"/>
      <c r="O34" s="272"/>
      <c r="P34" s="290"/>
      <c r="Q34" s="314"/>
      <c r="R34" s="51" t="str">
        <f t="shared" si="0"/>
        <v/>
      </c>
      <c r="S34" s="84" t="str">
        <f t="shared" si="2"/>
        <v/>
      </c>
      <c r="T34" s="93" t="str">
        <f t="shared" si="3"/>
        <v/>
      </c>
      <c r="U34" s="100" t="str">
        <f t="shared" si="4"/>
        <v/>
      </c>
      <c r="V34" s="95" t="str">
        <f t="shared" si="5"/>
        <v/>
      </c>
      <c r="W34" s="95" t="str">
        <f t="shared" si="6"/>
        <v/>
      </c>
      <c r="X34" s="96" t="str">
        <f>IFERROR(U34*V34*Assumptions!$B$15/3956,"")</f>
        <v/>
      </c>
      <c r="Y34" s="102" t="str">
        <f t="shared" si="7"/>
        <v/>
      </c>
      <c r="Z34" s="95" t="str">
        <f t="shared" si="8"/>
        <v/>
      </c>
      <c r="AA34" s="96" t="str">
        <f>IFERROR(Y34*Z34*Assumptions!$B$15/3956,"")</f>
        <v/>
      </c>
      <c r="AB34" s="100" t="str">
        <f t="shared" si="9"/>
        <v/>
      </c>
      <c r="AC34" s="95" t="str">
        <f t="shared" si="10"/>
        <v/>
      </c>
      <c r="AD34" s="96" t="str">
        <f>IFERROR(AB34*AC34*Assumptions!$B$15/3956,"")</f>
        <v/>
      </c>
      <c r="AE34" s="94" t="str">
        <f>IFERROR(
IF(P34&lt;=5,
(Assumptions!$W$8*(W34/P34)^2+(Assumptions!$X$8*(W34/P34))+Assumptions!$Y$8),
IF(P34&lt;=20,
(Assumptions!$W$9*(W34/P34)^2+(Assumptions!$X$9*(W34/P34))+Assumptions!$Y$9),
IF(P34&lt;=50,
(Assumptions!$W$10*(W34/P34)^2+(Assumptions!$X$10*(W34/P34))+Assumptions!$Y$10),
(Assumptions!$W$11*(W34/P34)^2+(Assumptions!$X$11+(W34/P34))+Assumptions!$Y$11)))),
"")</f>
        <v/>
      </c>
      <c r="AF34" s="99" t="str">
        <f t="shared" si="11"/>
        <v/>
      </c>
      <c r="AG34" s="95" t="str">
        <f>IFERROR(
IF(P34&lt;=5,
(Assumptions!$W$8*(AF34/P34)^2+(Assumptions!$X$8*(AF34/P34))+Assumptions!$Y$8),
IF(P34&lt;=20,
(Assumptions!$W$9*(AF34/P34)^2+(Assumptions!$X$9*(AF34/P34))+Assumptions!$Y$9),
IF(P34&lt;=50,
(Assumptions!$W$10*(AF34/P34)^2+(Assumptions!$X$10*(AF34/P34))+Assumptions!$Y$10),
(Assumptions!$W$11*(AF34/P34)^2+(Assumptions!$X$11+(AF34/P34))+Assumptions!$Y$11)))),
"")</f>
        <v/>
      </c>
      <c r="AH34" s="95" t="str">
        <f t="shared" si="12"/>
        <v/>
      </c>
      <c r="AI34" s="95" t="str">
        <f>IFERROR(
IF(P34&lt;=5,
(Assumptions!$W$8*(AH34/P34)^2+(Assumptions!$X$8*(AH34/P34))+Assumptions!$Y$8),
IF(P34&lt;=20,
(Assumptions!$W$9*(AH34/P34)^2+(Assumptions!$X$9*(AH34/P34))+Assumptions!$Y$9),
IF(P34&lt;=50,
(Assumptions!$W$10*(AH34/P34)^2+(Assumptions!$X$10*(AH34/P34))+Assumptions!$Y$10),
(Assumptions!$W$11*(AH34/P34)^2+(Assumptions!$X$11+(AH34/P34))+Assumptions!$Y$11)))),"")</f>
        <v/>
      </c>
      <c r="AJ34" s="95" t="str">
        <f t="shared" si="13"/>
        <v/>
      </c>
      <c r="AK34" s="96" t="str">
        <f>IFERROR(
IF(P34&lt;=5,
(Assumptions!$W$8*(AJ34/P34)^2+(Assumptions!$X$8*(AJ34/P34))+Assumptions!$Y$8),
IF(P34&lt;=20,
(Assumptions!$W$9*(AJ34/P34)^2+(Assumptions!$X$9*(AJ34/P34))+Assumptions!$Y$9),
IF(P34&lt;=50,
(Assumptions!$W$10*(AJ34/P34)^2+(Assumptions!$X$10*(AJ34/P34))+Assumptions!$Y$10),
(Assumptions!$W$11*(AJ34/P34)^2+(Assumptions!$X$11+(AJ34/P34))+Assumptions!$Y$11)))),
"")</f>
        <v/>
      </c>
      <c r="AL34" s="99" t="str">
        <f>IFERROR(
IF(C34="VTS",
IF(P34&gt;=AVERAGE(
INDEX(Assumptions!$I$38:$I$57,MATCH(P34,Assumptions!$I$38:$I$57,-1)),
INDEX(Assumptions!$I$38:$I$57,MATCH(P34,Assumptions!$I$38:$I$57,-1)+1)),
INDEX(Assumptions!$I$38:$I$57,MATCH(P34,Assumptions!$I$38:$I$57,-1)),
INDEX(Assumptions!$I$38:$I$57,MATCH(P34,Assumptions!$I$38:$I$57,-1)+1)),
IF(P34&gt;=AVERAGE(
INDEX(Assumptions!$I$13:$I$32,MATCH(P34,Assumptions!$I$13:$I$32,-1)),
INDEX(Assumptions!$I$13:$I$32,MATCH(P34,Assumptions!$I$13:$I$32,-1)+1)),
INDEX(Assumptions!$I$13:$I$32,MATCH(P34,Assumptions!$I$13:$I$32,-1)),
INDEX(Assumptions!$I$13:$I$32,MATCH(P34,Assumptions!$I$13:$I$32,-1)+1))),
"")</f>
        <v/>
      </c>
      <c r="AM34" s="95" t="str">
        <f>IFERROR(
IF(C34="VTS",
VLOOKUP(AL34,Assumptions!$I$38:$K$57,MATCH(R34,Assumptions!$I$37:$K$37,0),FALSE),
VLOOKUP(AL34,Assumptions!$I$13:$K$32,MATCH(R34,Assumptions!$I$12:$K$12,0),FALSE)),
"")</f>
        <v/>
      </c>
      <c r="AN34" s="95" t="str">
        <f t="shared" si="14"/>
        <v/>
      </c>
      <c r="AO34" s="95" t="str">
        <f>IFERROR(AN34*
(Assumptions!$S$7*(X34/(AR34*Assumptions!$AB$9/100)/P34)^3+
Assumptions!$S$8*(X34/(AR34*Assumptions!$AB$9/100)/P34)^2+
Assumptions!$S$9*(X34/(AR34*Assumptions!$AB$9/100)/P34)+
Assumptions!$S$10),"")</f>
        <v/>
      </c>
      <c r="AP34" s="95" t="str">
        <f>IFERROR(AN34*
(Assumptions!$S$7*(AA34/(AR34*Assumptions!$AB$8/100)/P34)^3+
Assumptions!$S$8*(AA34/(AR34*Assumptions!$AB$8/100)/P34)^2+
Assumptions!$S$9*(AA34/(AR34*Assumptions!$AB$8/100)/P34)+
Assumptions!$S$10),"")</f>
        <v/>
      </c>
      <c r="AQ34" s="95" t="str">
        <f>IFERROR(AN34*
(Assumptions!$S$7*(AD34/(AR34*Assumptions!$AB$10/100)/P34)^3+
Assumptions!$S$8*(AD34/(AR34*Assumptions!$AB$10/100)/P34)^2+
Assumptions!$S$9*(AD34/(AR34*Assumptions!$AB$10/100)/P34)+
Assumptions!$S$10),"")</f>
        <v/>
      </c>
      <c r="AR34" s="95" t="str">
        <f>IFERROR(
Assumptions!$AD$8*LN(U34)^2+
Assumptions!$AE$8*LN(T34)*LN(U34)+
Assumptions!$AF$8*LN(T34)^2+
Assumptions!$AG$8*LN(U34)+
Assumptions!$AH$8*LN(T34)-
(IF(S34=1800,
VLOOKUP(C34,Assumptions!$AA$13:$AC$17,3),
IF(S34=3600,
VLOOKUP(C34,Assumptions!$AA$18:$AC$22,3),
""))+Assumptions!$AI$8),
"")</f>
        <v/>
      </c>
      <c r="AS34" s="96" t="str">
        <f>IFERROR(
Assumptions!$D$11*(X34/(Assumptions!$AB$9*AR34/100)+AO34)+
Assumptions!$D$10*(AA34/(Assumptions!$AB$8*AR34/100)+AP34)+
Assumptions!$D$12*(AD34/(Assumptions!$AB$10*AR34/100)+AQ34),
"")</f>
        <v/>
      </c>
      <c r="AT34" s="76" t="str">
        <f>IFERROR(
(W34+AE34)*Assumptions!$F$11+
(AF34+AG34)*Assumptions!$F$8+
(AH34+AI34)*Assumptions!$F$9+
(AJ34+AK34)*Assumptions!$F$10,
"")</f>
        <v/>
      </c>
      <c r="AU34" s="77" t="str">
        <f t="shared" si="15"/>
        <v/>
      </c>
      <c r="AV34" s="68" t="str">
        <f t="shared" si="1"/>
        <v/>
      </c>
    </row>
    <row r="35" spans="1:48" x14ac:dyDescent="0.25">
      <c r="A35" s="264"/>
      <c r="B35" s="265"/>
      <c r="C35" s="265"/>
      <c r="D35" s="265"/>
      <c r="E35" s="266"/>
      <c r="F35" s="270"/>
      <c r="G35" s="271"/>
      <c r="H35" s="271"/>
      <c r="I35" s="272"/>
      <c r="J35" s="270"/>
      <c r="K35" s="271"/>
      <c r="L35" s="272"/>
      <c r="M35" s="270"/>
      <c r="N35" s="271"/>
      <c r="O35" s="272"/>
      <c r="P35" s="290"/>
      <c r="Q35" s="314"/>
      <c r="R35" s="51" t="str">
        <f t="shared" si="0"/>
        <v/>
      </c>
      <c r="S35" s="84" t="str">
        <f t="shared" si="2"/>
        <v/>
      </c>
      <c r="T35" s="93" t="str">
        <f t="shared" si="3"/>
        <v/>
      </c>
      <c r="U35" s="100" t="str">
        <f t="shared" si="4"/>
        <v/>
      </c>
      <c r="V35" s="95" t="str">
        <f t="shared" si="5"/>
        <v/>
      </c>
      <c r="W35" s="95" t="str">
        <f t="shared" si="6"/>
        <v/>
      </c>
      <c r="X35" s="96" t="str">
        <f>IFERROR(U35*V35*Assumptions!$B$15/3956,"")</f>
        <v/>
      </c>
      <c r="Y35" s="102" t="str">
        <f t="shared" si="7"/>
        <v/>
      </c>
      <c r="Z35" s="95" t="str">
        <f t="shared" si="8"/>
        <v/>
      </c>
      <c r="AA35" s="96" t="str">
        <f>IFERROR(Y35*Z35*Assumptions!$B$15/3956,"")</f>
        <v/>
      </c>
      <c r="AB35" s="100" t="str">
        <f t="shared" si="9"/>
        <v/>
      </c>
      <c r="AC35" s="95" t="str">
        <f t="shared" si="10"/>
        <v/>
      </c>
      <c r="AD35" s="96" t="str">
        <f>IFERROR(AB35*AC35*Assumptions!$B$15/3956,"")</f>
        <v/>
      </c>
      <c r="AE35" s="94" t="str">
        <f>IFERROR(
IF(P35&lt;=5,
(Assumptions!$W$8*(W35/P35)^2+(Assumptions!$X$8*(W35/P35))+Assumptions!$Y$8),
IF(P35&lt;=20,
(Assumptions!$W$9*(W35/P35)^2+(Assumptions!$X$9*(W35/P35))+Assumptions!$Y$9),
IF(P35&lt;=50,
(Assumptions!$W$10*(W35/P35)^2+(Assumptions!$X$10*(W35/P35))+Assumptions!$Y$10),
(Assumptions!$W$11*(W35/P35)^2+(Assumptions!$X$11+(W35/P35))+Assumptions!$Y$11)))),
"")</f>
        <v/>
      </c>
      <c r="AF35" s="99" t="str">
        <f t="shared" si="11"/>
        <v/>
      </c>
      <c r="AG35" s="95" t="str">
        <f>IFERROR(
IF(P35&lt;=5,
(Assumptions!$W$8*(AF35/P35)^2+(Assumptions!$X$8*(AF35/P35))+Assumptions!$Y$8),
IF(P35&lt;=20,
(Assumptions!$W$9*(AF35/P35)^2+(Assumptions!$X$9*(AF35/P35))+Assumptions!$Y$9),
IF(P35&lt;=50,
(Assumptions!$W$10*(AF35/P35)^2+(Assumptions!$X$10*(AF35/P35))+Assumptions!$Y$10),
(Assumptions!$W$11*(AF35/P35)^2+(Assumptions!$X$11+(AF35/P35))+Assumptions!$Y$11)))),
"")</f>
        <v/>
      </c>
      <c r="AH35" s="95" t="str">
        <f t="shared" si="12"/>
        <v/>
      </c>
      <c r="AI35" s="95" t="str">
        <f>IFERROR(
IF(P35&lt;=5,
(Assumptions!$W$8*(AH35/P35)^2+(Assumptions!$X$8*(AH35/P35))+Assumptions!$Y$8),
IF(P35&lt;=20,
(Assumptions!$W$9*(AH35/P35)^2+(Assumptions!$X$9*(AH35/P35))+Assumptions!$Y$9),
IF(P35&lt;=50,
(Assumptions!$W$10*(AH35/P35)^2+(Assumptions!$X$10*(AH35/P35))+Assumptions!$Y$10),
(Assumptions!$W$11*(AH35/P35)^2+(Assumptions!$X$11+(AH35/P35))+Assumptions!$Y$11)))),"")</f>
        <v/>
      </c>
      <c r="AJ35" s="95" t="str">
        <f t="shared" si="13"/>
        <v/>
      </c>
      <c r="AK35" s="96" t="str">
        <f>IFERROR(
IF(P35&lt;=5,
(Assumptions!$W$8*(AJ35/P35)^2+(Assumptions!$X$8*(AJ35/P35))+Assumptions!$Y$8),
IF(P35&lt;=20,
(Assumptions!$W$9*(AJ35/P35)^2+(Assumptions!$X$9*(AJ35/P35))+Assumptions!$Y$9),
IF(P35&lt;=50,
(Assumptions!$W$10*(AJ35/P35)^2+(Assumptions!$X$10*(AJ35/P35))+Assumptions!$Y$10),
(Assumptions!$W$11*(AJ35/P35)^2+(Assumptions!$X$11+(AJ35/P35))+Assumptions!$Y$11)))),
"")</f>
        <v/>
      </c>
      <c r="AL35" s="99" t="str">
        <f>IFERROR(
IF(C35="VTS",
IF(P35&gt;=AVERAGE(
INDEX(Assumptions!$I$38:$I$57,MATCH(P35,Assumptions!$I$38:$I$57,-1)),
INDEX(Assumptions!$I$38:$I$57,MATCH(P35,Assumptions!$I$38:$I$57,-1)+1)),
INDEX(Assumptions!$I$38:$I$57,MATCH(P35,Assumptions!$I$38:$I$57,-1)),
INDEX(Assumptions!$I$38:$I$57,MATCH(P35,Assumptions!$I$38:$I$57,-1)+1)),
IF(P35&gt;=AVERAGE(
INDEX(Assumptions!$I$13:$I$32,MATCH(P35,Assumptions!$I$13:$I$32,-1)),
INDEX(Assumptions!$I$13:$I$32,MATCH(P35,Assumptions!$I$13:$I$32,-1)+1)),
INDEX(Assumptions!$I$13:$I$32,MATCH(P35,Assumptions!$I$13:$I$32,-1)),
INDEX(Assumptions!$I$13:$I$32,MATCH(P35,Assumptions!$I$13:$I$32,-1)+1))),
"")</f>
        <v/>
      </c>
      <c r="AM35" s="95" t="str">
        <f>IFERROR(
IF(C35="VTS",
VLOOKUP(AL35,Assumptions!$I$38:$K$57,MATCH(R35,Assumptions!$I$37:$K$37,0),FALSE),
VLOOKUP(AL35,Assumptions!$I$13:$K$32,MATCH(R35,Assumptions!$I$12:$K$12,0),FALSE)),
"")</f>
        <v/>
      </c>
      <c r="AN35" s="95" t="str">
        <f t="shared" si="14"/>
        <v/>
      </c>
      <c r="AO35" s="95" t="str">
        <f>IFERROR(AN35*
(Assumptions!$S$7*(X35/(AR35*Assumptions!$AB$9/100)/P35)^3+
Assumptions!$S$8*(X35/(AR35*Assumptions!$AB$9/100)/P35)^2+
Assumptions!$S$9*(X35/(AR35*Assumptions!$AB$9/100)/P35)+
Assumptions!$S$10),"")</f>
        <v/>
      </c>
      <c r="AP35" s="95" t="str">
        <f>IFERROR(AN35*
(Assumptions!$S$7*(AA35/(AR35*Assumptions!$AB$8/100)/P35)^3+
Assumptions!$S$8*(AA35/(AR35*Assumptions!$AB$8/100)/P35)^2+
Assumptions!$S$9*(AA35/(AR35*Assumptions!$AB$8/100)/P35)+
Assumptions!$S$10),"")</f>
        <v/>
      </c>
      <c r="AQ35" s="95" t="str">
        <f>IFERROR(AN35*
(Assumptions!$S$7*(AD35/(AR35*Assumptions!$AB$10/100)/P35)^3+
Assumptions!$S$8*(AD35/(AR35*Assumptions!$AB$10/100)/P35)^2+
Assumptions!$S$9*(AD35/(AR35*Assumptions!$AB$10/100)/P35)+
Assumptions!$S$10),"")</f>
        <v/>
      </c>
      <c r="AR35" s="95" t="str">
        <f>IFERROR(
Assumptions!$AD$8*LN(U35)^2+
Assumptions!$AE$8*LN(T35)*LN(U35)+
Assumptions!$AF$8*LN(T35)^2+
Assumptions!$AG$8*LN(U35)+
Assumptions!$AH$8*LN(T35)-
(IF(S35=1800,
VLOOKUP(C35,Assumptions!$AA$13:$AC$17,3),
IF(S35=3600,
VLOOKUP(C35,Assumptions!$AA$18:$AC$22,3),
""))+Assumptions!$AI$8),
"")</f>
        <v/>
      </c>
      <c r="AS35" s="96" t="str">
        <f>IFERROR(
Assumptions!$D$11*(X35/(Assumptions!$AB$9*AR35/100)+AO35)+
Assumptions!$D$10*(AA35/(Assumptions!$AB$8*AR35/100)+AP35)+
Assumptions!$D$12*(AD35/(Assumptions!$AB$10*AR35/100)+AQ35),
"")</f>
        <v/>
      </c>
      <c r="AT35" s="76" t="str">
        <f>IFERROR(
(W35+AE35)*Assumptions!$F$11+
(AF35+AG35)*Assumptions!$F$8+
(AH35+AI35)*Assumptions!$F$9+
(AJ35+AK35)*Assumptions!$F$10,
"")</f>
        <v/>
      </c>
      <c r="AU35" s="77" t="str">
        <f t="shared" si="15"/>
        <v/>
      </c>
      <c r="AV35" s="68" t="str">
        <f t="shared" si="1"/>
        <v/>
      </c>
    </row>
    <row r="36" spans="1:48" x14ac:dyDescent="0.25">
      <c r="A36" s="264"/>
      <c r="B36" s="265"/>
      <c r="C36" s="265"/>
      <c r="D36" s="265"/>
      <c r="E36" s="266"/>
      <c r="F36" s="270"/>
      <c r="G36" s="271"/>
      <c r="H36" s="271"/>
      <c r="I36" s="272"/>
      <c r="J36" s="270"/>
      <c r="K36" s="271"/>
      <c r="L36" s="272"/>
      <c r="M36" s="270"/>
      <c r="N36" s="271"/>
      <c r="O36" s="272"/>
      <c r="P36" s="290"/>
      <c r="Q36" s="314"/>
      <c r="R36" s="51" t="str">
        <f t="shared" si="0"/>
        <v/>
      </c>
      <c r="S36" s="84" t="str">
        <f t="shared" si="2"/>
        <v/>
      </c>
      <c r="T36" s="93" t="str">
        <f t="shared" si="3"/>
        <v/>
      </c>
      <c r="U36" s="100" t="str">
        <f t="shared" si="4"/>
        <v/>
      </c>
      <c r="V36" s="95" t="str">
        <f t="shared" si="5"/>
        <v/>
      </c>
      <c r="W36" s="95" t="str">
        <f t="shared" si="6"/>
        <v/>
      </c>
      <c r="X36" s="96" t="str">
        <f>IFERROR(U36*V36*Assumptions!$B$15/3956,"")</f>
        <v/>
      </c>
      <c r="Y36" s="102" t="str">
        <f t="shared" si="7"/>
        <v/>
      </c>
      <c r="Z36" s="95" t="str">
        <f t="shared" si="8"/>
        <v/>
      </c>
      <c r="AA36" s="96" t="str">
        <f>IFERROR(Y36*Z36*Assumptions!$B$15/3956,"")</f>
        <v/>
      </c>
      <c r="AB36" s="100" t="str">
        <f t="shared" si="9"/>
        <v/>
      </c>
      <c r="AC36" s="95" t="str">
        <f t="shared" si="10"/>
        <v/>
      </c>
      <c r="AD36" s="96" t="str">
        <f>IFERROR(AB36*AC36*Assumptions!$B$15/3956,"")</f>
        <v/>
      </c>
      <c r="AE36" s="94" t="str">
        <f>IFERROR(
IF(P36&lt;=5,
(Assumptions!$W$8*(W36/P36)^2+(Assumptions!$X$8*(W36/P36))+Assumptions!$Y$8),
IF(P36&lt;=20,
(Assumptions!$W$9*(W36/P36)^2+(Assumptions!$X$9*(W36/P36))+Assumptions!$Y$9),
IF(P36&lt;=50,
(Assumptions!$W$10*(W36/P36)^2+(Assumptions!$X$10*(W36/P36))+Assumptions!$Y$10),
(Assumptions!$W$11*(W36/P36)^2+(Assumptions!$X$11+(W36/P36))+Assumptions!$Y$11)))),
"")</f>
        <v/>
      </c>
      <c r="AF36" s="99" t="str">
        <f t="shared" si="11"/>
        <v/>
      </c>
      <c r="AG36" s="95" t="str">
        <f>IFERROR(
IF(P36&lt;=5,
(Assumptions!$W$8*(AF36/P36)^2+(Assumptions!$X$8*(AF36/P36))+Assumptions!$Y$8),
IF(P36&lt;=20,
(Assumptions!$W$9*(AF36/P36)^2+(Assumptions!$X$9*(AF36/P36))+Assumptions!$Y$9),
IF(P36&lt;=50,
(Assumptions!$W$10*(AF36/P36)^2+(Assumptions!$X$10*(AF36/P36))+Assumptions!$Y$10),
(Assumptions!$W$11*(AF36/P36)^2+(Assumptions!$X$11+(AF36/P36))+Assumptions!$Y$11)))),
"")</f>
        <v/>
      </c>
      <c r="AH36" s="95" t="str">
        <f t="shared" si="12"/>
        <v/>
      </c>
      <c r="AI36" s="95" t="str">
        <f>IFERROR(
IF(P36&lt;=5,
(Assumptions!$W$8*(AH36/P36)^2+(Assumptions!$X$8*(AH36/P36))+Assumptions!$Y$8),
IF(P36&lt;=20,
(Assumptions!$W$9*(AH36/P36)^2+(Assumptions!$X$9*(AH36/P36))+Assumptions!$Y$9),
IF(P36&lt;=50,
(Assumptions!$W$10*(AH36/P36)^2+(Assumptions!$X$10*(AH36/P36))+Assumptions!$Y$10),
(Assumptions!$W$11*(AH36/P36)^2+(Assumptions!$X$11+(AH36/P36))+Assumptions!$Y$11)))),"")</f>
        <v/>
      </c>
      <c r="AJ36" s="95" t="str">
        <f t="shared" si="13"/>
        <v/>
      </c>
      <c r="AK36" s="96" t="str">
        <f>IFERROR(
IF(P36&lt;=5,
(Assumptions!$W$8*(AJ36/P36)^2+(Assumptions!$X$8*(AJ36/P36))+Assumptions!$Y$8),
IF(P36&lt;=20,
(Assumptions!$W$9*(AJ36/P36)^2+(Assumptions!$X$9*(AJ36/P36))+Assumptions!$Y$9),
IF(P36&lt;=50,
(Assumptions!$W$10*(AJ36/P36)^2+(Assumptions!$X$10*(AJ36/P36))+Assumptions!$Y$10),
(Assumptions!$W$11*(AJ36/P36)^2+(Assumptions!$X$11+(AJ36/P36))+Assumptions!$Y$11)))),
"")</f>
        <v/>
      </c>
      <c r="AL36" s="99" t="str">
        <f>IFERROR(
IF(C36="VTS",
IF(P36&gt;=AVERAGE(
INDEX(Assumptions!$I$38:$I$57,MATCH(P36,Assumptions!$I$38:$I$57,-1)),
INDEX(Assumptions!$I$38:$I$57,MATCH(P36,Assumptions!$I$38:$I$57,-1)+1)),
INDEX(Assumptions!$I$38:$I$57,MATCH(P36,Assumptions!$I$38:$I$57,-1)),
INDEX(Assumptions!$I$38:$I$57,MATCH(P36,Assumptions!$I$38:$I$57,-1)+1)),
IF(P36&gt;=AVERAGE(
INDEX(Assumptions!$I$13:$I$32,MATCH(P36,Assumptions!$I$13:$I$32,-1)),
INDEX(Assumptions!$I$13:$I$32,MATCH(P36,Assumptions!$I$13:$I$32,-1)+1)),
INDEX(Assumptions!$I$13:$I$32,MATCH(P36,Assumptions!$I$13:$I$32,-1)),
INDEX(Assumptions!$I$13:$I$32,MATCH(P36,Assumptions!$I$13:$I$32,-1)+1))),
"")</f>
        <v/>
      </c>
      <c r="AM36" s="95" t="str">
        <f>IFERROR(
IF(C36="VTS",
VLOOKUP(AL36,Assumptions!$I$38:$K$57,MATCH(R36,Assumptions!$I$37:$K$37,0),FALSE),
VLOOKUP(AL36,Assumptions!$I$13:$K$32,MATCH(R36,Assumptions!$I$12:$K$12,0),FALSE)),
"")</f>
        <v/>
      </c>
      <c r="AN36" s="95" t="str">
        <f t="shared" si="14"/>
        <v/>
      </c>
      <c r="AO36" s="95" t="str">
        <f>IFERROR(AN36*
(Assumptions!$S$7*(X36/(AR36*Assumptions!$AB$9/100)/P36)^3+
Assumptions!$S$8*(X36/(AR36*Assumptions!$AB$9/100)/P36)^2+
Assumptions!$S$9*(X36/(AR36*Assumptions!$AB$9/100)/P36)+
Assumptions!$S$10),"")</f>
        <v/>
      </c>
      <c r="AP36" s="95" t="str">
        <f>IFERROR(AN36*
(Assumptions!$S$7*(AA36/(AR36*Assumptions!$AB$8/100)/P36)^3+
Assumptions!$S$8*(AA36/(AR36*Assumptions!$AB$8/100)/P36)^2+
Assumptions!$S$9*(AA36/(AR36*Assumptions!$AB$8/100)/P36)+
Assumptions!$S$10),"")</f>
        <v/>
      </c>
      <c r="AQ36" s="95" t="str">
        <f>IFERROR(AN36*
(Assumptions!$S$7*(AD36/(AR36*Assumptions!$AB$10/100)/P36)^3+
Assumptions!$S$8*(AD36/(AR36*Assumptions!$AB$10/100)/P36)^2+
Assumptions!$S$9*(AD36/(AR36*Assumptions!$AB$10/100)/P36)+
Assumptions!$S$10),"")</f>
        <v/>
      </c>
      <c r="AR36" s="95" t="str">
        <f>IFERROR(
Assumptions!$AD$8*LN(U36)^2+
Assumptions!$AE$8*LN(T36)*LN(U36)+
Assumptions!$AF$8*LN(T36)^2+
Assumptions!$AG$8*LN(U36)+
Assumptions!$AH$8*LN(T36)-
(IF(S36=1800,
VLOOKUP(C36,Assumptions!$AA$13:$AC$17,3),
IF(S36=3600,
VLOOKUP(C36,Assumptions!$AA$18:$AC$22,3),
""))+Assumptions!$AI$8),
"")</f>
        <v/>
      </c>
      <c r="AS36" s="96" t="str">
        <f>IFERROR(
Assumptions!$D$11*(X36/(Assumptions!$AB$9*AR36/100)+AO36)+
Assumptions!$D$10*(AA36/(Assumptions!$AB$8*AR36/100)+AP36)+
Assumptions!$D$12*(AD36/(Assumptions!$AB$10*AR36/100)+AQ36),
"")</f>
        <v/>
      </c>
      <c r="AT36" s="76" t="str">
        <f>IFERROR(
(W36+AE36)*Assumptions!$F$11+
(AF36+AG36)*Assumptions!$F$8+
(AH36+AI36)*Assumptions!$F$9+
(AJ36+AK36)*Assumptions!$F$10,
"")</f>
        <v/>
      </c>
      <c r="AU36" s="77" t="str">
        <f t="shared" si="15"/>
        <v/>
      </c>
      <c r="AV36" s="68" t="str">
        <f t="shared" si="1"/>
        <v/>
      </c>
    </row>
    <row r="37" spans="1:48" x14ac:dyDescent="0.25">
      <c r="A37" s="264"/>
      <c r="B37" s="265"/>
      <c r="C37" s="265"/>
      <c r="D37" s="265"/>
      <c r="E37" s="266"/>
      <c r="F37" s="270"/>
      <c r="G37" s="271"/>
      <c r="H37" s="271"/>
      <c r="I37" s="272"/>
      <c r="J37" s="270"/>
      <c r="K37" s="271"/>
      <c r="L37" s="272"/>
      <c r="M37" s="270"/>
      <c r="N37" s="271"/>
      <c r="O37" s="272"/>
      <c r="P37" s="290"/>
      <c r="Q37" s="314"/>
      <c r="R37" s="51" t="str">
        <f t="shared" si="0"/>
        <v/>
      </c>
      <c r="S37" s="84" t="str">
        <f t="shared" si="2"/>
        <v/>
      </c>
      <c r="T37" s="93" t="str">
        <f t="shared" si="3"/>
        <v/>
      </c>
      <c r="U37" s="100" t="str">
        <f t="shared" si="4"/>
        <v/>
      </c>
      <c r="V37" s="95" t="str">
        <f t="shared" si="5"/>
        <v/>
      </c>
      <c r="W37" s="95" t="str">
        <f t="shared" si="6"/>
        <v/>
      </c>
      <c r="X37" s="96" t="str">
        <f>IFERROR(U37*V37*Assumptions!$B$15/3956,"")</f>
        <v/>
      </c>
      <c r="Y37" s="102" t="str">
        <f t="shared" si="7"/>
        <v/>
      </c>
      <c r="Z37" s="95" t="str">
        <f t="shared" si="8"/>
        <v/>
      </c>
      <c r="AA37" s="96" t="str">
        <f>IFERROR(Y37*Z37*Assumptions!$B$15/3956,"")</f>
        <v/>
      </c>
      <c r="AB37" s="100" t="str">
        <f t="shared" si="9"/>
        <v/>
      </c>
      <c r="AC37" s="95" t="str">
        <f t="shared" si="10"/>
        <v/>
      </c>
      <c r="AD37" s="96" t="str">
        <f>IFERROR(AB37*AC37*Assumptions!$B$15/3956,"")</f>
        <v/>
      </c>
      <c r="AE37" s="94" t="str">
        <f>IFERROR(
IF(P37&lt;=5,
(Assumptions!$W$8*(W37/P37)^2+(Assumptions!$X$8*(W37/P37))+Assumptions!$Y$8),
IF(P37&lt;=20,
(Assumptions!$W$9*(W37/P37)^2+(Assumptions!$X$9*(W37/P37))+Assumptions!$Y$9),
IF(P37&lt;=50,
(Assumptions!$W$10*(W37/P37)^2+(Assumptions!$X$10*(W37/P37))+Assumptions!$Y$10),
(Assumptions!$W$11*(W37/P37)^2+(Assumptions!$X$11+(W37/P37))+Assumptions!$Y$11)))),
"")</f>
        <v/>
      </c>
      <c r="AF37" s="99" t="str">
        <f t="shared" si="11"/>
        <v/>
      </c>
      <c r="AG37" s="95" t="str">
        <f>IFERROR(
IF(P37&lt;=5,
(Assumptions!$W$8*(AF37/P37)^2+(Assumptions!$X$8*(AF37/P37))+Assumptions!$Y$8),
IF(P37&lt;=20,
(Assumptions!$W$9*(AF37/P37)^2+(Assumptions!$X$9*(AF37/P37))+Assumptions!$Y$9),
IF(P37&lt;=50,
(Assumptions!$W$10*(AF37/P37)^2+(Assumptions!$X$10*(AF37/P37))+Assumptions!$Y$10),
(Assumptions!$W$11*(AF37/P37)^2+(Assumptions!$X$11+(AF37/P37))+Assumptions!$Y$11)))),
"")</f>
        <v/>
      </c>
      <c r="AH37" s="95" t="str">
        <f t="shared" si="12"/>
        <v/>
      </c>
      <c r="AI37" s="95" t="str">
        <f>IFERROR(
IF(P37&lt;=5,
(Assumptions!$W$8*(AH37/P37)^2+(Assumptions!$X$8*(AH37/P37))+Assumptions!$Y$8),
IF(P37&lt;=20,
(Assumptions!$W$9*(AH37/P37)^2+(Assumptions!$X$9*(AH37/P37))+Assumptions!$Y$9),
IF(P37&lt;=50,
(Assumptions!$W$10*(AH37/P37)^2+(Assumptions!$X$10*(AH37/P37))+Assumptions!$Y$10),
(Assumptions!$W$11*(AH37/P37)^2+(Assumptions!$X$11+(AH37/P37))+Assumptions!$Y$11)))),"")</f>
        <v/>
      </c>
      <c r="AJ37" s="95" t="str">
        <f t="shared" si="13"/>
        <v/>
      </c>
      <c r="AK37" s="96" t="str">
        <f>IFERROR(
IF(P37&lt;=5,
(Assumptions!$W$8*(AJ37/P37)^2+(Assumptions!$X$8*(AJ37/P37))+Assumptions!$Y$8),
IF(P37&lt;=20,
(Assumptions!$W$9*(AJ37/P37)^2+(Assumptions!$X$9*(AJ37/P37))+Assumptions!$Y$9),
IF(P37&lt;=50,
(Assumptions!$W$10*(AJ37/P37)^2+(Assumptions!$X$10*(AJ37/P37))+Assumptions!$Y$10),
(Assumptions!$W$11*(AJ37/P37)^2+(Assumptions!$X$11+(AJ37/P37))+Assumptions!$Y$11)))),
"")</f>
        <v/>
      </c>
      <c r="AL37" s="99" t="str">
        <f>IFERROR(
IF(C37="VTS",
IF(P37&gt;=AVERAGE(
INDEX(Assumptions!$I$38:$I$57,MATCH(P37,Assumptions!$I$38:$I$57,-1)),
INDEX(Assumptions!$I$38:$I$57,MATCH(P37,Assumptions!$I$38:$I$57,-1)+1)),
INDEX(Assumptions!$I$38:$I$57,MATCH(P37,Assumptions!$I$38:$I$57,-1)),
INDEX(Assumptions!$I$38:$I$57,MATCH(P37,Assumptions!$I$38:$I$57,-1)+1)),
IF(P37&gt;=AVERAGE(
INDEX(Assumptions!$I$13:$I$32,MATCH(P37,Assumptions!$I$13:$I$32,-1)),
INDEX(Assumptions!$I$13:$I$32,MATCH(P37,Assumptions!$I$13:$I$32,-1)+1)),
INDEX(Assumptions!$I$13:$I$32,MATCH(P37,Assumptions!$I$13:$I$32,-1)),
INDEX(Assumptions!$I$13:$I$32,MATCH(P37,Assumptions!$I$13:$I$32,-1)+1))),
"")</f>
        <v/>
      </c>
      <c r="AM37" s="95" t="str">
        <f>IFERROR(
IF(C37="VTS",
VLOOKUP(AL37,Assumptions!$I$38:$K$57,MATCH(R37,Assumptions!$I$37:$K$37,0),FALSE),
VLOOKUP(AL37,Assumptions!$I$13:$K$32,MATCH(R37,Assumptions!$I$12:$K$12,0),FALSE)),
"")</f>
        <v/>
      </c>
      <c r="AN37" s="95" t="str">
        <f t="shared" si="14"/>
        <v/>
      </c>
      <c r="AO37" s="95" t="str">
        <f>IFERROR(AN37*
(Assumptions!$S$7*(X37/(AR37*Assumptions!$AB$9/100)/P37)^3+
Assumptions!$S$8*(X37/(AR37*Assumptions!$AB$9/100)/P37)^2+
Assumptions!$S$9*(X37/(AR37*Assumptions!$AB$9/100)/P37)+
Assumptions!$S$10),"")</f>
        <v/>
      </c>
      <c r="AP37" s="95" t="str">
        <f>IFERROR(AN37*
(Assumptions!$S$7*(AA37/(AR37*Assumptions!$AB$8/100)/P37)^3+
Assumptions!$S$8*(AA37/(AR37*Assumptions!$AB$8/100)/P37)^2+
Assumptions!$S$9*(AA37/(AR37*Assumptions!$AB$8/100)/P37)+
Assumptions!$S$10),"")</f>
        <v/>
      </c>
      <c r="AQ37" s="95" t="str">
        <f>IFERROR(AN37*
(Assumptions!$S$7*(AD37/(AR37*Assumptions!$AB$10/100)/P37)^3+
Assumptions!$S$8*(AD37/(AR37*Assumptions!$AB$10/100)/P37)^2+
Assumptions!$S$9*(AD37/(AR37*Assumptions!$AB$10/100)/P37)+
Assumptions!$S$10),"")</f>
        <v/>
      </c>
      <c r="AR37" s="95" t="str">
        <f>IFERROR(
Assumptions!$AD$8*LN(U37)^2+
Assumptions!$AE$8*LN(T37)*LN(U37)+
Assumptions!$AF$8*LN(T37)^2+
Assumptions!$AG$8*LN(U37)+
Assumptions!$AH$8*LN(T37)-
(IF(S37=1800,
VLOOKUP(C37,Assumptions!$AA$13:$AC$17,3),
IF(S37=3600,
VLOOKUP(C37,Assumptions!$AA$18:$AC$22,3),
""))+Assumptions!$AI$8),
"")</f>
        <v/>
      </c>
      <c r="AS37" s="96" t="str">
        <f>IFERROR(
Assumptions!$D$11*(X37/(Assumptions!$AB$9*AR37/100)+AO37)+
Assumptions!$D$10*(AA37/(Assumptions!$AB$8*AR37/100)+AP37)+
Assumptions!$D$12*(AD37/(Assumptions!$AB$10*AR37/100)+AQ37),
"")</f>
        <v/>
      </c>
      <c r="AT37" s="76" t="str">
        <f>IFERROR(
(W37+AE37)*Assumptions!$F$11+
(AF37+AG37)*Assumptions!$F$8+
(AH37+AI37)*Assumptions!$F$9+
(AJ37+AK37)*Assumptions!$F$10,
"")</f>
        <v/>
      </c>
      <c r="AU37" s="77" t="str">
        <f t="shared" si="15"/>
        <v/>
      </c>
      <c r="AV37" s="68" t="str">
        <f t="shared" si="1"/>
        <v/>
      </c>
    </row>
    <row r="38" spans="1:48" x14ac:dyDescent="0.25">
      <c r="A38" s="264"/>
      <c r="B38" s="265"/>
      <c r="C38" s="265"/>
      <c r="D38" s="265"/>
      <c r="E38" s="266"/>
      <c r="F38" s="270"/>
      <c r="G38" s="271"/>
      <c r="H38" s="271"/>
      <c r="I38" s="272"/>
      <c r="J38" s="270"/>
      <c r="K38" s="271"/>
      <c r="L38" s="272"/>
      <c r="M38" s="270"/>
      <c r="N38" s="271"/>
      <c r="O38" s="272"/>
      <c r="P38" s="290"/>
      <c r="Q38" s="314"/>
      <c r="R38" s="51" t="str">
        <f t="shared" si="0"/>
        <v/>
      </c>
      <c r="S38" s="84" t="str">
        <f t="shared" si="2"/>
        <v/>
      </c>
      <c r="T38" s="93" t="str">
        <f t="shared" si="3"/>
        <v/>
      </c>
      <c r="U38" s="100" t="str">
        <f t="shared" si="4"/>
        <v/>
      </c>
      <c r="V38" s="95" t="str">
        <f t="shared" si="5"/>
        <v/>
      </c>
      <c r="W38" s="95" t="str">
        <f t="shared" si="6"/>
        <v/>
      </c>
      <c r="X38" s="96" t="str">
        <f>IFERROR(U38*V38*Assumptions!$B$15/3956,"")</f>
        <v/>
      </c>
      <c r="Y38" s="102" t="str">
        <f t="shared" si="7"/>
        <v/>
      </c>
      <c r="Z38" s="95" t="str">
        <f t="shared" si="8"/>
        <v/>
      </c>
      <c r="AA38" s="96" t="str">
        <f>IFERROR(Y38*Z38*Assumptions!$B$15/3956,"")</f>
        <v/>
      </c>
      <c r="AB38" s="100" t="str">
        <f t="shared" si="9"/>
        <v/>
      </c>
      <c r="AC38" s="95" t="str">
        <f t="shared" si="10"/>
        <v/>
      </c>
      <c r="AD38" s="96" t="str">
        <f>IFERROR(AB38*AC38*Assumptions!$B$15/3956,"")</f>
        <v/>
      </c>
      <c r="AE38" s="94" t="str">
        <f>IFERROR(
IF(P38&lt;=5,
(Assumptions!$W$8*(W38/P38)^2+(Assumptions!$X$8*(W38/P38))+Assumptions!$Y$8),
IF(P38&lt;=20,
(Assumptions!$W$9*(W38/P38)^2+(Assumptions!$X$9*(W38/P38))+Assumptions!$Y$9),
IF(P38&lt;=50,
(Assumptions!$W$10*(W38/P38)^2+(Assumptions!$X$10*(W38/P38))+Assumptions!$Y$10),
(Assumptions!$W$11*(W38/P38)^2+(Assumptions!$X$11+(W38/P38))+Assumptions!$Y$11)))),
"")</f>
        <v/>
      </c>
      <c r="AF38" s="99" t="str">
        <f t="shared" si="11"/>
        <v/>
      </c>
      <c r="AG38" s="95" t="str">
        <f>IFERROR(
IF(P38&lt;=5,
(Assumptions!$W$8*(AF38/P38)^2+(Assumptions!$X$8*(AF38/P38))+Assumptions!$Y$8),
IF(P38&lt;=20,
(Assumptions!$W$9*(AF38/P38)^2+(Assumptions!$X$9*(AF38/P38))+Assumptions!$Y$9),
IF(P38&lt;=50,
(Assumptions!$W$10*(AF38/P38)^2+(Assumptions!$X$10*(AF38/P38))+Assumptions!$Y$10),
(Assumptions!$W$11*(AF38/P38)^2+(Assumptions!$X$11+(AF38/P38))+Assumptions!$Y$11)))),
"")</f>
        <v/>
      </c>
      <c r="AH38" s="95" t="str">
        <f t="shared" si="12"/>
        <v/>
      </c>
      <c r="AI38" s="95" t="str">
        <f>IFERROR(
IF(P38&lt;=5,
(Assumptions!$W$8*(AH38/P38)^2+(Assumptions!$X$8*(AH38/P38))+Assumptions!$Y$8),
IF(P38&lt;=20,
(Assumptions!$W$9*(AH38/P38)^2+(Assumptions!$X$9*(AH38/P38))+Assumptions!$Y$9),
IF(P38&lt;=50,
(Assumptions!$W$10*(AH38/P38)^2+(Assumptions!$X$10*(AH38/P38))+Assumptions!$Y$10),
(Assumptions!$W$11*(AH38/P38)^2+(Assumptions!$X$11+(AH38/P38))+Assumptions!$Y$11)))),"")</f>
        <v/>
      </c>
      <c r="AJ38" s="95" t="str">
        <f t="shared" si="13"/>
        <v/>
      </c>
      <c r="AK38" s="96" t="str">
        <f>IFERROR(
IF(P38&lt;=5,
(Assumptions!$W$8*(AJ38/P38)^2+(Assumptions!$X$8*(AJ38/P38))+Assumptions!$Y$8),
IF(P38&lt;=20,
(Assumptions!$W$9*(AJ38/P38)^2+(Assumptions!$X$9*(AJ38/P38))+Assumptions!$Y$9),
IF(P38&lt;=50,
(Assumptions!$W$10*(AJ38/P38)^2+(Assumptions!$X$10*(AJ38/P38))+Assumptions!$Y$10),
(Assumptions!$W$11*(AJ38/P38)^2+(Assumptions!$X$11+(AJ38/P38))+Assumptions!$Y$11)))),
"")</f>
        <v/>
      </c>
      <c r="AL38" s="99" t="str">
        <f>IFERROR(
IF(C38="VTS",
IF(P38&gt;=AVERAGE(
INDEX(Assumptions!$I$38:$I$57,MATCH(P38,Assumptions!$I$38:$I$57,-1)),
INDEX(Assumptions!$I$38:$I$57,MATCH(P38,Assumptions!$I$38:$I$57,-1)+1)),
INDEX(Assumptions!$I$38:$I$57,MATCH(P38,Assumptions!$I$38:$I$57,-1)),
INDEX(Assumptions!$I$38:$I$57,MATCH(P38,Assumptions!$I$38:$I$57,-1)+1)),
IF(P38&gt;=AVERAGE(
INDEX(Assumptions!$I$13:$I$32,MATCH(P38,Assumptions!$I$13:$I$32,-1)),
INDEX(Assumptions!$I$13:$I$32,MATCH(P38,Assumptions!$I$13:$I$32,-1)+1)),
INDEX(Assumptions!$I$13:$I$32,MATCH(P38,Assumptions!$I$13:$I$32,-1)),
INDEX(Assumptions!$I$13:$I$32,MATCH(P38,Assumptions!$I$13:$I$32,-1)+1))),
"")</f>
        <v/>
      </c>
      <c r="AM38" s="95" t="str">
        <f>IFERROR(
IF(C38="VTS",
VLOOKUP(AL38,Assumptions!$I$38:$K$57,MATCH(R38,Assumptions!$I$37:$K$37,0),FALSE),
VLOOKUP(AL38,Assumptions!$I$13:$K$32,MATCH(R38,Assumptions!$I$12:$K$12,0),FALSE)),
"")</f>
        <v/>
      </c>
      <c r="AN38" s="95" t="str">
        <f t="shared" si="14"/>
        <v/>
      </c>
      <c r="AO38" s="95" t="str">
        <f>IFERROR(AN38*
(Assumptions!$S$7*(X38/(AR38*Assumptions!$AB$9/100)/P38)^3+
Assumptions!$S$8*(X38/(AR38*Assumptions!$AB$9/100)/P38)^2+
Assumptions!$S$9*(X38/(AR38*Assumptions!$AB$9/100)/P38)+
Assumptions!$S$10),"")</f>
        <v/>
      </c>
      <c r="AP38" s="95" t="str">
        <f>IFERROR(AN38*
(Assumptions!$S$7*(AA38/(AR38*Assumptions!$AB$8/100)/P38)^3+
Assumptions!$S$8*(AA38/(AR38*Assumptions!$AB$8/100)/P38)^2+
Assumptions!$S$9*(AA38/(AR38*Assumptions!$AB$8/100)/P38)+
Assumptions!$S$10),"")</f>
        <v/>
      </c>
      <c r="AQ38" s="95" t="str">
        <f>IFERROR(AN38*
(Assumptions!$S$7*(AD38/(AR38*Assumptions!$AB$10/100)/P38)^3+
Assumptions!$S$8*(AD38/(AR38*Assumptions!$AB$10/100)/P38)^2+
Assumptions!$S$9*(AD38/(AR38*Assumptions!$AB$10/100)/P38)+
Assumptions!$S$10),"")</f>
        <v/>
      </c>
      <c r="AR38" s="95" t="str">
        <f>IFERROR(
Assumptions!$AD$8*LN(U38)^2+
Assumptions!$AE$8*LN(T38)*LN(U38)+
Assumptions!$AF$8*LN(T38)^2+
Assumptions!$AG$8*LN(U38)+
Assumptions!$AH$8*LN(T38)-
(IF(S38=1800,
VLOOKUP(C38,Assumptions!$AA$13:$AC$17,3),
IF(S38=3600,
VLOOKUP(C38,Assumptions!$AA$18:$AC$22,3),
""))+Assumptions!$AI$8),
"")</f>
        <v/>
      </c>
      <c r="AS38" s="96" t="str">
        <f>IFERROR(
Assumptions!$D$11*(X38/(Assumptions!$AB$9*AR38/100)+AO38)+
Assumptions!$D$10*(AA38/(Assumptions!$AB$8*AR38/100)+AP38)+
Assumptions!$D$12*(AD38/(Assumptions!$AB$10*AR38/100)+AQ38),
"")</f>
        <v/>
      </c>
      <c r="AT38" s="76" t="str">
        <f>IFERROR(
(W38+AE38)*Assumptions!$F$11+
(AF38+AG38)*Assumptions!$F$8+
(AH38+AI38)*Assumptions!$F$9+
(AJ38+AK38)*Assumptions!$F$10,
"")</f>
        <v/>
      </c>
      <c r="AU38" s="77" t="str">
        <f t="shared" si="15"/>
        <v/>
      </c>
      <c r="AV38" s="68" t="str">
        <f t="shared" si="1"/>
        <v/>
      </c>
    </row>
    <row r="39" spans="1:48" x14ac:dyDescent="0.25">
      <c r="A39" s="264"/>
      <c r="B39" s="265"/>
      <c r="C39" s="265"/>
      <c r="D39" s="265"/>
      <c r="E39" s="266"/>
      <c r="F39" s="270"/>
      <c r="G39" s="271"/>
      <c r="H39" s="271"/>
      <c r="I39" s="272"/>
      <c r="J39" s="270"/>
      <c r="K39" s="271"/>
      <c r="L39" s="272"/>
      <c r="M39" s="270"/>
      <c r="N39" s="271"/>
      <c r="O39" s="272"/>
      <c r="P39" s="290"/>
      <c r="Q39" s="314"/>
      <c r="R39" s="51" t="str">
        <f t="shared" si="0"/>
        <v/>
      </c>
      <c r="S39" s="84" t="str">
        <f t="shared" si="2"/>
        <v/>
      </c>
      <c r="T39" s="93" t="str">
        <f t="shared" si="3"/>
        <v/>
      </c>
      <c r="U39" s="100" t="str">
        <f t="shared" si="4"/>
        <v/>
      </c>
      <c r="V39" s="95" t="str">
        <f t="shared" si="5"/>
        <v/>
      </c>
      <c r="W39" s="95" t="str">
        <f t="shared" si="6"/>
        <v/>
      </c>
      <c r="X39" s="96" t="str">
        <f>IFERROR(U39*V39*Assumptions!$B$15/3956,"")</f>
        <v/>
      </c>
      <c r="Y39" s="102" t="str">
        <f t="shared" si="7"/>
        <v/>
      </c>
      <c r="Z39" s="95" t="str">
        <f t="shared" si="8"/>
        <v/>
      </c>
      <c r="AA39" s="96" t="str">
        <f>IFERROR(Y39*Z39*Assumptions!$B$15/3956,"")</f>
        <v/>
      </c>
      <c r="AB39" s="100" t="str">
        <f t="shared" si="9"/>
        <v/>
      </c>
      <c r="AC39" s="95" t="str">
        <f t="shared" si="10"/>
        <v/>
      </c>
      <c r="AD39" s="96" t="str">
        <f>IFERROR(AB39*AC39*Assumptions!$B$15/3956,"")</f>
        <v/>
      </c>
      <c r="AE39" s="94" t="str">
        <f>IFERROR(
IF(P39&lt;=5,
(Assumptions!$W$8*(W39/P39)^2+(Assumptions!$X$8*(W39/P39))+Assumptions!$Y$8),
IF(P39&lt;=20,
(Assumptions!$W$9*(W39/P39)^2+(Assumptions!$X$9*(W39/P39))+Assumptions!$Y$9),
IF(P39&lt;=50,
(Assumptions!$W$10*(W39/P39)^2+(Assumptions!$X$10*(W39/P39))+Assumptions!$Y$10),
(Assumptions!$W$11*(W39/P39)^2+(Assumptions!$X$11+(W39/P39))+Assumptions!$Y$11)))),
"")</f>
        <v/>
      </c>
      <c r="AF39" s="99" t="str">
        <f t="shared" si="11"/>
        <v/>
      </c>
      <c r="AG39" s="95" t="str">
        <f>IFERROR(
IF(P39&lt;=5,
(Assumptions!$W$8*(AF39/P39)^2+(Assumptions!$X$8*(AF39/P39))+Assumptions!$Y$8),
IF(P39&lt;=20,
(Assumptions!$W$9*(AF39/P39)^2+(Assumptions!$X$9*(AF39/P39))+Assumptions!$Y$9),
IF(P39&lt;=50,
(Assumptions!$W$10*(AF39/P39)^2+(Assumptions!$X$10*(AF39/P39))+Assumptions!$Y$10),
(Assumptions!$W$11*(AF39/P39)^2+(Assumptions!$X$11+(AF39/P39))+Assumptions!$Y$11)))),
"")</f>
        <v/>
      </c>
      <c r="AH39" s="95" t="str">
        <f t="shared" si="12"/>
        <v/>
      </c>
      <c r="AI39" s="95" t="str">
        <f>IFERROR(
IF(P39&lt;=5,
(Assumptions!$W$8*(AH39/P39)^2+(Assumptions!$X$8*(AH39/P39))+Assumptions!$Y$8),
IF(P39&lt;=20,
(Assumptions!$W$9*(AH39/P39)^2+(Assumptions!$X$9*(AH39/P39))+Assumptions!$Y$9),
IF(P39&lt;=50,
(Assumptions!$W$10*(AH39/P39)^2+(Assumptions!$X$10*(AH39/P39))+Assumptions!$Y$10),
(Assumptions!$W$11*(AH39/P39)^2+(Assumptions!$X$11+(AH39/P39))+Assumptions!$Y$11)))),"")</f>
        <v/>
      </c>
      <c r="AJ39" s="95" t="str">
        <f t="shared" si="13"/>
        <v/>
      </c>
      <c r="AK39" s="96" t="str">
        <f>IFERROR(
IF(P39&lt;=5,
(Assumptions!$W$8*(AJ39/P39)^2+(Assumptions!$X$8*(AJ39/P39))+Assumptions!$Y$8),
IF(P39&lt;=20,
(Assumptions!$W$9*(AJ39/P39)^2+(Assumptions!$X$9*(AJ39/P39))+Assumptions!$Y$9),
IF(P39&lt;=50,
(Assumptions!$W$10*(AJ39/P39)^2+(Assumptions!$X$10*(AJ39/P39))+Assumptions!$Y$10),
(Assumptions!$W$11*(AJ39/P39)^2+(Assumptions!$X$11+(AJ39/P39))+Assumptions!$Y$11)))),
"")</f>
        <v/>
      </c>
      <c r="AL39" s="99" t="str">
        <f>IFERROR(
IF(C39="VTS",
IF(P39&gt;=AVERAGE(
INDEX(Assumptions!$I$38:$I$57,MATCH(P39,Assumptions!$I$38:$I$57,-1)),
INDEX(Assumptions!$I$38:$I$57,MATCH(P39,Assumptions!$I$38:$I$57,-1)+1)),
INDEX(Assumptions!$I$38:$I$57,MATCH(P39,Assumptions!$I$38:$I$57,-1)),
INDEX(Assumptions!$I$38:$I$57,MATCH(P39,Assumptions!$I$38:$I$57,-1)+1)),
IF(P39&gt;=AVERAGE(
INDEX(Assumptions!$I$13:$I$32,MATCH(P39,Assumptions!$I$13:$I$32,-1)),
INDEX(Assumptions!$I$13:$I$32,MATCH(P39,Assumptions!$I$13:$I$32,-1)+1)),
INDEX(Assumptions!$I$13:$I$32,MATCH(P39,Assumptions!$I$13:$I$32,-1)),
INDEX(Assumptions!$I$13:$I$32,MATCH(P39,Assumptions!$I$13:$I$32,-1)+1))),
"")</f>
        <v/>
      </c>
      <c r="AM39" s="95" t="str">
        <f>IFERROR(
IF(C39="VTS",
VLOOKUP(AL39,Assumptions!$I$38:$K$57,MATCH(R39,Assumptions!$I$37:$K$37,0),FALSE),
VLOOKUP(AL39,Assumptions!$I$13:$K$32,MATCH(R39,Assumptions!$I$12:$K$12,0),FALSE)),
"")</f>
        <v/>
      </c>
      <c r="AN39" s="95" t="str">
        <f t="shared" si="14"/>
        <v/>
      </c>
      <c r="AO39" s="95" t="str">
        <f>IFERROR(AN39*
(Assumptions!$S$7*(X39/(AR39*Assumptions!$AB$9/100)/P39)^3+
Assumptions!$S$8*(X39/(AR39*Assumptions!$AB$9/100)/P39)^2+
Assumptions!$S$9*(X39/(AR39*Assumptions!$AB$9/100)/P39)+
Assumptions!$S$10),"")</f>
        <v/>
      </c>
      <c r="AP39" s="95" t="str">
        <f>IFERROR(AN39*
(Assumptions!$S$7*(AA39/(AR39*Assumptions!$AB$8/100)/P39)^3+
Assumptions!$S$8*(AA39/(AR39*Assumptions!$AB$8/100)/P39)^2+
Assumptions!$S$9*(AA39/(AR39*Assumptions!$AB$8/100)/P39)+
Assumptions!$S$10),"")</f>
        <v/>
      </c>
      <c r="AQ39" s="95" t="str">
        <f>IFERROR(AN39*
(Assumptions!$S$7*(AD39/(AR39*Assumptions!$AB$10/100)/P39)^3+
Assumptions!$S$8*(AD39/(AR39*Assumptions!$AB$10/100)/P39)^2+
Assumptions!$S$9*(AD39/(AR39*Assumptions!$AB$10/100)/P39)+
Assumptions!$S$10),"")</f>
        <v/>
      </c>
      <c r="AR39" s="95" t="str">
        <f>IFERROR(
Assumptions!$AD$8*LN(U39)^2+
Assumptions!$AE$8*LN(T39)*LN(U39)+
Assumptions!$AF$8*LN(T39)^2+
Assumptions!$AG$8*LN(U39)+
Assumptions!$AH$8*LN(T39)-
(IF(S39=1800,
VLOOKUP(C39,Assumptions!$AA$13:$AC$17,3),
IF(S39=3600,
VLOOKUP(C39,Assumptions!$AA$18:$AC$22,3),
""))+Assumptions!$AI$8),
"")</f>
        <v/>
      </c>
      <c r="AS39" s="96" t="str">
        <f>IFERROR(
Assumptions!$D$11*(X39/(Assumptions!$AB$9*AR39/100)+AO39)+
Assumptions!$D$10*(AA39/(Assumptions!$AB$8*AR39/100)+AP39)+
Assumptions!$D$12*(AD39/(Assumptions!$AB$10*AR39/100)+AQ39),
"")</f>
        <v/>
      </c>
      <c r="AT39" s="76" t="str">
        <f>IFERROR(
(W39+AE39)*Assumptions!$F$11+
(AF39+AG39)*Assumptions!$F$8+
(AH39+AI39)*Assumptions!$F$9+
(AJ39+AK39)*Assumptions!$F$10,
"")</f>
        <v/>
      </c>
      <c r="AU39" s="77" t="str">
        <f t="shared" si="15"/>
        <v/>
      </c>
      <c r="AV39" s="68" t="str">
        <f t="shared" si="1"/>
        <v/>
      </c>
    </row>
    <row r="40" spans="1:48" x14ac:dyDescent="0.25">
      <c r="A40" s="264"/>
      <c r="B40" s="265"/>
      <c r="C40" s="265"/>
      <c r="D40" s="265"/>
      <c r="E40" s="266"/>
      <c r="F40" s="270"/>
      <c r="G40" s="271"/>
      <c r="H40" s="271"/>
      <c r="I40" s="272"/>
      <c r="J40" s="270"/>
      <c r="K40" s="271"/>
      <c r="L40" s="272"/>
      <c r="M40" s="270"/>
      <c r="N40" s="271"/>
      <c r="O40" s="272"/>
      <c r="P40" s="290"/>
      <c r="Q40" s="314"/>
      <c r="R40" s="51" t="str">
        <f t="shared" si="0"/>
        <v/>
      </c>
      <c r="S40" s="84" t="str">
        <f t="shared" si="2"/>
        <v/>
      </c>
      <c r="T40" s="93" t="str">
        <f t="shared" si="3"/>
        <v/>
      </c>
      <c r="U40" s="100" t="str">
        <f t="shared" si="4"/>
        <v/>
      </c>
      <c r="V40" s="95" t="str">
        <f t="shared" si="5"/>
        <v/>
      </c>
      <c r="W40" s="95" t="str">
        <f t="shared" si="6"/>
        <v/>
      </c>
      <c r="X40" s="96" t="str">
        <f>IFERROR(U40*V40*Assumptions!$B$15/3956,"")</f>
        <v/>
      </c>
      <c r="Y40" s="102" t="str">
        <f t="shared" si="7"/>
        <v/>
      </c>
      <c r="Z40" s="95" t="str">
        <f t="shared" si="8"/>
        <v/>
      </c>
      <c r="AA40" s="96" t="str">
        <f>IFERROR(Y40*Z40*Assumptions!$B$15/3956,"")</f>
        <v/>
      </c>
      <c r="AB40" s="100" t="str">
        <f t="shared" si="9"/>
        <v/>
      </c>
      <c r="AC40" s="95" t="str">
        <f t="shared" si="10"/>
        <v/>
      </c>
      <c r="AD40" s="96" t="str">
        <f>IFERROR(AB40*AC40*Assumptions!$B$15/3956,"")</f>
        <v/>
      </c>
      <c r="AE40" s="94" t="str">
        <f>IFERROR(
IF(P40&lt;=5,
(Assumptions!$W$8*(W40/P40)^2+(Assumptions!$X$8*(W40/P40))+Assumptions!$Y$8),
IF(P40&lt;=20,
(Assumptions!$W$9*(W40/P40)^2+(Assumptions!$X$9*(W40/P40))+Assumptions!$Y$9),
IF(P40&lt;=50,
(Assumptions!$W$10*(W40/P40)^2+(Assumptions!$X$10*(W40/P40))+Assumptions!$Y$10),
(Assumptions!$W$11*(W40/P40)^2+(Assumptions!$X$11+(W40/P40))+Assumptions!$Y$11)))),
"")</f>
        <v/>
      </c>
      <c r="AF40" s="99" t="str">
        <f t="shared" si="11"/>
        <v/>
      </c>
      <c r="AG40" s="95" t="str">
        <f>IFERROR(
IF(P40&lt;=5,
(Assumptions!$W$8*(AF40/P40)^2+(Assumptions!$X$8*(AF40/P40))+Assumptions!$Y$8),
IF(P40&lt;=20,
(Assumptions!$W$9*(AF40/P40)^2+(Assumptions!$X$9*(AF40/P40))+Assumptions!$Y$9),
IF(P40&lt;=50,
(Assumptions!$W$10*(AF40/P40)^2+(Assumptions!$X$10*(AF40/P40))+Assumptions!$Y$10),
(Assumptions!$W$11*(AF40/P40)^2+(Assumptions!$X$11+(AF40/P40))+Assumptions!$Y$11)))),
"")</f>
        <v/>
      </c>
      <c r="AH40" s="95" t="str">
        <f t="shared" si="12"/>
        <v/>
      </c>
      <c r="AI40" s="95" t="str">
        <f>IFERROR(
IF(P40&lt;=5,
(Assumptions!$W$8*(AH40/P40)^2+(Assumptions!$X$8*(AH40/P40))+Assumptions!$Y$8),
IF(P40&lt;=20,
(Assumptions!$W$9*(AH40/P40)^2+(Assumptions!$X$9*(AH40/P40))+Assumptions!$Y$9),
IF(P40&lt;=50,
(Assumptions!$W$10*(AH40/P40)^2+(Assumptions!$X$10*(AH40/P40))+Assumptions!$Y$10),
(Assumptions!$W$11*(AH40/P40)^2+(Assumptions!$X$11+(AH40/P40))+Assumptions!$Y$11)))),"")</f>
        <v/>
      </c>
      <c r="AJ40" s="95" t="str">
        <f t="shared" si="13"/>
        <v/>
      </c>
      <c r="AK40" s="96" t="str">
        <f>IFERROR(
IF(P40&lt;=5,
(Assumptions!$W$8*(AJ40/P40)^2+(Assumptions!$X$8*(AJ40/P40))+Assumptions!$Y$8),
IF(P40&lt;=20,
(Assumptions!$W$9*(AJ40/P40)^2+(Assumptions!$X$9*(AJ40/P40))+Assumptions!$Y$9),
IF(P40&lt;=50,
(Assumptions!$W$10*(AJ40/P40)^2+(Assumptions!$X$10*(AJ40/P40))+Assumptions!$Y$10),
(Assumptions!$W$11*(AJ40/P40)^2+(Assumptions!$X$11+(AJ40/P40))+Assumptions!$Y$11)))),
"")</f>
        <v/>
      </c>
      <c r="AL40" s="99" t="str">
        <f>IFERROR(
IF(C40="VTS",
IF(P40&gt;=AVERAGE(
INDEX(Assumptions!$I$38:$I$57,MATCH(P40,Assumptions!$I$38:$I$57,-1)),
INDEX(Assumptions!$I$38:$I$57,MATCH(P40,Assumptions!$I$38:$I$57,-1)+1)),
INDEX(Assumptions!$I$38:$I$57,MATCH(P40,Assumptions!$I$38:$I$57,-1)),
INDEX(Assumptions!$I$38:$I$57,MATCH(P40,Assumptions!$I$38:$I$57,-1)+1)),
IF(P40&gt;=AVERAGE(
INDEX(Assumptions!$I$13:$I$32,MATCH(P40,Assumptions!$I$13:$I$32,-1)),
INDEX(Assumptions!$I$13:$I$32,MATCH(P40,Assumptions!$I$13:$I$32,-1)+1)),
INDEX(Assumptions!$I$13:$I$32,MATCH(P40,Assumptions!$I$13:$I$32,-1)),
INDEX(Assumptions!$I$13:$I$32,MATCH(P40,Assumptions!$I$13:$I$32,-1)+1))),
"")</f>
        <v/>
      </c>
      <c r="AM40" s="95" t="str">
        <f>IFERROR(
IF(C40="VTS",
VLOOKUP(AL40,Assumptions!$I$38:$K$57,MATCH(R40,Assumptions!$I$37:$K$37,0),FALSE),
VLOOKUP(AL40,Assumptions!$I$13:$K$32,MATCH(R40,Assumptions!$I$12:$K$12,0),FALSE)),
"")</f>
        <v/>
      </c>
      <c r="AN40" s="95" t="str">
        <f t="shared" si="14"/>
        <v/>
      </c>
      <c r="AO40" s="95" t="str">
        <f>IFERROR(AN40*
(Assumptions!$S$7*(X40/(AR40*Assumptions!$AB$9/100)/P40)^3+
Assumptions!$S$8*(X40/(AR40*Assumptions!$AB$9/100)/P40)^2+
Assumptions!$S$9*(X40/(AR40*Assumptions!$AB$9/100)/P40)+
Assumptions!$S$10),"")</f>
        <v/>
      </c>
      <c r="AP40" s="95" t="str">
        <f>IFERROR(AN40*
(Assumptions!$S$7*(AA40/(AR40*Assumptions!$AB$8/100)/P40)^3+
Assumptions!$S$8*(AA40/(AR40*Assumptions!$AB$8/100)/P40)^2+
Assumptions!$S$9*(AA40/(AR40*Assumptions!$AB$8/100)/P40)+
Assumptions!$S$10),"")</f>
        <v/>
      </c>
      <c r="AQ40" s="95" t="str">
        <f>IFERROR(AN40*
(Assumptions!$S$7*(AD40/(AR40*Assumptions!$AB$10/100)/P40)^3+
Assumptions!$S$8*(AD40/(AR40*Assumptions!$AB$10/100)/P40)^2+
Assumptions!$S$9*(AD40/(AR40*Assumptions!$AB$10/100)/P40)+
Assumptions!$S$10),"")</f>
        <v/>
      </c>
      <c r="AR40" s="95" t="str">
        <f>IFERROR(
Assumptions!$AD$8*LN(U40)^2+
Assumptions!$AE$8*LN(T40)*LN(U40)+
Assumptions!$AF$8*LN(T40)^2+
Assumptions!$AG$8*LN(U40)+
Assumptions!$AH$8*LN(T40)-
(IF(S40=1800,
VLOOKUP(C40,Assumptions!$AA$13:$AC$17,3),
IF(S40=3600,
VLOOKUP(C40,Assumptions!$AA$18:$AC$22,3),
""))+Assumptions!$AI$8),
"")</f>
        <v/>
      </c>
      <c r="AS40" s="96" t="str">
        <f>IFERROR(
Assumptions!$D$11*(X40/(Assumptions!$AB$9*AR40/100)+AO40)+
Assumptions!$D$10*(AA40/(Assumptions!$AB$8*AR40/100)+AP40)+
Assumptions!$D$12*(AD40/(Assumptions!$AB$10*AR40/100)+AQ40),
"")</f>
        <v/>
      </c>
      <c r="AT40" s="76" t="str">
        <f>IFERROR(
(W40+AE40)*Assumptions!$F$11+
(AF40+AG40)*Assumptions!$F$8+
(AH40+AI40)*Assumptions!$F$9+
(AJ40+AK40)*Assumptions!$F$10,
"")</f>
        <v/>
      </c>
      <c r="AU40" s="77" t="str">
        <f t="shared" si="15"/>
        <v/>
      </c>
      <c r="AV40" s="68" t="str">
        <f t="shared" si="1"/>
        <v/>
      </c>
    </row>
    <row r="41" spans="1:48" x14ac:dyDescent="0.25">
      <c r="A41" s="264"/>
      <c r="B41" s="265"/>
      <c r="C41" s="265"/>
      <c r="D41" s="265"/>
      <c r="E41" s="266"/>
      <c r="F41" s="270"/>
      <c r="G41" s="271"/>
      <c r="H41" s="271"/>
      <c r="I41" s="272"/>
      <c r="J41" s="270"/>
      <c r="K41" s="271"/>
      <c r="L41" s="272"/>
      <c r="M41" s="270"/>
      <c r="N41" s="271"/>
      <c r="O41" s="272"/>
      <c r="P41" s="290"/>
      <c r="Q41" s="314"/>
      <c r="R41" s="51" t="str">
        <f t="shared" si="0"/>
        <v/>
      </c>
      <c r="S41" s="84" t="str">
        <f t="shared" si="2"/>
        <v/>
      </c>
      <c r="T41" s="93" t="str">
        <f t="shared" si="3"/>
        <v/>
      </c>
      <c r="U41" s="100" t="str">
        <f t="shared" si="4"/>
        <v/>
      </c>
      <c r="V41" s="95" t="str">
        <f t="shared" si="5"/>
        <v/>
      </c>
      <c r="W41" s="95" t="str">
        <f t="shared" si="6"/>
        <v/>
      </c>
      <c r="X41" s="96" t="str">
        <f>IFERROR(U41*V41*Assumptions!$B$15/3956,"")</f>
        <v/>
      </c>
      <c r="Y41" s="102" t="str">
        <f t="shared" si="7"/>
        <v/>
      </c>
      <c r="Z41" s="95" t="str">
        <f t="shared" si="8"/>
        <v/>
      </c>
      <c r="AA41" s="96" t="str">
        <f>IFERROR(Y41*Z41*Assumptions!$B$15/3956,"")</f>
        <v/>
      </c>
      <c r="AB41" s="100" t="str">
        <f t="shared" si="9"/>
        <v/>
      </c>
      <c r="AC41" s="95" t="str">
        <f t="shared" si="10"/>
        <v/>
      </c>
      <c r="AD41" s="96" t="str">
        <f>IFERROR(AB41*AC41*Assumptions!$B$15/3956,"")</f>
        <v/>
      </c>
      <c r="AE41" s="94" t="str">
        <f>IFERROR(
IF(P41&lt;=5,
(Assumptions!$W$8*(W41/P41)^2+(Assumptions!$X$8*(W41/P41))+Assumptions!$Y$8),
IF(P41&lt;=20,
(Assumptions!$W$9*(W41/P41)^2+(Assumptions!$X$9*(W41/P41))+Assumptions!$Y$9),
IF(P41&lt;=50,
(Assumptions!$W$10*(W41/P41)^2+(Assumptions!$X$10*(W41/P41))+Assumptions!$Y$10),
(Assumptions!$W$11*(W41/P41)^2+(Assumptions!$X$11+(W41/P41))+Assumptions!$Y$11)))),
"")</f>
        <v/>
      </c>
      <c r="AF41" s="99" t="str">
        <f t="shared" si="11"/>
        <v/>
      </c>
      <c r="AG41" s="95" t="str">
        <f>IFERROR(
IF(P41&lt;=5,
(Assumptions!$W$8*(AF41/P41)^2+(Assumptions!$X$8*(AF41/P41))+Assumptions!$Y$8),
IF(P41&lt;=20,
(Assumptions!$W$9*(AF41/P41)^2+(Assumptions!$X$9*(AF41/P41))+Assumptions!$Y$9),
IF(P41&lt;=50,
(Assumptions!$W$10*(AF41/P41)^2+(Assumptions!$X$10*(AF41/P41))+Assumptions!$Y$10),
(Assumptions!$W$11*(AF41/P41)^2+(Assumptions!$X$11+(AF41/P41))+Assumptions!$Y$11)))),
"")</f>
        <v/>
      </c>
      <c r="AH41" s="95" t="str">
        <f t="shared" si="12"/>
        <v/>
      </c>
      <c r="AI41" s="95" t="str">
        <f>IFERROR(
IF(P41&lt;=5,
(Assumptions!$W$8*(AH41/P41)^2+(Assumptions!$X$8*(AH41/P41))+Assumptions!$Y$8),
IF(P41&lt;=20,
(Assumptions!$W$9*(AH41/P41)^2+(Assumptions!$X$9*(AH41/P41))+Assumptions!$Y$9),
IF(P41&lt;=50,
(Assumptions!$W$10*(AH41/P41)^2+(Assumptions!$X$10*(AH41/P41))+Assumptions!$Y$10),
(Assumptions!$W$11*(AH41/P41)^2+(Assumptions!$X$11+(AH41/P41))+Assumptions!$Y$11)))),"")</f>
        <v/>
      </c>
      <c r="AJ41" s="95" t="str">
        <f t="shared" si="13"/>
        <v/>
      </c>
      <c r="AK41" s="96" t="str">
        <f>IFERROR(
IF(P41&lt;=5,
(Assumptions!$W$8*(AJ41/P41)^2+(Assumptions!$X$8*(AJ41/P41))+Assumptions!$Y$8),
IF(P41&lt;=20,
(Assumptions!$W$9*(AJ41/P41)^2+(Assumptions!$X$9*(AJ41/P41))+Assumptions!$Y$9),
IF(P41&lt;=50,
(Assumptions!$W$10*(AJ41/P41)^2+(Assumptions!$X$10*(AJ41/P41))+Assumptions!$Y$10),
(Assumptions!$W$11*(AJ41/P41)^2+(Assumptions!$X$11+(AJ41/P41))+Assumptions!$Y$11)))),
"")</f>
        <v/>
      </c>
      <c r="AL41" s="99" t="str">
        <f>IFERROR(
IF(C41="VTS",
IF(P41&gt;=AVERAGE(
INDEX(Assumptions!$I$38:$I$57,MATCH(P41,Assumptions!$I$38:$I$57,-1)),
INDEX(Assumptions!$I$38:$I$57,MATCH(P41,Assumptions!$I$38:$I$57,-1)+1)),
INDEX(Assumptions!$I$38:$I$57,MATCH(P41,Assumptions!$I$38:$I$57,-1)),
INDEX(Assumptions!$I$38:$I$57,MATCH(P41,Assumptions!$I$38:$I$57,-1)+1)),
IF(P41&gt;=AVERAGE(
INDEX(Assumptions!$I$13:$I$32,MATCH(P41,Assumptions!$I$13:$I$32,-1)),
INDEX(Assumptions!$I$13:$I$32,MATCH(P41,Assumptions!$I$13:$I$32,-1)+1)),
INDEX(Assumptions!$I$13:$I$32,MATCH(P41,Assumptions!$I$13:$I$32,-1)),
INDEX(Assumptions!$I$13:$I$32,MATCH(P41,Assumptions!$I$13:$I$32,-1)+1))),
"")</f>
        <v/>
      </c>
      <c r="AM41" s="95" t="str">
        <f>IFERROR(
IF(C41="VTS",
VLOOKUP(AL41,Assumptions!$I$38:$K$57,MATCH(R41,Assumptions!$I$37:$K$37,0),FALSE),
VLOOKUP(AL41,Assumptions!$I$13:$K$32,MATCH(R41,Assumptions!$I$12:$K$12,0),FALSE)),
"")</f>
        <v/>
      </c>
      <c r="AN41" s="95" t="str">
        <f t="shared" si="14"/>
        <v/>
      </c>
      <c r="AO41" s="95" t="str">
        <f>IFERROR(AN41*
(Assumptions!$S$7*(X41/(AR41*Assumptions!$AB$9/100)/P41)^3+
Assumptions!$S$8*(X41/(AR41*Assumptions!$AB$9/100)/P41)^2+
Assumptions!$S$9*(X41/(AR41*Assumptions!$AB$9/100)/P41)+
Assumptions!$S$10),"")</f>
        <v/>
      </c>
      <c r="AP41" s="95" t="str">
        <f>IFERROR(AN41*
(Assumptions!$S$7*(AA41/(AR41*Assumptions!$AB$8/100)/P41)^3+
Assumptions!$S$8*(AA41/(AR41*Assumptions!$AB$8/100)/P41)^2+
Assumptions!$S$9*(AA41/(AR41*Assumptions!$AB$8/100)/P41)+
Assumptions!$S$10),"")</f>
        <v/>
      </c>
      <c r="AQ41" s="95" t="str">
        <f>IFERROR(AN41*
(Assumptions!$S$7*(AD41/(AR41*Assumptions!$AB$10/100)/P41)^3+
Assumptions!$S$8*(AD41/(AR41*Assumptions!$AB$10/100)/P41)^2+
Assumptions!$S$9*(AD41/(AR41*Assumptions!$AB$10/100)/P41)+
Assumptions!$S$10),"")</f>
        <v/>
      </c>
      <c r="AR41" s="95" t="str">
        <f>IFERROR(
Assumptions!$AD$8*LN(U41)^2+
Assumptions!$AE$8*LN(T41)*LN(U41)+
Assumptions!$AF$8*LN(T41)^2+
Assumptions!$AG$8*LN(U41)+
Assumptions!$AH$8*LN(T41)-
(IF(S41=1800,
VLOOKUP(C41,Assumptions!$AA$13:$AC$17,3),
IF(S41=3600,
VLOOKUP(C41,Assumptions!$AA$18:$AC$22,3),
""))+Assumptions!$AI$8),
"")</f>
        <v/>
      </c>
      <c r="AS41" s="96" t="str">
        <f>IFERROR(
Assumptions!$D$11*(X41/(Assumptions!$AB$9*AR41/100)+AO41)+
Assumptions!$D$10*(AA41/(Assumptions!$AB$8*AR41/100)+AP41)+
Assumptions!$D$12*(AD41/(Assumptions!$AB$10*AR41/100)+AQ41),
"")</f>
        <v/>
      </c>
      <c r="AT41" s="76" t="str">
        <f>IFERROR(
(W41+AE41)*Assumptions!$F$11+
(AF41+AG41)*Assumptions!$F$8+
(AH41+AI41)*Assumptions!$F$9+
(AJ41+AK41)*Assumptions!$F$10,
"")</f>
        <v/>
      </c>
      <c r="AU41" s="77" t="str">
        <f t="shared" si="15"/>
        <v/>
      </c>
      <c r="AV41" s="68" t="str">
        <f t="shared" si="1"/>
        <v/>
      </c>
    </row>
    <row r="42" spans="1:48" x14ac:dyDescent="0.25">
      <c r="A42" s="264"/>
      <c r="B42" s="265"/>
      <c r="C42" s="265"/>
      <c r="D42" s="265"/>
      <c r="E42" s="266"/>
      <c r="F42" s="270"/>
      <c r="G42" s="271"/>
      <c r="H42" s="271"/>
      <c r="I42" s="272"/>
      <c r="J42" s="270"/>
      <c r="K42" s="271"/>
      <c r="L42" s="272"/>
      <c r="M42" s="270"/>
      <c r="N42" s="271"/>
      <c r="O42" s="272"/>
      <c r="P42" s="290"/>
      <c r="Q42" s="314"/>
      <c r="R42" s="51" t="str">
        <f t="shared" ref="R42:R73" si="16">IF(AND(E42&gt;=1440,E42&lt;=2160),4,IF(AND(E42&gt;=2880,E42&lt;=4320),2,""))</f>
        <v/>
      </c>
      <c r="S42" s="84" t="str">
        <f t="shared" si="2"/>
        <v/>
      </c>
      <c r="T42" s="93" t="str">
        <f t="shared" si="3"/>
        <v/>
      </c>
      <c r="U42" s="100" t="str">
        <f t="shared" si="4"/>
        <v/>
      </c>
      <c r="V42" s="95" t="str">
        <f t="shared" si="5"/>
        <v/>
      </c>
      <c r="W42" s="95" t="str">
        <f t="shared" si="6"/>
        <v/>
      </c>
      <c r="X42" s="96" t="str">
        <f>IFERROR(U42*V42*Assumptions!$B$15/3956,"")</f>
        <v/>
      </c>
      <c r="Y42" s="102" t="str">
        <f t="shared" si="7"/>
        <v/>
      </c>
      <c r="Z42" s="95" t="str">
        <f t="shared" si="8"/>
        <v/>
      </c>
      <c r="AA42" s="96" t="str">
        <f>IFERROR(Y42*Z42*Assumptions!$B$15/3956,"")</f>
        <v/>
      </c>
      <c r="AB42" s="100" t="str">
        <f t="shared" si="9"/>
        <v/>
      </c>
      <c r="AC42" s="95" t="str">
        <f t="shared" si="10"/>
        <v/>
      </c>
      <c r="AD42" s="96" t="str">
        <f>IFERROR(AB42*AC42*Assumptions!$B$15/3956,"")</f>
        <v/>
      </c>
      <c r="AE42" s="94" t="str">
        <f>IFERROR(
IF(P42&lt;=5,
(Assumptions!$W$8*(W42/P42)^2+(Assumptions!$X$8*(W42/P42))+Assumptions!$Y$8),
IF(P42&lt;=20,
(Assumptions!$W$9*(W42/P42)^2+(Assumptions!$X$9*(W42/P42))+Assumptions!$Y$9),
IF(P42&lt;=50,
(Assumptions!$W$10*(W42/P42)^2+(Assumptions!$X$10*(W42/P42))+Assumptions!$Y$10),
(Assumptions!$W$11*(W42/P42)^2+(Assumptions!$X$11+(W42/P42))+Assumptions!$Y$11)))),
"")</f>
        <v/>
      </c>
      <c r="AF42" s="99" t="str">
        <f t="shared" si="11"/>
        <v/>
      </c>
      <c r="AG42" s="95" t="str">
        <f>IFERROR(
IF(P42&lt;=5,
(Assumptions!$W$8*(AF42/P42)^2+(Assumptions!$X$8*(AF42/P42))+Assumptions!$Y$8),
IF(P42&lt;=20,
(Assumptions!$W$9*(AF42/P42)^2+(Assumptions!$X$9*(AF42/P42))+Assumptions!$Y$9),
IF(P42&lt;=50,
(Assumptions!$W$10*(AF42/P42)^2+(Assumptions!$X$10*(AF42/P42))+Assumptions!$Y$10),
(Assumptions!$W$11*(AF42/P42)^2+(Assumptions!$X$11+(AF42/P42))+Assumptions!$Y$11)))),
"")</f>
        <v/>
      </c>
      <c r="AH42" s="95" t="str">
        <f t="shared" si="12"/>
        <v/>
      </c>
      <c r="AI42" s="95" t="str">
        <f>IFERROR(
IF(P42&lt;=5,
(Assumptions!$W$8*(AH42/P42)^2+(Assumptions!$X$8*(AH42/P42))+Assumptions!$Y$8),
IF(P42&lt;=20,
(Assumptions!$W$9*(AH42/P42)^2+(Assumptions!$X$9*(AH42/P42))+Assumptions!$Y$9),
IF(P42&lt;=50,
(Assumptions!$W$10*(AH42/P42)^2+(Assumptions!$X$10*(AH42/P42))+Assumptions!$Y$10),
(Assumptions!$W$11*(AH42/P42)^2+(Assumptions!$X$11+(AH42/P42))+Assumptions!$Y$11)))),"")</f>
        <v/>
      </c>
      <c r="AJ42" s="95" t="str">
        <f t="shared" si="13"/>
        <v/>
      </c>
      <c r="AK42" s="96" t="str">
        <f>IFERROR(
IF(P42&lt;=5,
(Assumptions!$W$8*(AJ42/P42)^2+(Assumptions!$X$8*(AJ42/P42))+Assumptions!$Y$8),
IF(P42&lt;=20,
(Assumptions!$W$9*(AJ42/P42)^2+(Assumptions!$X$9*(AJ42/P42))+Assumptions!$Y$9),
IF(P42&lt;=50,
(Assumptions!$W$10*(AJ42/P42)^2+(Assumptions!$X$10*(AJ42/P42))+Assumptions!$Y$10),
(Assumptions!$W$11*(AJ42/P42)^2+(Assumptions!$X$11+(AJ42/P42))+Assumptions!$Y$11)))),
"")</f>
        <v/>
      </c>
      <c r="AL42" s="99" t="str">
        <f>IFERROR(
IF(C42="VTS",
IF(P42&gt;=AVERAGE(
INDEX(Assumptions!$I$38:$I$57,MATCH(P42,Assumptions!$I$38:$I$57,-1)),
INDEX(Assumptions!$I$38:$I$57,MATCH(P42,Assumptions!$I$38:$I$57,-1)+1)),
INDEX(Assumptions!$I$38:$I$57,MATCH(P42,Assumptions!$I$38:$I$57,-1)),
INDEX(Assumptions!$I$38:$I$57,MATCH(P42,Assumptions!$I$38:$I$57,-1)+1)),
IF(P42&gt;=AVERAGE(
INDEX(Assumptions!$I$13:$I$32,MATCH(P42,Assumptions!$I$13:$I$32,-1)),
INDEX(Assumptions!$I$13:$I$32,MATCH(P42,Assumptions!$I$13:$I$32,-1)+1)),
INDEX(Assumptions!$I$13:$I$32,MATCH(P42,Assumptions!$I$13:$I$32,-1)),
INDEX(Assumptions!$I$13:$I$32,MATCH(P42,Assumptions!$I$13:$I$32,-1)+1))),
"")</f>
        <v/>
      </c>
      <c r="AM42" s="95" t="str">
        <f>IFERROR(
IF(C42="VTS",
VLOOKUP(AL42,Assumptions!$I$38:$K$57,MATCH(R42,Assumptions!$I$37:$K$37,0),FALSE),
VLOOKUP(AL42,Assumptions!$I$13:$K$32,MATCH(R42,Assumptions!$I$12:$K$12,0),FALSE)),
"")</f>
        <v/>
      </c>
      <c r="AN42" s="95" t="str">
        <f t="shared" si="14"/>
        <v/>
      </c>
      <c r="AO42" s="95" t="str">
        <f>IFERROR(AN42*
(Assumptions!$S$7*(X42/(AR42*Assumptions!$AB$9/100)/P42)^3+
Assumptions!$S$8*(X42/(AR42*Assumptions!$AB$9/100)/P42)^2+
Assumptions!$S$9*(X42/(AR42*Assumptions!$AB$9/100)/P42)+
Assumptions!$S$10),"")</f>
        <v/>
      </c>
      <c r="AP42" s="95" t="str">
        <f>IFERROR(AN42*
(Assumptions!$S$7*(AA42/(AR42*Assumptions!$AB$8/100)/P42)^3+
Assumptions!$S$8*(AA42/(AR42*Assumptions!$AB$8/100)/P42)^2+
Assumptions!$S$9*(AA42/(AR42*Assumptions!$AB$8/100)/P42)+
Assumptions!$S$10),"")</f>
        <v/>
      </c>
      <c r="AQ42" s="95" t="str">
        <f>IFERROR(AN42*
(Assumptions!$S$7*(AD42/(AR42*Assumptions!$AB$10/100)/P42)^3+
Assumptions!$S$8*(AD42/(AR42*Assumptions!$AB$10/100)/P42)^2+
Assumptions!$S$9*(AD42/(AR42*Assumptions!$AB$10/100)/P42)+
Assumptions!$S$10),"")</f>
        <v/>
      </c>
      <c r="AR42" s="95" t="str">
        <f>IFERROR(
Assumptions!$AD$8*LN(U42)^2+
Assumptions!$AE$8*LN(T42)*LN(U42)+
Assumptions!$AF$8*LN(T42)^2+
Assumptions!$AG$8*LN(U42)+
Assumptions!$AH$8*LN(T42)-
(IF(S42=1800,
VLOOKUP(C42,Assumptions!$AA$13:$AC$17,3),
IF(S42=3600,
VLOOKUP(C42,Assumptions!$AA$18:$AC$22,3),
""))+Assumptions!$AI$8),
"")</f>
        <v/>
      </c>
      <c r="AS42" s="96" t="str">
        <f>IFERROR(
Assumptions!$D$11*(X42/(Assumptions!$AB$9*AR42/100)+AO42)+
Assumptions!$D$10*(AA42/(Assumptions!$AB$8*AR42/100)+AP42)+
Assumptions!$D$12*(AD42/(Assumptions!$AB$10*AR42/100)+AQ42),
"")</f>
        <v/>
      </c>
      <c r="AT42" s="76" t="str">
        <f>IFERROR(
(W42+AE42)*Assumptions!$F$11+
(AF42+AG42)*Assumptions!$F$8+
(AH42+AI42)*Assumptions!$F$9+
(AJ42+AK42)*Assumptions!$F$10,
"")</f>
        <v/>
      </c>
      <c r="AU42" s="77" t="str">
        <f t="shared" si="15"/>
        <v/>
      </c>
      <c r="AV42" s="68" t="str">
        <f t="shared" si="1"/>
        <v/>
      </c>
    </row>
    <row r="43" spans="1:48" x14ac:dyDescent="0.25">
      <c r="A43" s="264"/>
      <c r="B43" s="265"/>
      <c r="C43" s="265"/>
      <c r="D43" s="265"/>
      <c r="E43" s="266"/>
      <c r="F43" s="270"/>
      <c r="G43" s="271"/>
      <c r="H43" s="271"/>
      <c r="I43" s="272"/>
      <c r="J43" s="270"/>
      <c r="K43" s="271"/>
      <c r="L43" s="272"/>
      <c r="M43" s="270"/>
      <c r="N43" s="271"/>
      <c r="O43" s="272"/>
      <c r="P43" s="290"/>
      <c r="Q43" s="314"/>
      <c r="R43" s="51" t="str">
        <f t="shared" si="16"/>
        <v/>
      </c>
      <c r="S43" s="84" t="str">
        <f t="shared" si="2"/>
        <v/>
      </c>
      <c r="T43" s="93" t="str">
        <f t="shared" si="3"/>
        <v/>
      </c>
      <c r="U43" s="100" t="str">
        <f t="shared" si="4"/>
        <v/>
      </c>
      <c r="V43" s="95" t="str">
        <f t="shared" si="5"/>
        <v/>
      </c>
      <c r="W43" s="95" t="str">
        <f t="shared" si="6"/>
        <v/>
      </c>
      <c r="X43" s="96" t="str">
        <f>IFERROR(U43*V43*Assumptions!$B$15/3956,"")</f>
        <v/>
      </c>
      <c r="Y43" s="102" t="str">
        <f t="shared" si="7"/>
        <v/>
      </c>
      <c r="Z43" s="95" t="str">
        <f t="shared" si="8"/>
        <v/>
      </c>
      <c r="AA43" s="96" t="str">
        <f>IFERROR(Y43*Z43*Assumptions!$B$15/3956,"")</f>
        <v/>
      </c>
      <c r="AB43" s="100" t="str">
        <f t="shared" si="9"/>
        <v/>
      </c>
      <c r="AC43" s="95" t="str">
        <f t="shared" si="10"/>
        <v/>
      </c>
      <c r="AD43" s="96" t="str">
        <f>IFERROR(AB43*AC43*Assumptions!$B$15/3956,"")</f>
        <v/>
      </c>
      <c r="AE43" s="94" t="str">
        <f>IFERROR(
IF(P43&lt;=5,
(Assumptions!$W$8*(W43/P43)^2+(Assumptions!$X$8*(W43/P43))+Assumptions!$Y$8),
IF(P43&lt;=20,
(Assumptions!$W$9*(W43/P43)^2+(Assumptions!$X$9*(W43/P43))+Assumptions!$Y$9),
IF(P43&lt;=50,
(Assumptions!$W$10*(W43/P43)^2+(Assumptions!$X$10*(W43/P43))+Assumptions!$Y$10),
(Assumptions!$W$11*(W43/P43)^2+(Assumptions!$X$11+(W43/P43))+Assumptions!$Y$11)))),
"")</f>
        <v/>
      </c>
      <c r="AF43" s="99" t="str">
        <f t="shared" si="11"/>
        <v/>
      </c>
      <c r="AG43" s="95" t="str">
        <f>IFERROR(
IF(P43&lt;=5,
(Assumptions!$W$8*(AF43/P43)^2+(Assumptions!$X$8*(AF43/P43))+Assumptions!$Y$8),
IF(P43&lt;=20,
(Assumptions!$W$9*(AF43/P43)^2+(Assumptions!$X$9*(AF43/P43))+Assumptions!$Y$9),
IF(P43&lt;=50,
(Assumptions!$W$10*(AF43/P43)^2+(Assumptions!$X$10*(AF43/P43))+Assumptions!$Y$10),
(Assumptions!$W$11*(AF43/P43)^2+(Assumptions!$X$11+(AF43/P43))+Assumptions!$Y$11)))),
"")</f>
        <v/>
      </c>
      <c r="AH43" s="95" t="str">
        <f t="shared" si="12"/>
        <v/>
      </c>
      <c r="AI43" s="95" t="str">
        <f>IFERROR(
IF(P43&lt;=5,
(Assumptions!$W$8*(AH43/P43)^2+(Assumptions!$X$8*(AH43/P43))+Assumptions!$Y$8),
IF(P43&lt;=20,
(Assumptions!$W$9*(AH43/P43)^2+(Assumptions!$X$9*(AH43/P43))+Assumptions!$Y$9),
IF(P43&lt;=50,
(Assumptions!$W$10*(AH43/P43)^2+(Assumptions!$X$10*(AH43/P43))+Assumptions!$Y$10),
(Assumptions!$W$11*(AH43/P43)^2+(Assumptions!$X$11+(AH43/P43))+Assumptions!$Y$11)))),"")</f>
        <v/>
      </c>
      <c r="AJ43" s="95" t="str">
        <f t="shared" si="13"/>
        <v/>
      </c>
      <c r="AK43" s="96" t="str">
        <f>IFERROR(
IF(P43&lt;=5,
(Assumptions!$W$8*(AJ43/P43)^2+(Assumptions!$X$8*(AJ43/P43))+Assumptions!$Y$8),
IF(P43&lt;=20,
(Assumptions!$W$9*(AJ43/P43)^2+(Assumptions!$X$9*(AJ43/P43))+Assumptions!$Y$9),
IF(P43&lt;=50,
(Assumptions!$W$10*(AJ43/P43)^2+(Assumptions!$X$10*(AJ43/P43))+Assumptions!$Y$10),
(Assumptions!$W$11*(AJ43/P43)^2+(Assumptions!$X$11+(AJ43/P43))+Assumptions!$Y$11)))),
"")</f>
        <v/>
      </c>
      <c r="AL43" s="99" t="str">
        <f>IFERROR(
IF(C43="VTS",
IF(P43&gt;=AVERAGE(
INDEX(Assumptions!$I$38:$I$57,MATCH(P43,Assumptions!$I$38:$I$57,-1)),
INDEX(Assumptions!$I$38:$I$57,MATCH(P43,Assumptions!$I$38:$I$57,-1)+1)),
INDEX(Assumptions!$I$38:$I$57,MATCH(P43,Assumptions!$I$38:$I$57,-1)),
INDEX(Assumptions!$I$38:$I$57,MATCH(P43,Assumptions!$I$38:$I$57,-1)+1)),
IF(P43&gt;=AVERAGE(
INDEX(Assumptions!$I$13:$I$32,MATCH(P43,Assumptions!$I$13:$I$32,-1)),
INDEX(Assumptions!$I$13:$I$32,MATCH(P43,Assumptions!$I$13:$I$32,-1)+1)),
INDEX(Assumptions!$I$13:$I$32,MATCH(P43,Assumptions!$I$13:$I$32,-1)),
INDEX(Assumptions!$I$13:$I$32,MATCH(P43,Assumptions!$I$13:$I$32,-1)+1))),
"")</f>
        <v/>
      </c>
      <c r="AM43" s="95" t="str">
        <f>IFERROR(
IF(C43="VTS",
VLOOKUP(AL43,Assumptions!$I$38:$K$57,MATCH(R43,Assumptions!$I$37:$K$37,0),FALSE),
VLOOKUP(AL43,Assumptions!$I$13:$K$32,MATCH(R43,Assumptions!$I$12:$K$12,0),FALSE)),
"")</f>
        <v/>
      </c>
      <c r="AN43" s="95" t="str">
        <f t="shared" si="14"/>
        <v/>
      </c>
      <c r="AO43" s="95" t="str">
        <f>IFERROR(AN43*
(Assumptions!$S$7*(X43/(AR43*Assumptions!$AB$9/100)/P43)^3+
Assumptions!$S$8*(X43/(AR43*Assumptions!$AB$9/100)/P43)^2+
Assumptions!$S$9*(X43/(AR43*Assumptions!$AB$9/100)/P43)+
Assumptions!$S$10),"")</f>
        <v/>
      </c>
      <c r="AP43" s="95" t="str">
        <f>IFERROR(AN43*
(Assumptions!$S$7*(AA43/(AR43*Assumptions!$AB$8/100)/P43)^3+
Assumptions!$S$8*(AA43/(AR43*Assumptions!$AB$8/100)/P43)^2+
Assumptions!$S$9*(AA43/(AR43*Assumptions!$AB$8/100)/P43)+
Assumptions!$S$10),"")</f>
        <v/>
      </c>
      <c r="AQ43" s="95" t="str">
        <f>IFERROR(AN43*
(Assumptions!$S$7*(AD43/(AR43*Assumptions!$AB$10/100)/P43)^3+
Assumptions!$S$8*(AD43/(AR43*Assumptions!$AB$10/100)/P43)^2+
Assumptions!$S$9*(AD43/(AR43*Assumptions!$AB$10/100)/P43)+
Assumptions!$S$10),"")</f>
        <v/>
      </c>
      <c r="AR43" s="95" t="str">
        <f>IFERROR(
Assumptions!$AD$8*LN(U43)^2+
Assumptions!$AE$8*LN(T43)*LN(U43)+
Assumptions!$AF$8*LN(T43)^2+
Assumptions!$AG$8*LN(U43)+
Assumptions!$AH$8*LN(T43)-
(IF(S43=1800,
VLOOKUP(C43,Assumptions!$AA$13:$AC$17,3),
IF(S43=3600,
VLOOKUP(C43,Assumptions!$AA$18:$AC$22,3),
""))+Assumptions!$AI$8),
"")</f>
        <v/>
      </c>
      <c r="AS43" s="96" t="str">
        <f>IFERROR(
Assumptions!$D$11*(X43/(Assumptions!$AB$9*AR43/100)+AO43)+
Assumptions!$D$10*(AA43/(Assumptions!$AB$8*AR43/100)+AP43)+
Assumptions!$D$12*(AD43/(Assumptions!$AB$10*AR43/100)+AQ43),
"")</f>
        <v/>
      </c>
      <c r="AT43" s="76" t="str">
        <f>IFERROR(
(W43+AE43)*Assumptions!$F$11+
(AF43+AG43)*Assumptions!$F$8+
(AH43+AI43)*Assumptions!$F$9+
(AJ43+AK43)*Assumptions!$F$10,
"")</f>
        <v/>
      </c>
      <c r="AU43" s="77" t="str">
        <f t="shared" si="15"/>
        <v/>
      </c>
      <c r="AV43" s="68" t="str">
        <f t="shared" si="1"/>
        <v/>
      </c>
    </row>
    <row r="44" spans="1:48" x14ac:dyDescent="0.25">
      <c r="A44" s="264"/>
      <c r="B44" s="265"/>
      <c r="C44" s="265"/>
      <c r="D44" s="265"/>
      <c r="E44" s="266"/>
      <c r="F44" s="270"/>
      <c r="G44" s="271"/>
      <c r="H44" s="271"/>
      <c r="I44" s="272"/>
      <c r="J44" s="270"/>
      <c r="K44" s="271"/>
      <c r="L44" s="272"/>
      <c r="M44" s="270"/>
      <c r="N44" s="271"/>
      <c r="O44" s="272"/>
      <c r="P44" s="290"/>
      <c r="Q44" s="314"/>
      <c r="R44" s="51" t="str">
        <f t="shared" si="16"/>
        <v/>
      </c>
      <c r="S44" s="84" t="str">
        <f t="shared" si="2"/>
        <v/>
      </c>
      <c r="T44" s="93" t="str">
        <f t="shared" si="3"/>
        <v/>
      </c>
      <c r="U44" s="100" t="str">
        <f t="shared" si="4"/>
        <v/>
      </c>
      <c r="V44" s="95" t="str">
        <f t="shared" si="5"/>
        <v/>
      </c>
      <c r="W44" s="95" t="str">
        <f t="shared" si="6"/>
        <v/>
      </c>
      <c r="X44" s="96" t="str">
        <f>IFERROR(U44*V44*Assumptions!$B$15/3956,"")</f>
        <v/>
      </c>
      <c r="Y44" s="102" t="str">
        <f t="shared" si="7"/>
        <v/>
      </c>
      <c r="Z44" s="95" t="str">
        <f t="shared" si="8"/>
        <v/>
      </c>
      <c r="AA44" s="96" t="str">
        <f>IFERROR(Y44*Z44*Assumptions!$B$15/3956,"")</f>
        <v/>
      </c>
      <c r="AB44" s="100" t="str">
        <f t="shared" si="9"/>
        <v/>
      </c>
      <c r="AC44" s="95" t="str">
        <f t="shared" si="10"/>
        <v/>
      </c>
      <c r="AD44" s="96" t="str">
        <f>IFERROR(AB44*AC44*Assumptions!$B$15/3956,"")</f>
        <v/>
      </c>
      <c r="AE44" s="94" t="str">
        <f>IFERROR(
IF(P44&lt;=5,
(Assumptions!$W$8*(W44/P44)^2+(Assumptions!$X$8*(W44/P44))+Assumptions!$Y$8),
IF(P44&lt;=20,
(Assumptions!$W$9*(W44/P44)^2+(Assumptions!$X$9*(W44/P44))+Assumptions!$Y$9),
IF(P44&lt;=50,
(Assumptions!$W$10*(W44/P44)^2+(Assumptions!$X$10*(W44/P44))+Assumptions!$Y$10),
(Assumptions!$W$11*(W44/P44)^2+(Assumptions!$X$11+(W44/P44))+Assumptions!$Y$11)))),
"")</f>
        <v/>
      </c>
      <c r="AF44" s="99" t="str">
        <f t="shared" si="11"/>
        <v/>
      </c>
      <c r="AG44" s="95" t="str">
        <f>IFERROR(
IF(P44&lt;=5,
(Assumptions!$W$8*(AF44/P44)^2+(Assumptions!$X$8*(AF44/P44))+Assumptions!$Y$8),
IF(P44&lt;=20,
(Assumptions!$W$9*(AF44/P44)^2+(Assumptions!$X$9*(AF44/P44))+Assumptions!$Y$9),
IF(P44&lt;=50,
(Assumptions!$W$10*(AF44/P44)^2+(Assumptions!$X$10*(AF44/P44))+Assumptions!$Y$10),
(Assumptions!$W$11*(AF44/P44)^2+(Assumptions!$X$11+(AF44/P44))+Assumptions!$Y$11)))),
"")</f>
        <v/>
      </c>
      <c r="AH44" s="95" t="str">
        <f t="shared" si="12"/>
        <v/>
      </c>
      <c r="AI44" s="95" t="str">
        <f>IFERROR(
IF(P44&lt;=5,
(Assumptions!$W$8*(AH44/P44)^2+(Assumptions!$X$8*(AH44/P44))+Assumptions!$Y$8),
IF(P44&lt;=20,
(Assumptions!$W$9*(AH44/P44)^2+(Assumptions!$X$9*(AH44/P44))+Assumptions!$Y$9),
IF(P44&lt;=50,
(Assumptions!$W$10*(AH44/P44)^2+(Assumptions!$X$10*(AH44/P44))+Assumptions!$Y$10),
(Assumptions!$W$11*(AH44/P44)^2+(Assumptions!$X$11+(AH44/P44))+Assumptions!$Y$11)))),"")</f>
        <v/>
      </c>
      <c r="AJ44" s="95" t="str">
        <f t="shared" si="13"/>
        <v/>
      </c>
      <c r="AK44" s="96" t="str">
        <f>IFERROR(
IF(P44&lt;=5,
(Assumptions!$W$8*(AJ44/P44)^2+(Assumptions!$X$8*(AJ44/P44))+Assumptions!$Y$8),
IF(P44&lt;=20,
(Assumptions!$W$9*(AJ44/P44)^2+(Assumptions!$X$9*(AJ44/P44))+Assumptions!$Y$9),
IF(P44&lt;=50,
(Assumptions!$W$10*(AJ44/P44)^2+(Assumptions!$X$10*(AJ44/P44))+Assumptions!$Y$10),
(Assumptions!$W$11*(AJ44/P44)^2+(Assumptions!$X$11+(AJ44/P44))+Assumptions!$Y$11)))),
"")</f>
        <v/>
      </c>
      <c r="AL44" s="99" t="str">
        <f>IFERROR(
IF(C44="VTS",
IF(P44&gt;=AVERAGE(
INDEX(Assumptions!$I$38:$I$57,MATCH(P44,Assumptions!$I$38:$I$57,-1)),
INDEX(Assumptions!$I$38:$I$57,MATCH(P44,Assumptions!$I$38:$I$57,-1)+1)),
INDEX(Assumptions!$I$38:$I$57,MATCH(P44,Assumptions!$I$38:$I$57,-1)),
INDEX(Assumptions!$I$38:$I$57,MATCH(P44,Assumptions!$I$38:$I$57,-1)+1)),
IF(P44&gt;=AVERAGE(
INDEX(Assumptions!$I$13:$I$32,MATCH(P44,Assumptions!$I$13:$I$32,-1)),
INDEX(Assumptions!$I$13:$I$32,MATCH(P44,Assumptions!$I$13:$I$32,-1)+1)),
INDEX(Assumptions!$I$13:$I$32,MATCH(P44,Assumptions!$I$13:$I$32,-1)),
INDEX(Assumptions!$I$13:$I$32,MATCH(P44,Assumptions!$I$13:$I$32,-1)+1))),
"")</f>
        <v/>
      </c>
      <c r="AM44" s="95" t="str">
        <f>IFERROR(
IF(C44="VTS",
VLOOKUP(AL44,Assumptions!$I$38:$K$57,MATCH(R44,Assumptions!$I$37:$K$37,0),FALSE),
VLOOKUP(AL44,Assumptions!$I$13:$K$32,MATCH(R44,Assumptions!$I$12:$K$12,0),FALSE)),
"")</f>
        <v/>
      </c>
      <c r="AN44" s="95" t="str">
        <f t="shared" si="14"/>
        <v/>
      </c>
      <c r="AO44" s="95" t="str">
        <f>IFERROR(AN44*
(Assumptions!$S$7*(X44/(AR44*Assumptions!$AB$9/100)/P44)^3+
Assumptions!$S$8*(X44/(AR44*Assumptions!$AB$9/100)/P44)^2+
Assumptions!$S$9*(X44/(AR44*Assumptions!$AB$9/100)/P44)+
Assumptions!$S$10),"")</f>
        <v/>
      </c>
      <c r="AP44" s="95" t="str">
        <f>IFERROR(AN44*
(Assumptions!$S$7*(AA44/(AR44*Assumptions!$AB$8/100)/P44)^3+
Assumptions!$S$8*(AA44/(AR44*Assumptions!$AB$8/100)/P44)^2+
Assumptions!$S$9*(AA44/(AR44*Assumptions!$AB$8/100)/P44)+
Assumptions!$S$10),"")</f>
        <v/>
      </c>
      <c r="AQ44" s="95" t="str">
        <f>IFERROR(AN44*
(Assumptions!$S$7*(AD44/(AR44*Assumptions!$AB$10/100)/P44)^3+
Assumptions!$S$8*(AD44/(AR44*Assumptions!$AB$10/100)/P44)^2+
Assumptions!$S$9*(AD44/(AR44*Assumptions!$AB$10/100)/P44)+
Assumptions!$S$10),"")</f>
        <v/>
      </c>
      <c r="AR44" s="95" t="str">
        <f>IFERROR(
Assumptions!$AD$8*LN(U44)^2+
Assumptions!$AE$8*LN(T44)*LN(U44)+
Assumptions!$AF$8*LN(T44)^2+
Assumptions!$AG$8*LN(U44)+
Assumptions!$AH$8*LN(T44)-
(IF(S44=1800,
VLOOKUP(C44,Assumptions!$AA$13:$AC$17,3),
IF(S44=3600,
VLOOKUP(C44,Assumptions!$AA$18:$AC$22,3),
""))+Assumptions!$AI$8),
"")</f>
        <v/>
      </c>
      <c r="AS44" s="96" t="str">
        <f>IFERROR(
Assumptions!$D$11*(X44/(Assumptions!$AB$9*AR44/100)+AO44)+
Assumptions!$D$10*(AA44/(Assumptions!$AB$8*AR44/100)+AP44)+
Assumptions!$D$12*(AD44/(Assumptions!$AB$10*AR44/100)+AQ44),
"")</f>
        <v/>
      </c>
      <c r="AT44" s="76" t="str">
        <f>IFERROR(
(W44+AE44)*Assumptions!$F$11+
(AF44+AG44)*Assumptions!$F$8+
(AH44+AI44)*Assumptions!$F$9+
(AJ44+AK44)*Assumptions!$F$10,
"")</f>
        <v/>
      </c>
      <c r="AU44" s="77" t="str">
        <f t="shared" si="15"/>
        <v/>
      </c>
      <c r="AV44" s="68" t="str">
        <f t="shared" si="1"/>
        <v/>
      </c>
    </row>
    <row r="45" spans="1:48" x14ac:dyDescent="0.25">
      <c r="A45" s="264"/>
      <c r="B45" s="265"/>
      <c r="C45" s="265"/>
      <c r="D45" s="265"/>
      <c r="E45" s="266"/>
      <c r="F45" s="270"/>
      <c r="G45" s="271"/>
      <c r="H45" s="271"/>
      <c r="I45" s="272"/>
      <c r="J45" s="270"/>
      <c r="K45" s="271"/>
      <c r="L45" s="272"/>
      <c r="M45" s="270"/>
      <c r="N45" s="271"/>
      <c r="O45" s="272"/>
      <c r="P45" s="290"/>
      <c r="Q45" s="314"/>
      <c r="R45" s="51" t="str">
        <f t="shared" si="16"/>
        <v/>
      </c>
      <c r="S45" s="84" t="str">
        <f t="shared" si="2"/>
        <v/>
      </c>
      <c r="T45" s="93" t="str">
        <f t="shared" si="3"/>
        <v/>
      </c>
      <c r="U45" s="100" t="str">
        <f t="shared" si="4"/>
        <v/>
      </c>
      <c r="V45" s="95" t="str">
        <f t="shared" si="5"/>
        <v/>
      </c>
      <c r="W45" s="95" t="str">
        <f t="shared" si="6"/>
        <v/>
      </c>
      <c r="X45" s="96" t="str">
        <f>IFERROR(U45*V45*Assumptions!$B$15/3956,"")</f>
        <v/>
      </c>
      <c r="Y45" s="102" t="str">
        <f t="shared" si="7"/>
        <v/>
      </c>
      <c r="Z45" s="95" t="str">
        <f t="shared" si="8"/>
        <v/>
      </c>
      <c r="AA45" s="96" t="str">
        <f>IFERROR(Y45*Z45*Assumptions!$B$15/3956,"")</f>
        <v/>
      </c>
      <c r="AB45" s="100" t="str">
        <f t="shared" si="9"/>
        <v/>
      </c>
      <c r="AC45" s="95" t="str">
        <f t="shared" si="10"/>
        <v/>
      </c>
      <c r="AD45" s="96" t="str">
        <f>IFERROR(AB45*AC45*Assumptions!$B$15/3956,"")</f>
        <v/>
      </c>
      <c r="AE45" s="94" t="str">
        <f>IFERROR(
IF(P45&lt;=5,
(Assumptions!$W$8*(W45/P45)^2+(Assumptions!$X$8*(W45/P45))+Assumptions!$Y$8),
IF(P45&lt;=20,
(Assumptions!$W$9*(W45/P45)^2+(Assumptions!$X$9*(W45/P45))+Assumptions!$Y$9),
IF(P45&lt;=50,
(Assumptions!$W$10*(W45/P45)^2+(Assumptions!$X$10*(W45/P45))+Assumptions!$Y$10),
(Assumptions!$W$11*(W45/P45)^2+(Assumptions!$X$11+(W45/P45))+Assumptions!$Y$11)))),
"")</f>
        <v/>
      </c>
      <c r="AF45" s="99" t="str">
        <f t="shared" si="11"/>
        <v/>
      </c>
      <c r="AG45" s="95" t="str">
        <f>IFERROR(
IF(P45&lt;=5,
(Assumptions!$W$8*(AF45/P45)^2+(Assumptions!$X$8*(AF45/P45))+Assumptions!$Y$8),
IF(P45&lt;=20,
(Assumptions!$W$9*(AF45/P45)^2+(Assumptions!$X$9*(AF45/P45))+Assumptions!$Y$9),
IF(P45&lt;=50,
(Assumptions!$W$10*(AF45/P45)^2+(Assumptions!$X$10*(AF45/P45))+Assumptions!$Y$10),
(Assumptions!$W$11*(AF45/P45)^2+(Assumptions!$X$11+(AF45/P45))+Assumptions!$Y$11)))),
"")</f>
        <v/>
      </c>
      <c r="AH45" s="95" t="str">
        <f t="shared" si="12"/>
        <v/>
      </c>
      <c r="AI45" s="95" t="str">
        <f>IFERROR(
IF(P45&lt;=5,
(Assumptions!$W$8*(AH45/P45)^2+(Assumptions!$X$8*(AH45/P45))+Assumptions!$Y$8),
IF(P45&lt;=20,
(Assumptions!$W$9*(AH45/P45)^2+(Assumptions!$X$9*(AH45/P45))+Assumptions!$Y$9),
IF(P45&lt;=50,
(Assumptions!$W$10*(AH45/P45)^2+(Assumptions!$X$10*(AH45/P45))+Assumptions!$Y$10),
(Assumptions!$W$11*(AH45/P45)^2+(Assumptions!$X$11+(AH45/P45))+Assumptions!$Y$11)))),"")</f>
        <v/>
      </c>
      <c r="AJ45" s="95" t="str">
        <f t="shared" si="13"/>
        <v/>
      </c>
      <c r="AK45" s="96" t="str">
        <f>IFERROR(
IF(P45&lt;=5,
(Assumptions!$W$8*(AJ45/P45)^2+(Assumptions!$X$8*(AJ45/P45))+Assumptions!$Y$8),
IF(P45&lt;=20,
(Assumptions!$W$9*(AJ45/P45)^2+(Assumptions!$X$9*(AJ45/P45))+Assumptions!$Y$9),
IF(P45&lt;=50,
(Assumptions!$W$10*(AJ45/P45)^2+(Assumptions!$X$10*(AJ45/P45))+Assumptions!$Y$10),
(Assumptions!$W$11*(AJ45/P45)^2+(Assumptions!$X$11+(AJ45/P45))+Assumptions!$Y$11)))),
"")</f>
        <v/>
      </c>
      <c r="AL45" s="99" t="str">
        <f>IFERROR(
IF(C45="VTS",
IF(P45&gt;=AVERAGE(
INDEX(Assumptions!$I$38:$I$57,MATCH(P45,Assumptions!$I$38:$I$57,-1)),
INDEX(Assumptions!$I$38:$I$57,MATCH(P45,Assumptions!$I$38:$I$57,-1)+1)),
INDEX(Assumptions!$I$38:$I$57,MATCH(P45,Assumptions!$I$38:$I$57,-1)),
INDEX(Assumptions!$I$38:$I$57,MATCH(P45,Assumptions!$I$38:$I$57,-1)+1)),
IF(P45&gt;=AVERAGE(
INDEX(Assumptions!$I$13:$I$32,MATCH(P45,Assumptions!$I$13:$I$32,-1)),
INDEX(Assumptions!$I$13:$I$32,MATCH(P45,Assumptions!$I$13:$I$32,-1)+1)),
INDEX(Assumptions!$I$13:$I$32,MATCH(P45,Assumptions!$I$13:$I$32,-1)),
INDEX(Assumptions!$I$13:$I$32,MATCH(P45,Assumptions!$I$13:$I$32,-1)+1))),
"")</f>
        <v/>
      </c>
      <c r="AM45" s="95" t="str">
        <f>IFERROR(
IF(C45="VTS",
VLOOKUP(AL45,Assumptions!$I$38:$K$57,MATCH(R45,Assumptions!$I$37:$K$37,0),FALSE),
VLOOKUP(AL45,Assumptions!$I$13:$K$32,MATCH(R45,Assumptions!$I$12:$K$12,0),FALSE)),
"")</f>
        <v/>
      </c>
      <c r="AN45" s="95" t="str">
        <f t="shared" si="14"/>
        <v/>
      </c>
      <c r="AO45" s="95" t="str">
        <f>IFERROR(AN45*
(Assumptions!$S$7*(X45/(AR45*Assumptions!$AB$9/100)/P45)^3+
Assumptions!$S$8*(X45/(AR45*Assumptions!$AB$9/100)/P45)^2+
Assumptions!$S$9*(X45/(AR45*Assumptions!$AB$9/100)/P45)+
Assumptions!$S$10),"")</f>
        <v/>
      </c>
      <c r="AP45" s="95" t="str">
        <f>IFERROR(AN45*
(Assumptions!$S$7*(AA45/(AR45*Assumptions!$AB$8/100)/P45)^3+
Assumptions!$S$8*(AA45/(AR45*Assumptions!$AB$8/100)/P45)^2+
Assumptions!$S$9*(AA45/(AR45*Assumptions!$AB$8/100)/P45)+
Assumptions!$S$10),"")</f>
        <v/>
      </c>
      <c r="AQ45" s="95" t="str">
        <f>IFERROR(AN45*
(Assumptions!$S$7*(AD45/(AR45*Assumptions!$AB$10/100)/P45)^3+
Assumptions!$S$8*(AD45/(AR45*Assumptions!$AB$10/100)/P45)^2+
Assumptions!$S$9*(AD45/(AR45*Assumptions!$AB$10/100)/P45)+
Assumptions!$S$10),"")</f>
        <v/>
      </c>
      <c r="AR45" s="95" t="str">
        <f>IFERROR(
Assumptions!$AD$8*LN(U45)^2+
Assumptions!$AE$8*LN(T45)*LN(U45)+
Assumptions!$AF$8*LN(T45)^2+
Assumptions!$AG$8*LN(U45)+
Assumptions!$AH$8*LN(T45)-
(IF(S45=1800,
VLOOKUP(C45,Assumptions!$AA$13:$AC$17,3),
IF(S45=3600,
VLOOKUP(C45,Assumptions!$AA$18:$AC$22,3),
""))+Assumptions!$AI$8),
"")</f>
        <v/>
      </c>
      <c r="AS45" s="96" t="str">
        <f>IFERROR(
Assumptions!$D$11*(X45/(Assumptions!$AB$9*AR45/100)+AO45)+
Assumptions!$D$10*(AA45/(Assumptions!$AB$8*AR45/100)+AP45)+
Assumptions!$D$12*(AD45/(Assumptions!$AB$10*AR45/100)+AQ45),
"")</f>
        <v/>
      </c>
      <c r="AT45" s="76" t="str">
        <f>IFERROR(
(W45+AE45)*Assumptions!$F$11+
(AF45+AG45)*Assumptions!$F$8+
(AH45+AI45)*Assumptions!$F$9+
(AJ45+AK45)*Assumptions!$F$10,
"")</f>
        <v/>
      </c>
      <c r="AU45" s="77" t="str">
        <f t="shared" si="15"/>
        <v/>
      </c>
      <c r="AV45" s="68" t="str">
        <f t="shared" si="1"/>
        <v/>
      </c>
    </row>
    <row r="46" spans="1:48" x14ac:dyDescent="0.25">
      <c r="A46" s="264"/>
      <c r="B46" s="265"/>
      <c r="C46" s="265"/>
      <c r="D46" s="265"/>
      <c r="E46" s="266"/>
      <c r="F46" s="270"/>
      <c r="G46" s="271"/>
      <c r="H46" s="271"/>
      <c r="I46" s="272"/>
      <c r="J46" s="270"/>
      <c r="K46" s="271"/>
      <c r="L46" s="272"/>
      <c r="M46" s="270"/>
      <c r="N46" s="271"/>
      <c r="O46" s="272"/>
      <c r="P46" s="290"/>
      <c r="Q46" s="314"/>
      <c r="R46" s="51" t="str">
        <f t="shared" si="16"/>
        <v/>
      </c>
      <c r="S46" s="84" t="str">
        <f t="shared" si="2"/>
        <v/>
      </c>
      <c r="T46" s="93" t="str">
        <f t="shared" si="3"/>
        <v/>
      </c>
      <c r="U46" s="100" t="str">
        <f t="shared" si="4"/>
        <v/>
      </c>
      <c r="V46" s="95" t="str">
        <f t="shared" si="5"/>
        <v/>
      </c>
      <c r="W46" s="95" t="str">
        <f t="shared" si="6"/>
        <v/>
      </c>
      <c r="X46" s="96" t="str">
        <f>IFERROR(U46*V46*Assumptions!$B$15/3956,"")</f>
        <v/>
      </c>
      <c r="Y46" s="102" t="str">
        <f t="shared" si="7"/>
        <v/>
      </c>
      <c r="Z46" s="95" t="str">
        <f t="shared" si="8"/>
        <v/>
      </c>
      <c r="AA46" s="96" t="str">
        <f>IFERROR(Y46*Z46*Assumptions!$B$15/3956,"")</f>
        <v/>
      </c>
      <c r="AB46" s="100" t="str">
        <f t="shared" si="9"/>
        <v/>
      </c>
      <c r="AC46" s="95" t="str">
        <f t="shared" si="10"/>
        <v/>
      </c>
      <c r="AD46" s="96" t="str">
        <f>IFERROR(AB46*AC46*Assumptions!$B$15/3956,"")</f>
        <v/>
      </c>
      <c r="AE46" s="94" t="str">
        <f>IFERROR(
IF(P46&lt;=5,
(Assumptions!$W$8*(W46/P46)^2+(Assumptions!$X$8*(W46/P46))+Assumptions!$Y$8),
IF(P46&lt;=20,
(Assumptions!$W$9*(W46/P46)^2+(Assumptions!$X$9*(W46/P46))+Assumptions!$Y$9),
IF(P46&lt;=50,
(Assumptions!$W$10*(W46/P46)^2+(Assumptions!$X$10*(W46/P46))+Assumptions!$Y$10),
(Assumptions!$W$11*(W46/P46)^2+(Assumptions!$X$11+(W46/P46))+Assumptions!$Y$11)))),
"")</f>
        <v/>
      </c>
      <c r="AF46" s="99" t="str">
        <f t="shared" si="11"/>
        <v/>
      </c>
      <c r="AG46" s="95" t="str">
        <f>IFERROR(
IF(P46&lt;=5,
(Assumptions!$W$8*(AF46/P46)^2+(Assumptions!$X$8*(AF46/P46))+Assumptions!$Y$8),
IF(P46&lt;=20,
(Assumptions!$W$9*(AF46/P46)^2+(Assumptions!$X$9*(AF46/P46))+Assumptions!$Y$9),
IF(P46&lt;=50,
(Assumptions!$W$10*(AF46/P46)^2+(Assumptions!$X$10*(AF46/P46))+Assumptions!$Y$10),
(Assumptions!$W$11*(AF46/P46)^2+(Assumptions!$X$11+(AF46/P46))+Assumptions!$Y$11)))),
"")</f>
        <v/>
      </c>
      <c r="AH46" s="95" t="str">
        <f t="shared" si="12"/>
        <v/>
      </c>
      <c r="AI46" s="95" t="str">
        <f>IFERROR(
IF(P46&lt;=5,
(Assumptions!$W$8*(AH46/P46)^2+(Assumptions!$X$8*(AH46/P46))+Assumptions!$Y$8),
IF(P46&lt;=20,
(Assumptions!$W$9*(AH46/P46)^2+(Assumptions!$X$9*(AH46/P46))+Assumptions!$Y$9),
IF(P46&lt;=50,
(Assumptions!$W$10*(AH46/P46)^2+(Assumptions!$X$10*(AH46/P46))+Assumptions!$Y$10),
(Assumptions!$W$11*(AH46/P46)^2+(Assumptions!$X$11+(AH46/P46))+Assumptions!$Y$11)))),"")</f>
        <v/>
      </c>
      <c r="AJ46" s="95" t="str">
        <f t="shared" si="13"/>
        <v/>
      </c>
      <c r="AK46" s="96" t="str">
        <f>IFERROR(
IF(P46&lt;=5,
(Assumptions!$W$8*(AJ46/P46)^2+(Assumptions!$X$8*(AJ46/P46))+Assumptions!$Y$8),
IF(P46&lt;=20,
(Assumptions!$W$9*(AJ46/P46)^2+(Assumptions!$X$9*(AJ46/P46))+Assumptions!$Y$9),
IF(P46&lt;=50,
(Assumptions!$W$10*(AJ46/P46)^2+(Assumptions!$X$10*(AJ46/P46))+Assumptions!$Y$10),
(Assumptions!$W$11*(AJ46/P46)^2+(Assumptions!$X$11+(AJ46/P46))+Assumptions!$Y$11)))),
"")</f>
        <v/>
      </c>
      <c r="AL46" s="99" t="str">
        <f>IFERROR(
IF(C46="VTS",
IF(P46&gt;=AVERAGE(
INDEX(Assumptions!$I$38:$I$57,MATCH(P46,Assumptions!$I$38:$I$57,-1)),
INDEX(Assumptions!$I$38:$I$57,MATCH(P46,Assumptions!$I$38:$I$57,-1)+1)),
INDEX(Assumptions!$I$38:$I$57,MATCH(P46,Assumptions!$I$38:$I$57,-1)),
INDEX(Assumptions!$I$38:$I$57,MATCH(P46,Assumptions!$I$38:$I$57,-1)+1)),
IF(P46&gt;=AVERAGE(
INDEX(Assumptions!$I$13:$I$32,MATCH(P46,Assumptions!$I$13:$I$32,-1)),
INDEX(Assumptions!$I$13:$I$32,MATCH(P46,Assumptions!$I$13:$I$32,-1)+1)),
INDEX(Assumptions!$I$13:$I$32,MATCH(P46,Assumptions!$I$13:$I$32,-1)),
INDEX(Assumptions!$I$13:$I$32,MATCH(P46,Assumptions!$I$13:$I$32,-1)+1))),
"")</f>
        <v/>
      </c>
      <c r="AM46" s="95" t="str">
        <f>IFERROR(
IF(C46="VTS",
VLOOKUP(AL46,Assumptions!$I$38:$K$57,MATCH(R46,Assumptions!$I$37:$K$37,0),FALSE),
VLOOKUP(AL46,Assumptions!$I$13:$K$32,MATCH(R46,Assumptions!$I$12:$K$12,0),FALSE)),
"")</f>
        <v/>
      </c>
      <c r="AN46" s="95" t="str">
        <f t="shared" si="14"/>
        <v/>
      </c>
      <c r="AO46" s="95" t="str">
        <f>IFERROR(AN46*
(Assumptions!$S$7*(X46/(AR46*Assumptions!$AB$9/100)/P46)^3+
Assumptions!$S$8*(X46/(AR46*Assumptions!$AB$9/100)/P46)^2+
Assumptions!$S$9*(X46/(AR46*Assumptions!$AB$9/100)/P46)+
Assumptions!$S$10),"")</f>
        <v/>
      </c>
      <c r="AP46" s="95" t="str">
        <f>IFERROR(AN46*
(Assumptions!$S$7*(AA46/(AR46*Assumptions!$AB$8/100)/P46)^3+
Assumptions!$S$8*(AA46/(AR46*Assumptions!$AB$8/100)/P46)^2+
Assumptions!$S$9*(AA46/(AR46*Assumptions!$AB$8/100)/P46)+
Assumptions!$S$10),"")</f>
        <v/>
      </c>
      <c r="AQ46" s="95" t="str">
        <f>IFERROR(AN46*
(Assumptions!$S$7*(AD46/(AR46*Assumptions!$AB$10/100)/P46)^3+
Assumptions!$S$8*(AD46/(AR46*Assumptions!$AB$10/100)/P46)^2+
Assumptions!$S$9*(AD46/(AR46*Assumptions!$AB$10/100)/P46)+
Assumptions!$S$10),"")</f>
        <v/>
      </c>
      <c r="AR46" s="95" t="str">
        <f>IFERROR(
Assumptions!$AD$8*LN(U46)^2+
Assumptions!$AE$8*LN(T46)*LN(U46)+
Assumptions!$AF$8*LN(T46)^2+
Assumptions!$AG$8*LN(U46)+
Assumptions!$AH$8*LN(T46)-
(IF(S46=1800,
VLOOKUP(C46,Assumptions!$AA$13:$AC$17,3),
IF(S46=3600,
VLOOKUP(C46,Assumptions!$AA$18:$AC$22,3),
""))+Assumptions!$AI$8),
"")</f>
        <v/>
      </c>
      <c r="AS46" s="96" t="str">
        <f>IFERROR(
Assumptions!$D$11*(X46/(Assumptions!$AB$9*AR46/100)+AO46)+
Assumptions!$D$10*(AA46/(Assumptions!$AB$8*AR46/100)+AP46)+
Assumptions!$D$12*(AD46/(Assumptions!$AB$10*AR46/100)+AQ46),
"")</f>
        <v/>
      </c>
      <c r="AT46" s="76" t="str">
        <f>IFERROR(
(W46+AE46)*Assumptions!$F$11+
(AF46+AG46)*Assumptions!$F$8+
(AH46+AI46)*Assumptions!$F$9+
(AJ46+AK46)*Assumptions!$F$10,
"")</f>
        <v/>
      </c>
      <c r="AU46" s="77" t="str">
        <f t="shared" si="15"/>
        <v/>
      </c>
      <c r="AV46" s="68" t="str">
        <f t="shared" si="1"/>
        <v/>
      </c>
    </row>
    <row r="47" spans="1:48" x14ac:dyDescent="0.25">
      <c r="A47" s="264"/>
      <c r="B47" s="265"/>
      <c r="C47" s="265"/>
      <c r="D47" s="265"/>
      <c r="E47" s="266"/>
      <c r="F47" s="270"/>
      <c r="G47" s="271"/>
      <c r="H47" s="271"/>
      <c r="I47" s="272"/>
      <c r="J47" s="270"/>
      <c r="K47" s="271"/>
      <c r="L47" s="272"/>
      <c r="M47" s="270"/>
      <c r="N47" s="271"/>
      <c r="O47" s="272"/>
      <c r="P47" s="290"/>
      <c r="Q47" s="314"/>
      <c r="R47" s="51" t="str">
        <f t="shared" si="16"/>
        <v/>
      </c>
      <c r="S47" s="84" t="str">
        <f t="shared" si="2"/>
        <v/>
      </c>
      <c r="T47" s="93" t="str">
        <f t="shared" si="3"/>
        <v/>
      </c>
      <c r="U47" s="100" t="str">
        <f t="shared" si="4"/>
        <v/>
      </c>
      <c r="V47" s="95" t="str">
        <f t="shared" si="5"/>
        <v/>
      </c>
      <c r="W47" s="95" t="str">
        <f t="shared" si="6"/>
        <v/>
      </c>
      <c r="X47" s="96" t="str">
        <f>IFERROR(U47*V47*Assumptions!$B$15/3956,"")</f>
        <v/>
      </c>
      <c r="Y47" s="102" t="str">
        <f t="shared" si="7"/>
        <v/>
      </c>
      <c r="Z47" s="95" t="str">
        <f t="shared" si="8"/>
        <v/>
      </c>
      <c r="AA47" s="96" t="str">
        <f>IFERROR(Y47*Z47*Assumptions!$B$15/3956,"")</f>
        <v/>
      </c>
      <c r="AB47" s="100" t="str">
        <f t="shared" si="9"/>
        <v/>
      </c>
      <c r="AC47" s="95" t="str">
        <f t="shared" si="10"/>
        <v/>
      </c>
      <c r="AD47" s="96" t="str">
        <f>IFERROR(AB47*AC47*Assumptions!$B$15/3956,"")</f>
        <v/>
      </c>
      <c r="AE47" s="94" t="str">
        <f>IFERROR(
IF(P47&lt;=5,
(Assumptions!$W$8*(W47/P47)^2+(Assumptions!$X$8*(W47/P47))+Assumptions!$Y$8),
IF(P47&lt;=20,
(Assumptions!$W$9*(W47/P47)^2+(Assumptions!$X$9*(W47/P47))+Assumptions!$Y$9),
IF(P47&lt;=50,
(Assumptions!$W$10*(W47/P47)^2+(Assumptions!$X$10*(W47/P47))+Assumptions!$Y$10),
(Assumptions!$W$11*(W47/P47)^2+(Assumptions!$X$11+(W47/P47))+Assumptions!$Y$11)))),
"")</f>
        <v/>
      </c>
      <c r="AF47" s="99" t="str">
        <f t="shared" si="11"/>
        <v/>
      </c>
      <c r="AG47" s="95" t="str">
        <f>IFERROR(
IF(P47&lt;=5,
(Assumptions!$W$8*(AF47/P47)^2+(Assumptions!$X$8*(AF47/P47))+Assumptions!$Y$8),
IF(P47&lt;=20,
(Assumptions!$W$9*(AF47/P47)^2+(Assumptions!$X$9*(AF47/P47))+Assumptions!$Y$9),
IF(P47&lt;=50,
(Assumptions!$W$10*(AF47/P47)^2+(Assumptions!$X$10*(AF47/P47))+Assumptions!$Y$10),
(Assumptions!$W$11*(AF47/P47)^2+(Assumptions!$X$11+(AF47/P47))+Assumptions!$Y$11)))),
"")</f>
        <v/>
      </c>
      <c r="AH47" s="95" t="str">
        <f t="shared" si="12"/>
        <v/>
      </c>
      <c r="AI47" s="95" t="str">
        <f>IFERROR(
IF(P47&lt;=5,
(Assumptions!$W$8*(AH47/P47)^2+(Assumptions!$X$8*(AH47/P47))+Assumptions!$Y$8),
IF(P47&lt;=20,
(Assumptions!$W$9*(AH47/P47)^2+(Assumptions!$X$9*(AH47/P47))+Assumptions!$Y$9),
IF(P47&lt;=50,
(Assumptions!$W$10*(AH47/P47)^2+(Assumptions!$X$10*(AH47/P47))+Assumptions!$Y$10),
(Assumptions!$W$11*(AH47/P47)^2+(Assumptions!$X$11+(AH47/P47))+Assumptions!$Y$11)))),"")</f>
        <v/>
      </c>
      <c r="AJ47" s="95" t="str">
        <f t="shared" si="13"/>
        <v/>
      </c>
      <c r="AK47" s="96" t="str">
        <f>IFERROR(
IF(P47&lt;=5,
(Assumptions!$W$8*(AJ47/P47)^2+(Assumptions!$X$8*(AJ47/P47))+Assumptions!$Y$8),
IF(P47&lt;=20,
(Assumptions!$W$9*(AJ47/P47)^2+(Assumptions!$X$9*(AJ47/P47))+Assumptions!$Y$9),
IF(P47&lt;=50,
(Assumptions!$W$10*(AJ47/P47)^2+(Assumptions!$X$10*(AJ47/P47))+Assumptions!$Y$10),
(Assumptions!$W$11*(AJ47/P47)^2+(Assumptions!$X$11+(AJ47/P47))+Assumptions!$Y$11)))),
"")</f>
        <v/>
      </c>
      <c r="AL47" s="99" t="str">
        <f>IFERROR(
IF(C47="VTS",
IF(P47&gt;=AVERAGE(
INDEX(Assumptions!$I$38:$I$57,MATCH(P47,Assumptions!$I$38:$I$57,-1)),
INDEX(Assumptions!$I$38:$I$57,MATCH(P47,Assumptions!$I$38:$I$57,-1)+1)),
INDEX(Assumptions!$I$38:$I$57,MATCH(P47,Assumptions!$I$38:$I$57,-1)),
INDEX(Assumptions!$I$38:$I$57,MATCH(P47,Assumptions!$I$38:$I$57,-1)+1)),
IF(P47&gt;=AVERAGE(
INDEX(Assumptions!$I$13:$I$32,MATCH(P47,Assumptions!$I$13:$I$32,-1)),
INDEX(Assumptions!$I$13:$I$32,MATCH(P47,Assumptions!$I$13:$I$32,-1)+1)),
INDEX(Assumptions!$I$13:$I$32,MATCH(P47,Assumptions!$I$13:$I$32,-1)),
INDEX(Assumptions!$I$13:$I$32,MATCH(P47,Assumptions!$I$13:$I$32,-1)+1))),
"")</f>
        <v/>
      </c>
      <c r="AM47" s="95" t="str">
        <f>IFERROR(
IF(C47="VTS",
VLOOKUP(AL47,Assumptions!$I$38:$K$57,MATCH(R47,Assumptions!$I$37:$K$37,0),FALSE),
VLOOKUP(AL47,Assumptions!$I$13:$K$32,MATCH(R47,Assumptions!$I$12:$K$12,0),FALSE)),
"")</f>
        <v/>
      </c>
      <c r="AN47" s="95" t="str">
        <f t="shared" si="14"/>
        <v/>
      </c>
      <c r="AO47" s="95" t="str">
        <f>IFERROR(AN47*
(Assumptions!$S$7*(X47/(AR47*Assumptions!$AB$9/100)/P47)^3+
Assumptions!$S$8*(X47/(AR47*Assumptions!$AB$9/100)/P47)^2+
Assumptions!$S$9*(X47/(AR47*Assumptions!$AB$9/100)/P47)+
Assumptions!$S$10),"")</f>
        <v/>
      </c>
      <c r="AP47" s="95" t="str">
        <f>IFERROR(AN47*
(Assumptions!$S$7*(AA47/(AR47*Assumptions!$AB$8/100)/P47)^3+
Assumptions!$S$8*(AA47/(AR47*Assumptions!$AB$8/100)/P47)^2+
Assumptions!$S$9*(AA47/(AR47*Assumptions!$AB$8/100)/P47)+
Assumptions!$S$10),"")</f>
        <v/>
      </c>
      <c r="AQ47" s="95" t="str">
        <f>IFERROR(AN47*
(Assumptions!$S$7*(AD47/(AR47*Assumptions!$AB$10/100)/P47)^3+
Assumptions!$S$8*(AD47/(AR47*Assumptions!$AB$10/100)/P47)^2+
Assumptions!$S$9*(AD47/(AR47*Assumptions!$AB$10/100)/P47)+
Assumptions!$S$10),"")</f>
        <v/>
      </c>
      <c r="AR47" s="95" t="str">
        <f>IFERROR(
Assumptions!$AD$8*LN(U47)^2+
Assumptions!$AE$8*LN(T47)*LN(U47)+
Assumptions!$AF$8*LN(T47)^2+
Assumptions!$AG$8*LN(U47)+
Assumptions!$AH$8*LN(T47)-
(IF(S47=1800,
VLOOKUP(C47,Assumptions!$AA$13:$AC$17,3),
IF(S47=3600,
VLOOKUP(C47,Assumptions!$AA$18:$AC$22,3),
""))+Assumptions!$AI$8),
"")</f>
        <v/>
      </c>
      <c r="AS47" s="96" t="str">
        <f>IFERROR(
Assumptions!$D$11*(X47/(Assumptions!$AB$9*AR47/100)+AO47)+
Assumptions!$D$10*(AA47/(Assumptions!$AB$8*AR47/100)+AP47)+
Assumptions!$D$12*(AD47/(Assumptions!$AB$10*AR47/100)+AQ47),
"")</f>
        <v/>
      </c>
      <c r="AT47" s="76" t="str">
        <f>IFERROR(
(W47+AE47)*Assumptions!$F$11+
(AF47+AG47)*Assumptions!$F$8+
(AH47+AI47)*Assumptions!$F$9+
(AJ47+AK47)*Assumptions!$F$10,
"")</f>
        <v/>
      </c>
      <c r="AU47" s="77" t="str">
        <f t="shared" si="15"/>
        <v/>
      </c>
      <c r="AV47" s="68" t="str">
        <f t="shared" si="1"/>
        <v/>
      </c>
    </row>
    <row r="48" spans="1:48" x14ac:dyDescent="0.25">
      <c r="A48" s="264"/>
      <c r="B48" s="265"/>
      <c r="C48" s="265"/>
      <c r="D48" s="265"/>
      <c r="E48" s="266"/>
      <c r="F48" s="270"/>
      <c r="G48" s="271"/>
      <c r="H48" s="271"/>
      <c r="I48" s="272"/>
      <c r="J48" s="270"/>
      <c r="K48" s="271"/>
      <c r="L48" s="272"/>
      <c r="M48" s="270"/>
      <c r="N48" s="271"/>
      <c r="O48" s="272"/>
      <c r="P48" s="290"/>
      <c r="Q48" s="314"/>
      <c r="R48" s="51" t="str">
        <f t="shared" si="16"/>
        <v/>
      </c>
      <c r="S48" s="84" t="str">
        <f t="shared" si="2"/>
        <v/>
      </c>
      <c r="T48" s="93" t="str">
        <f t="shared" si="3"/>
        <v/>
      </c>
      <c r="U48" s="100" t="str">
        <f t="shared" si="4"/>
        <v/>
      </c>
      <c r="V48" s="95" t="str">
        <f t="shared" si="5"/>
        <v/>
      </c>
      <c r="W48" s="95" t="str">
        <f t="shared" si="6"/>
        <v/>
      </c>
      <c r="X48" s="96" t="str">
        <f>IFERROR(U48*V48*Assumptions!$B$15/3956,"")</f>
        <v/>
      </c>
      <c r="Y48" s="102" t="str">
        <f t="shared" si="7"/>
        <v/>
      </c>
      <c r="Z48" s="95" t="str">
        <f t="shared" si="8"/>
        <v/>
      </c>
      <c r="AA48" s="96" t="str">
        <f>IFERROR(Y48*Z48*Assumptions!$B$15/3956,"")</f>
        <v/>
      </c>
      <c r="AB48" s="100" t="str">
        <f t="shared" si="9"/>
        <v/>
      </c>
      <c r="AC48" s="95" t="str">
        <f t="shared" si="10"/>
        <v/>
      </c>
      <c r="AD48" s="96" t="str">
        <f>IFERROR(AB48*AC48*Assumptions!$B$15/3956,"")</f>
        <v/>
      </c>
      <c r="AE48" s="94" t="str">
        <f>IFERROR(
IF(P48&lt;=5,
(Assumptions!$W$8*(W48/P48)^2+(Assumptions!$X$8*(W48/P48))+Assumptions!$Y$8),
IF(P48&lt;=20,
(Assumptions!$W$9*(W48/P48)^2+(Assumptions!$X$9*(W48/P48))+Assumptions!$Y$9),
IF(P48&lt;=50,
(Assumptions!$W$10*(W48/P48)^2+(Assumptions!$X$10*(W48/P48))+Assumptions!$Y$10),
(Assumptions!$W$11*(W48/P48)^2+(Assumptions!$X$11+(W48/P48))+Assumptions!$Y$11)))),
"")</f>
        <v/>
      </c>
      <c r="AF48" s="99" t="str">
        <f t="shared" si="11"/>
        <v/>
      </c>
      <c r="AG48" s="95" t="str">
        <f>IFERROR(
IF(P48&lt;=5,
(Assumptions!$W$8*(AF48/P48)^2+(Assumptions!$X$8*(AF48/P48))+Assumptions!$Y$8),
IF(P48&lt;=20,
(Assumptions!$W$9*(AF48/P48)^2+(Assumptions!$X$9*(AF48/P48))+Assumptions!$Y$9),
IF(P48&lt;=50,
(Assumptions!$W$10*(AF48/P48)^2+(Assumptions!$X$10*(AF48/P48))+Assumptions!$Y$10),
(Assumptions!$W$11*(AF48/P48)^2+(Assumptions!$X$11+(AF48/P48))+Assumptions!$Y$11)))),
"")</f>
        <v/>
      </c>
      <c r="AH48" s="95" t="str">
        <f t="shared" si="12"/>
        <v/>
      </c>
      <c r="AI48" s="95" t="str">
        <f>IFERROR(
IF(P48&lt;=5,
(Assumptions!$W$8*(AH48/P48)^2+(Assumptions!$X$8*(AH48/P48))+Assumptions!$Y$8),
IF(P48&lt;=20,
(Assumptions!$W$9*(AH48/P48)^2+(Assumptions!$X$9*(AH48/P48))+Assumptions!$Y$9),
IF(P48&lt;=50,
(Assumptions!$W$10*(AH48/P48)^2+(Assumptions!$X$10*(AH48/P48))+Assumptions!$Y$10),
(Assumptions!$W$11*(AH48/P48)^2+(Assumptions!$X$11+(AH48/P48))+Assumptions!$Y$11)))),"")</f>
        <v/>
      </c>
      <c r="AJ48" s="95" t="str">
        <f t="shared" si="13"/>
        <v/>
      </c>
      <c r="AK48" s="96" t="str">
        <f>IFERROR(
IF(P48&lt;=5,
(Assumptions!$W$8*(AJ48/P48)^2+(Assumptions!$X$8*(AJ48/P48))+Assumptions!$Y$8),
IF(P48&lt;=20,
(Assumptions!$W$9*(AJ48/P48)^2+(Assumptions!$X$9*(AJ48/P48))+Assumptions!$Y$9),
IF(P48&lt;=50,
(Assumptions!$W$10*(AJ48/P48)^2+(Assumptions!$X$10*(AJ48/P48))+Assumptions!$Y$10),
(Assumptions!$W$11*(AJ48/P48)^2+(Assumptions!$X$11+(AJ48/P48))+Assumptions!$Y$11)))),
"")</f>
        <v/>
      </c>
      <c r="AL48" s="99" t="str">
        <f>IFERROR(
IF(C48="VTS",
IF(P48&gt;=AVERAGE(
INDEX(Assumptions!$I$38:$I$57,MATCH(P48,Assumptions!$I$38:$I$57,-1)),
INDEX(Assumptions!$I$38:$I$57,MATCH(P48,Assumptions!$I$38:$I$57,-1)+1)),
INDEX(Assumptions!$I$38:$I$57,MATCH(P48,Assumptions!$I$38:$I$57,-1)),
INDEX(Assumptions!$I$38:$I$57,MATCH(P48,Assumptions!$I$38:$I$57,-1)+1)),
IF(P48&gt;=AVERAGE(
INDEX(Assumptions!$I$13:$I$32,MATCH(P48,Assumptions!$I$13:$I$32,-1)),
INDEX(Assumptions!$I$13:$I$32,MATCH(P48,Assumptions!$I$13:$I$32,-1)+1)),
INDEX(Assumptions!$I$13:$I$32,MATCH(P48,Assumptions!$I$13:$I$32,-1)),
INDEX(Assumptions!$I$13:$I$32,MATCH(P48,Assumptions!$I$13:$I$32,-1)+1))),
"")</f>
        <v/>
      </c>
      <c r="AM48" s="95" t="str">
        <f>IFERROR(
IF(C48="VTS",
VLOOKUP(AL48,Assumptions!$I$38:$K$57,MATCH(R48,Assumptions!$I$37:$K$37,0),FALSE),
VLOOKUP(AL48,Assumptions!$I$13:$K$32,MATCH(R48,Assumptions!$I$12:$K$12,0),FALSE)),
"")</f>
        <v/>
      </c>
      <c r="AN48" s="95" t="str">
        <f t="shared" si="14"/>
        <v/>
      </c>
      <c r="AO48" s="95" t="str">
        <f>IFERROR(AN48*
(Assumptions!$S$7*(X48/(AR48*Assumptions!$AB$9/100)/P48)^3+
Assumptions!$S$8*(X48/(AR48*Assumptions!$AB$9/100)/P48)^2+
Assumptions!$S$9*(X48/(AR48*Assumptions!$AB$9/100)/P48)+
Assumptions!$S$10),"")</f>
        <v/>
      </c>
      <c r="AP48" s="95" t="str">
        <f>IFERROR(AN48*
(Assumptions!$S$7*(AA48/(AR48*Assumptions!$AB$8/100)/P48)^3+
Assumptions!$S$8*(AA48/(AR48*Assumptions!$AB$8/100)/P48)^2+
Assumptions!$S$9*(AA48/(AR48*Assumptions!$AB$8/100)/P48)+
Assumptions!$S$10),"")</f>
        <v/>
      </c>
      <c r="AQ48" s="95" t="str">
        <f>IFERROR(AN48*
(Assumptions!$S$7*(AD48/(AR48*Assumptions!$AB$10/100)/P48)^3+
Assumptions!$S$8*(AD48/(AR48*Assumptions!$AB$10/100)/P48)^2+
Assumptions!$S$9*(AD48/(AR48*Assumptions!$AB$10/100)/P48)+
Assumptions!$S$10),"")</f>
        <v/>
      </c>
      <c r="AR48" s="95" t="str">
        <f>IFERROR(
Assumptions!$AD$8*LN(U48)^2+
Assumptions!$AE$8*LN(T48)*LN(U48)+
Assumptions!$AF$8*LN(T48)^2+
Assumptions!$AG$8*LN(U48)+
Assumptions!$AH$8*LN(T48)-
(IF(S48=1800,
VLOOKUP(C48,Assumptions!$AA$13:$AC$17,3),
IF(S48=3600,
VLOOKUP(C48,Assumptions!$AA$18:$AC$22,3),
""))+Assumptions!$AI$8),
"")</f>
        <v/>
      </c>
      <c r="AS48" s="96" t="str">
        <f>IFERROR(
Assumptions!$D$11*(X48/(Assumptions!$AB$9*AR48/100)+AO48)+
Assumptions!$D$10*(AA48/(Assumptions!$AB$8*AR48/100)+AP48)+
Assumptions!$D$12*(AD48/(Assumptions!$AB$10*AR48/100)+AQ48),
"")</f>
        <v/>
      </c>
      <c r="AT48" s="76" t="str">
        <f>IFERROR(
(W48+AE48)*Assumptions!$F$11+
(AF48+AG48)*Assumptions!$F$8+
(AH48+AI48)*Assumptions!$F$9+
(AJ48+AK48)*Assumptions!$F$10,
"")</f>
        <v/>
      </c>
      <c r="AU48" s="77" t="str">
        <f t="shared" si="15"/>
        <v/>
      </c>
      <c r="AV48" s="68" t="str">
        <f t="shared" si="1"/>
        <v/>
      </c>
    </row>
    <row r="49" spans="1:48" x14ac:dyDescent="0.25">
      <c r="A49" s="264"/>
      <c r="B49" s="265"/>
      <c r="C49" s="265"/>
      <c r="D49" s="265"/>
      <c r="E49" s="266"/>
      <c r="F49" s="270"/>
      <c r="G49" s="271"/>
      <c r="H49" s="271"/>
      <c r="I49" s="272"/>
      <c r="J49" s="270"/>
      <c r="K49" s="271"/>
      <c r="L49" s="272"/>
      <c r="M49" s="270"/>
      <c r="N49" s="271"/>
      <c r="O49" s="272"/>
      <c r="P49" s="290"/>
      <c r="Q49" s="314"/>
      <c r="R49" s="51" t="str">
        <f t="shared" si="16"/>
        <v/>
      </c>
      <c r="S49" s="84" t="str">
        <f t="shared" si="2"/>
        <v/>
      </c>
      <c r="T49" s="93" t="str">
        <f t="shared" si="3"/>
        <v/>
      </c>
      <c r="U49" s="100" t="str">
        <f t="shared" si="4"/>
        <v/>
      </c>
      <c r="V49" s="95" t="str">
        <f t="shared" si="5"/>
        <v/>
      </c>
      <c r="W49" s="95" t="str">
        <f t="shared" si="6"/>
        <v/>
      </c>
      <c r="X49" s="96" t="str">
        <f>IFERROR(U49*V49*Assumptions!$B$15/3956,"")</f>
        <v/>
      </c>
      <c r="Y49" s="102" t="str">
        <f t="shared" si="7"/>
        <v/>
      </c>
      <c r="Z49" s="95" t="str">
        <f t="shared" si="8"/>
        <v/>
      </c>
      <c r="AA49" s="96" t="str">
        <f>IFERROR(Y49*Z49*Assumptions!$B$15/3956,"")</f>
        <v/>
      </c>
      <c r="AB49" s="100" t="str">
        <f t="shared" si="9"/>
        <v/>
      </c>
      <c r="AC49" s="95" t="str">
        <f t="shared" si="10"/>
        <v/>
      </c>
      <c r="AD49" s="96" t="str">
        <f>IFERROR(AB49*AC49*Assumptions!$B$15/3956,"")</f>
        <v/>
      </c>
      <c r="AE49" s="94" t="str">
        <f>IFERROR(
IF(P49&lt;=5,
(Assumptions!$W$8*(W49/P49)^2+(Assumptions!$X$8*(W49/P49))+Assumptions!$Y$8),
IF(P49&lt;=20,
(Assumptions!$W$9*(W49/P49)^2+(Assumptions!$X$9*(W49/P49))+Assumptions!$Y$9),
IF(P49&lt;=50,
(Assumptions!$W$10*(W49/P49)^2+(Assumptions!$X$10*(W49/P49))+Assumptions!$Y$10),
(Assumptions!$W$11*(W49/P49)^2+(Assumptions!$X$11+(W49/P49))+Assumptions!$Y$11)))),
"")</f>
        <v/>
      </c>
      <c r="AF49" s="99" t="str">
        <f t="shared" si="11"/>
        <v/>
      </c>
      <c r="AG49" s="95" t="str">
        <f>IFERROR(
IF(P49&lt;=5,
(Assumptions!$W$8*(AF49/P49)^2+(Assumptions!$X$8*(AF49/P49))+Assumptions!$Y$8),
IF(P49&lt;=20,
(Assumptions!$W$9*(AF49/P49)^2+(Assumptions!$X$9*(AF49/P49))+Assumptions!$Y$9),
IF(P49&lt;=50,
(Assumptions!$W$10*(AF49/P49)^2+(Assumptions!$X$10*(AF49/P49))+Assumptions!$Y$10),
(Assumptions!$W$11*(AF49/P49)^2+(Assumptions!$X$11+(AF49/P49))+Assumptions!$Y$11)))),
"")</f>
        <v/>
      </c>
      <c r="AH49" s="95" t="str">
        <f t="shared" si="12"/>
        <v/>
      </c>
      <c r="AI49" s="95" t="str">
        <f>IFERROR(
IF(P49&lt;=5,
(Assumptions!$W$8*(AH49/P49)^2+(Assumptions!$X$8*(AH49/P49))+Assumptions!$Y$8),
IF(P49&lt;=20,
(Assumptions!$W$9*(AH49/P49)^2+(Assumptions!$X$9*(AH49/P49))+Assumptions!$Y$9),
IF(P49&lt;=50,
(Assumptions!$W$10*(AH49/P49)^2+(Assumptions!$X$10*(AH49/P49))+Assumptions!$Y$10),
(Assumptions!$W$11*(AH49/P49)^2+(Assumptions!$X$11+(AH49/P49))+Assumptions!$Y$11)))),"")</f>
        <v/>
      </c>
      <c r="AJ49" s="95" t="str">
        <f t="shared" si="13"/>
        <v/>
      </c>
      <c r="AK49" s="96" t="str">
        <f>IFERROR(
IF(P49&lt;=5,
(Assumptions!$W$8*(AJ49/P49)^2+(Assumptions!$X$8*(AJ49/P49))+Assumptions!$Y$8),
IF(P49&lt;=20,
(Assumptions!$W$9*(AJ49/P49)^2+(Assumptions!$X$9*(AJ49/P49))+Assumptions!$Y$9),
IF(P49&lt;=50,
(Assumptions!$W$10*(AJ49/P49)^2+(Assumptions!$X$10*(AJ49/P49))+Assumptions!$Y$10),
(Assumptions!$W$11*(AJ49/P49)^2+(Assumptions!$X$11+(AJ49/P49))+Assumptions!$Y$11)))),
"")</f>
        <v/>
      </c>
      <c r="AL49" s="99" t="str">
        <f>IFERROR(
IF(C49="VTS",
IF(P49&gt;=AVERAGE(
INDEX(Assumptions!$I$38:$I$57,MATCH(P49,Assumptions!$I$38:$I$57,-1)),
INDEX(Assumptions!$I$38:$I$57,MATCH(P49,Assumptions!$I$38:$I$57,-1)+1)),
INDEX(Assumptions!$I$38:$I$57,MATCH(P49,Assumptions!$I$38:$I$57,-1)),
INDEX(Assumptions!$I$38:$I$57,MATCH(P49,Assumptions!$I$38:$I$57,-1)+1)),
IF(P49&gt;=AVERAGE(
INDEX(Assumptions!$I$13:$I$32,MATCH(P49,Assumptions!$I$13:$I$32,-1)),
INDEX(Assumptions!$I$13:$I$32,MATCH(P49,Assumptions!$I$13:$I$32,-1)+1)),
INDEX(Assumptions!$I$13:$I$32,MATCH(P49,Assumptions!$I$13:$I$32,-1)),
INDEX(Assumptions!$I$13:$I$32,MATCH(P49,Assumptions!$I$13:$I$32,-1)+1))),
"")</f>
        <v/>
      </c>
      <c r="AM49" s="95" t="str">
        <f>IFERROR(
IF(C49="VTS",
VLOOKUP(AL49,Assumptions!$I$38:$K$57,MATCH(R49,Assumptions!$I$37:$K$37,0),FALSE),
VLOOKUP(AL49,Assumptions!$I$13:$K$32,MATCH(R49,Assumptions!$I$12:$K$12,0),FALSE)),
"")</f>
        <v/>
      </c>
      <c r="AN49" s="95" t="str">
        <f t="shared" si="14"/>
        <v/>
      </c>
      <c r="AO49" s="95" t="str">
        <f>IFERROR(AN49*
(Assumptions!$S$7*(X49/(AR49*Assumptions!$AB$9/100)/P49)^3+
Assumptions!$S$8*(X49/(AR49*Assumptions!$AB$9/100)/P49)^2+
Assumptions!$S$9*(X49/(AR49*Assumptions!$AB$9/100)/P49)+
Assumptions!$S$10),"")</f>
        <v/>
      </c>
      <c r="AP49" s="95" t="str">
        <f>IFERROR(AN49*
(Assumptions!$S$7*(AA49/(AR49*Assumptions!$AB$8/100)/P49)^3+
Assumptions!$S$8*(AA49/(AR49*Assumptions!$AB$8/100)/P49)^2+
Assumptions!$S$9*(AA49/(AR49*Assumptions!$AB$8/100)/P49)+
Assumptions!$S$10),"")</f>
        <v/>
      </c>
      <c r="AQ49" s="95" t="str">
        <f>IFERROR(AN49*
(Assumptions!$S$7*(AD49/(AR49*Assumptions!$AB$10/100)/P49)^3+
Assumptions!$S$8*(AD49/(AR49*Assumptions!$AB$10/100)/P49)^2+
Assumptions!$S$9*(AD49/(AR49*Assumptions!$AB$10/100)/P49)+
Assumptions!$S$10),"")</f>
        <v/>
      </c>
      <c r="AR49" s="95" t="str">
        <f>IFERROR(
Assumptions!$AD$8*LN(U49)^2+
Assumptions!$AE$8*LN(T49)*LN(U49)+
Assumptions!$AF$8*LN(T49)^2+
Assumptions!$AG$8*LN(U49)+
Assumptions!$AH$8*LN(T49)-
(IF(S49=1800,
VLOOKUP(C49,Assumptions!$AA$13:$AC$17,3),
IF(S49=3600,
VLOOKUP(C49,Assumptions!$AA$18:$AC$22,3),
""))+Assumptions!$AI$8),
"")</f>
        <v/>
      </c>
      <c r="AS49" s="96" t="str">
        <f>IFERROR(
Assumptions!$D$11*(X49/(Assumptions!$AB$9*AR49/100)+AO49)+
Assumptions!$D$10*(AA49/(Assumptions!$AB$8*AR49/100)+AP49)+
Assumptions!$D$12*(AD49/(Assumptions!$AB$10*AR49/100)+AQ49),
"")</f>
        <v/>
      </c>
      <c r="AT49" s="76" t="str">
        <f>IFERROR(
(W49+AE49)*Assumptions!$F$11+
(AF49+AG49)*Assumptions!$F$8+
(AH49+AI49)*Assumptions!$F$9+
(AJ49+AK49)*Assumptions!$F$10,
"")</f>
        <v/>
      </c>
      <c r="AU49" s="77" t="str">
        <f t="shared" si="15"/>
        <v/>
      </c>
      <c r="AV49" s="68" t="str">
        <f t="shared" si="1"/>
        <v/>
      </c>
    </row>
    <row r="50" spans="1:48" x14ac:dyDescent="0.25">
      <c r="A50" s="264"/>
      <c r="B50" s="265"/>
      <c r="C50" s="265"/>
      <c r="D50" s="265"/>
      <c r="E50" s="266"/>
      <c r="F50" s="270"/>
      <c r="G50" s="271"/>
      <c r="H50" s="271"/>
      <c r="I50" s="272"/>
      <c r="J50" s="270"/>
      <c r="K50" s="271"/>
      <c r="L50" s="272"/>
      <c r="M50" s="270"/>
      <c r="N50" s="271"/>
      <c r="O50" s="272"/>
      <c r="P50" s="290"/>
      <c r="Q50" s="314"/>
      <c r="R50" s="51" t="str">
        <f t="shared" si="16"/>
        <v/>
      </c>
      <c r="S50" s="84" t="str">
        <f t="shared" si="2"/>
        <v/>
      </c>
      <c r="T50" s="93" t="str">
        <f t="shared" si="3"/>
        <v/>
      </c>
      <c r="U50" s="100" t="str">
        <f t="shared" si="4"/>
        <v/>
      </c>
      <c r="V50" s="95" t="str">
        <f t="shared" si="5"/>
        <v/>
      </c>
      <c r="W50" s="95" t="str">
        <f t="shared" si="6"/>
        <v/>
      </c>
      <c r="X50" s="96" t="str">
        <f>IFERROR(U50*V50*Assumptions!$B$15/3956,"")</f>
        <v/>
      </c>
      <c r="Y50" s="102" t="str">
        <f t="shared" si="7"/>
        <v/>
      </c>
      <c r="Z50" s="95" t="str">
        <f t="shared" si="8"/>
        <v/>
      </c>
      <c r="AA50" s="96" t="str">
        <f>IFERROR(Y50*Z50*Assumptions!$B$15/3956,"")</f>
        <v/>
      </c>
      <c r="AB50" s="100" t="str">
        <f t="shared" si="9"/>
        <v/>
      </c>
      <c r="AC50" s="95" t="str">
        <f t="shared" si="10"/>
        <v/>
      </c>
      <c r="AD50" s="96" t="str">
        <f>IFERROR(AB50*AC50*Assumptions!$B$15/3956,"")</f>
        <v/>
      </c>
      <c r="AE50" s="94" t="str">
        <f>IFERROR(
IF(P50&lt;=5,
(Assumptions!$W$8*(W50/P50)^2+(Assumptions!$X$8*(W50/P50))+Assumptions!$Y$8),
IF(P50&lt;=20,
(Assumptions!$W$9*(W50/P50)^2+(Assumptions!$X$9*(W50/P50))+Assumptions!$Y$9),
IF(P50&lt;=50,
(Assumptions!$W$10*(W50/P50)^2+(Assumptions!$X$10*(W50/P50))+Assumptions!$Y$10),
(Assumptions!$W$11*(W50/P50)^2+(Assumptions!$X$11+(W50/P50))+Assumptions!$Y$11)))),
"")</f>
        <v/>
      </c>
      <c r="AF50" s="99" t="str">
        <f t="shared" si="11"/>
        <v/>
      </c>
      <c r="AG50" s="95" t="str">
        <f>IFERROR(
IF(P50&lt;=5,
(Assumptions!$W$8*(AF50/P50)^2+(Assumptions!$X$8*(AF50/P50))+Assumptions!$Y$8),
IF(P50&lt;=20,
(Assumptions!$W$9*(AF50/P50)^2+(Assumptions!$X$9*(AF50/P50))+Assumptions!$Y$9),
IF(P50&lt;=50,
(Assumptions!$W$10*(AF50/P50)^2+(Assumptions!$X$10*(AF50/P50))+Assumptions!$Y$10),
(Assumptions!$W$11*(AF50/P50)^2+(Assumptions!$X$11+(AF50/P50))+Assumptions!$Y$11)))),
"")</f>
        <v/>
      </c>
      <c r="AH50" s="95" t="str">
        <f t="shared" si="12"/>
        <v/>
      </c>
      <c r="AI50" s="95" t="str">
        <f>IFERROR(
IF(P50&lt;=5,
(Assumptions!$W$8*(AH50/P50)^2+(Assumptions!$X$8*(AH50/P50))+Assumptions!$Y$8),
IF(P50&lt;=20,
(Assumptions!$W$9*(AH50/P50)^2+(Assumptions!$X$9*(AH50/P50))+Assumptions!$Y$9),
IF(P50&lt;=50,
(Assumptions!$W$10*(AH50/P50)^2+(Assumptions!$X$10*(AH50/P50))+Assumptions!$Y$10),
(Assumptions!$W$11*(AH50/P50)^2+(Assumptions!$X$11+(AH50/P50))+Assumptions!$Y$11)))),"")</f>
        <v/>
      </c>
      <c r="AJ50" s="95" t="str">
        <f t="shared" si="13"/>
        <v/>
      </c>
      <c r="AK50" s="96" t="str">
        <f>IFERROR(
IF(P50&lt;=5,
(Assumptions!$W$8*(AJ50/P50)^2+(Assumptions!$X$8*(AJ50/P50))+Assumptions!$Y$8),
IF(P50&lt;=20,
(Assumptions!$W$9*(AJ50/P50)^2+(Assumptions!$X$9*(AJ50/P50))+Assumptions!$Y$9),
IF(P50&lt;=50,
(Assumptions!$W$10*(AJ50/P50)^2+(Assumptions!$X$10*(AJ50/P50))+Assumptions!$Y$10),
(Assumptions!$W$11*(AJ50/P50)^2+(Assumptions!$X$11+(AJ50/P50))+Assumptions!$Y$11)))),
"")</f>
        <v/>
      </c>
      <c r="AL50" s="99" t="str">
        <f>IFERROR(
IF(C50="VTS",
IF(P50&gt;=AVERAGE(
INDEX(Assumptions!$I$38:$I$57,MATCH(P50,Assumptions!$I$38:$I$57,-1)),
INDEX(Assumptions!$I$38:$I$57,MATCH(P50,Assumptions!$I$38:$I$57,-1)+1)),
INDEX(Assumptions!$I$38:$I$57,MATCH(P50,Assumptions!$I$38:$I$57,-1)),
INDEX(Assumptions!$I$38:$I$57,MATCH(P50,Assumptions!$I$38:$I$57,-1)+1)),
IF(P50&gt;=AVERAGE(
INDEX(Assumptions!$I$13:$I$32,MATCH(P50,Assumptions!$I$13:$I$32,-1)),
INDEX(Assumptions!$I$13:$I$32,MATCH(P50,Assumptions!$I$13:$I$32,-1)+1)),
INDEX(Assumptions!$I$13:$I$32,MATCH(P50,Assumptions!$I$13:$I$32,-1)),
INDEX(Assumptions!$I$13:$I$32,MATCH(P50,Assumptions!$I$13:$I$32,-1)+1))),
"")</f>
        <v/>
      </c>
      <c r="AM50" s="95" t="str">
        <f>IFERROR(
IF(C50="VTS",
VLOOKUP(AL50,Assumptions!$I$38:$K$57,MATCH(R50,Assumptions!$I$37:$K$37,0),FALSE),
VLOOKUP(AL50,Assumptions!$I$13:$K$32,MATCH(R50,Assumptions!$I$12:$K$12,0),FALSE)),
"")</f>
        <v/>
      </c>
      <c r="AN50" s="95" t="str">
        <f t="shared" si="14"/>
        <v/>
      </c>
      <c r="AO50" s="95" t="str">
        <f>IFERROR(AN50*
(Assumptions!$S$7*(X50/(AR50*Assumptions!$AB$9/100)/P50)^3+
Assumptions!$S$8*(X50/(AR50*Assumptions!$AB$9/100)/P50)^2+
Assumptions!$S$9*(X50/(AR50*Assumptions!$AB$9/100)/P50)+
Assumptions!$S$10),"")</f>
        <v/>
      </c>
      <c r="AP50" s="95" t="str">
        <f>IFERROR(AN50*
(Assumptions!$S$7*(AA50/(AR50*Assumptions!$AB$8/100)/P50)^3+
Assumptions!$S$8*(AA50/(AR50*Assumptions!$AB$8/100)/P50)^2+
Assumptions!$S$9*(AA50/(AR50*Assumptions!$AB$8/100)/P50)+
Assumptions!$S$10),"")</f>
        <v/>
      </c>
      <c r="AQ50" s="95" t="str">
        <f>IFERROR(AN50*
(Assumptions!$S$7*(AD50/(AR50*Assumptions!$AB$10/100)/P50)^3+
Assumptions!$S$8*(AD50/(AR50*Assumptions!$AB$10/100)/P50)^2+
Assumptions!$S$9*(AD50/(AR50*Assumptions!$AB$10/100)/P50)+
Assumptions!$S$10),"")</f>
        <v/>
      </c>
      <c r="AR50" s="95" t="str">
        <f>IFERROR(
Assumptions!$AD$8*LN(U50)^2+
Assumptions!$AE$8*LN(T50)*LN(U50)+
Assumptions!$AF$8*LN(T50)^2+
Assumptions!$AG$8*LN(U50)+
Assumptions!$AH$8*LN(T50)-
(IF(S50=1800,
VLOOKUP(C50,Assumptions!$AA$13:$AC$17,3),
IF(S50=3600,
VLOOKUP(C50,Assumptions!$AA$18:$AC$22,3),
""))+Assumptions!$AI$8),
"")</f>
        <v/>
      </c>
      <c r="AS50" s="96" t="str">
        <f>IFERROR(
Assumptions!$D$11*(X50/(Assumptions!$AB$9*AR50/100)+AO50)+
Assumptions!$D$10*(AA50/(Assumptions!$AB$8*AR50/100)+AP50)+
Assumptions!$D$12*(AD50/(Assumptions!$AB$10*AR50/100)+AQ50),
"")</f>
        <v/>
      </c>
      <c r="AT50" s="76" t="str">
        <f>IFERROR(
(W50+AE50)*Assumptions!$F$11+
(AF50+AG50)*Assumptions!$F$8+
(AH50+AI50)*Assumptions!$F$9+
(AJ50+AK50)*Assumptions!$F$10,
"")</f>
        <v/>
      </c>
      <c r="AU50" s="77" t="str">
        <f t="shared" si="15"/>
        <v/>
      </c>
      <c r="AV50" s="68" t="str">
        <f t="shared" si="1"/>
        <v/>
      </c>
    </row>
    <row r="51" spans="1:48" x14ac:dyDescent="0.25">
      <c r="A51" s="264"/>
      <c r="B51" s="265"/>
      <c r="C51" s="265"/>
      <c r="D51" s="265"/>
      <c r="E51" s="266"/>
      <c r="F51" s="270"/>
      <c r="G51" s="271"/>
      <c r="H51" s="271"/>
      <c r="I51" s="272"/>
      <c r="J51" s="270"/>
      <c r="K51" s="271"/>
      <c r="L51" s="272"/>
      <c r="M51" s="270"/>
      <c r="N51" s="271"/>
      <c r="O51" s="272"/>
      <c r="P51" s="290"/>
      <c r="Q51" s="314"/>
      <c r="R51" s="51" t="str">
        <f t="shared" si="16"/>
        <v/>
      </c>
      <c r="S51" s="84" t="str">
        <f t="shared" si="2"/>
        <v/>
      </c>
      <c r="T51" s="93" t="str">
        <f t="shared" si="3"/>
        <v/>
      </c>
      <c r="U51" s="100" t="str">
        <f t="shared" si="4"/>
        <v/>
      </c>
      <c r="V51" s="95" t="str">
        <f t="shared" si="5"/>
        <v/>
      </c>
      <c r="W51" s="95" t="str">
        <f t="shared" si="6"/>
        <v/>
      </c>
      <c r="X51" s="96" t="str">
        <f>IFERROR(U51*V51*Assumptions!$B$15/3956,"")</f>
        <v/>
      </c>
      <c r="Y51" s="102" t="str">
        <f t="shared" si="7"/>
        <v/>
      </c>
      <c r="Z51" s="95" t="str">
        <f t="shared" si="8"/>
        <v/>
      </c>
      <c r="AA51" s="96" t="str">
        <f>IFERROR(Y51*Z51*Assumptions!$B$15/3956,"")</f>
        <v/>
      </c>
      <c r="AB51" s="100" t="str">
        <f t="shared" si="9"/>
        <v/>
      </c>
      <c r="AC51" s="95" t="str">
        <f t="shared" si="10"/>
        <v/>
      </c>
      <c r="AD51" s="96" t="str">
        <f>IFERROR(AB51*AC51*Assumptions!$B$15/3956,"")</f>
        <v/>
      </c>
      <c r="AE51" s="94" t="str">
        <f>IFERROR(
IF(P51&lt;=5,
(Assumptions!$W$8*(W51/P51)^2+(Assumptions!$X$8*(W51/P51))+Assumptions!$Y$8),
IF(P51&lt;=20,
(Assumptions!$W$9*(W51/P51)^2+(Assumptions!$X$9*(W51/P51))+Assumptions!$Y$9),
IF(P51&lt;=50,
(Assumptions!$W$10*(W51/P51)^2+(Assumptions!$X$10*(W51/P51))+Assumptions!$Y$10),
(Assumptions!$W$11*(W51/P51)^2+(Assumptions!$X$11+(W51/P51))+Assumptions!$Y$11)))),
"")</f>
        <v/>
      </c>
      <c r="AF51" s="99" t="str">
        <f t="shared" si="11"/>
        <v/>
      </c>
      <c r="AG51" s="95" t="str">
        <f>IFERROR(
IF(P51&lt;=5,
(Assumptions!$W$8*(AF51/P51)^2+(Assumptions!$X$8*(AF51/P51))+Assumptions!$Y$8),
IF(P51&lt;=20,
(Assumptions!$W$9*(AF51/P51)^2+(Assumptions!$X$9*(AF51/P51))+Assumptions!$Y$9),
IF(P51&lt;=50,
(Assumptions!$W$10*(AF51/P51)^2+(Assumptions!$X$10*(AF51/P51))+Assumptions!$Y$10),
(Assumptions!$W$11*(AF51/P51)^2+(Assumptions!$X$11+(AF51/P51))+Assumptions!$Y$11)))),
"")</f>
        <v/>
      </c>
      <c r="AH51" s="95" t="str">
        <f t="shared" si="12"/>
        <v/>
      </c>
      <c r="AI51" s="95" t="str">
        <f>IFERROR(
IF(P51&lt;=5,
(Assumptions!$W$8*(AH51/P51)^2+(Assumptions!$X$8*(AH51/P51))+Assumptions!$Y$8),
IF(P51&lt;=20,
(Assumptions!$W$9*(AH51/P51)^2+(Assumptions!$X$9*(AH51/P51))+Assumptions!$Y$9),
IF(P51&lt;=50,
(Assumptions!$W$10*(AH51/P51)^2+(Assumptions!$X$10*(AH51/P51))+Assumptions!$Y$10),
(Assumptions!$W$11*(AH51/P51)^2+(Assumptions!$X$11+(AH51/P51))+Assumptions!$Y$11)))),"")</f>
        <v/>
      </c>
      <c r="AJ51" s="95" t="str">
        <f t="shared" si="13"/>
        <v/>
      </c>
      <c r="AK51" s="96" t="str">
        <f>IFERROR(
IF(P51&lt;=5,
(Assumptions!$W$8*(AJ51/P51)^2+(Assumptions!$X$8*(AJ51/P51))+Assumptions!$Y$8),
IF(P51&lt;=20,
(Assumptions!$W$9*(AJ51/P51)^2+(Assumptions!$X$9*(AJ51/P51))+Assumptions!$Y$9),
IF(P51&lt;=50,
(Assumptions!$W$10*(AJ51/P51)^2+(Assumptions!$X$10*(AJ51/P51))+Assumptions!$Y$10),
(Assumptions!$W$11*(AJ51/P51)^2+(Assumptions!$X$11+(AJ51/P51))+Assumptions!$Y$11)))),
"")</f>
        <v/>
      </c>
      <c r="AL51" s="99" t="str">
        <f>IFERROR(
IF(C51="VTS",
IF(P51&gt;=AVERAGE(
INDEX(Assumptions!$I$38:$I$57,MATCH(P51,Assumptions!$I$38:$I$57,-1)),
INDEX(Assumptions!$I$38:$I$57,MATCH(P51,Assumptions!$I$38:$I$57,-1)+1)),
INDEX(Assumptions!$I$38:$I$57,MATCH(P51,Assumptions!$I$38:$I$57,-1)),
INDEX(Assumptions!$I$38:$I$57,MATCH(P51,Assumptions!$I$38:$I$57,-1)+1)),
IF(P51&gt;=AVERAGE(
INDEX(Assumptions!$I$13:$I$32,MATCH(P51,Assumptions!$I$13:$I$32,-1)),
INDEX(Assumptions!$I$13:$I$32,MATCH(P51,Assumptions!$I$13:$I$32,-1)+1)),
INDEX(Assumptions!$I$13:$I$32,MATCH(P51,Assumptions!$I$13:$I$32,-1)),
INDEX(Assumptions!$I$13:$I$32,MATCH(P51,Assumptions!$I$13:$I$32,-1)+1))),
"")</f>
        <v/>
      </c>
      <c r="AM51" s="95" t="str">
        <f>IFERROR(
IF(C51="VTS",
VLOOKUP(AL51,Assumptions!$I$38:$K$57,MATCH(R51,Assumptions!$I$37:$K$37,0),FALSE),
VLOOKUP(AL51,Assumptions!$I$13:$K$32,MATCH(R51,Assumptions!$I$12:$K$12,0),FALSE)),
"")</f>
        <v/>
      </c>
      <c r="AN51" s="95" t="str">
        <f t="shared" si="14"/>
        <v/>
      </c>
      <c r="AO51" s="95" t="str">
        <f>IFERROR(AN51*
(Assumptions!$S$7*(X51/(AR51*Assumptions!$AB$9/100)/P51)^3+
Assumptions!$S$8*(X51/(AR51*Assumptions!$AB$9/100)/P51)^2+
Assumptions!$S$9*(X51/(AR51*Assumptions!$AB$9/100)/P51)+
Assumptions!$S$10),"")</f>
        <v/>
      </c>
      <c r="AP51" s="95" t="str">
        <f>IFERROR(AN51*
(Assumptions!$S$7*(AA51/(AR51*Assumptions!$AB$8/100)/P51)^3+
Assumptions!$S$8*(AA51/(AR51*Assumptions!$AB$8/100)/P51)^2+
Assumptions!$S$9*(AA51/(AR51*Assumptions!$AB$8/100)/P51)+
Assumptions!$S$10),"")</f>
        <v/>
      </c>
      <c r="AQ51" s="95" t="str">
        <f>IFERROR(AN51*
(Assumptions!$S$7*(AD51/(AR51*Assumptions!$AB$10/100)/P51)^3+
Assumptions!$S$8*(AD51/(AR51*Assumptions!$AB$10/100)/P51)^2+
Assumptions!$S$9*(AD51/(AR51*Assumptions!$AB$10/100)/P51)+
Assumptions!$S$10),"")</f>
        <v/>
      </c>
      <c r="AR51" s="95" t="str">
        <f>IFERROR(
Assumptions!$AD$8*LN(U51)^2+
Assumptions!$AE$8*LN(T51)*LN(U51)+
Assumptions!$AF$8*LN(T51)^2+
Assumptions!$AG$8*LN(U51)+
Assumptions!$AH$8*LN(T51)-
(IF(S51=1800,
VLOOKUP(C51,Assumptions!$AA$13:$AC$17,3),
IF(S51=3600,
VLOOKUP(C51,Assumptions!$AA$18:$AC$22,3),
""))+Assumptions!$AI$8),
"")</f>
        <v/>
      </c>
      <c r="AS51" s="96" t="str">
        <f>IFERROR(
Assumptions!$D$11*(X51/(Assumptions!$AB$9*AR51/100)+AO51)+
Assumptions!$D$10*(AA51/(Assumptions!$AB$8*AR51/100)+AP51)+
Assumptions!$D$12*(AD51/(Assumptions!$AB$10*AR51/100)+AQ51),
"")</f>
        <v/>
      </c>
      <c r="AT51" s="76" t="str">
        <f>IFERROR(
(W51+AE51)*Assumptions!$F$11+
(AF51+AG51)*Assumptions!$F$8+
(AH51+AI51)*Assumptions!$F$9+
(AJ51+AK51)*Assumptions!$F$10,
"")</f>
        <v/>
      </c>
      <c r="AU51" s="77" t="str">
        <f t="shared" si="15"/>
        <v/>
      </c>
      <c r="AV51" s="68" t="str">
        <f t="shared" si="1"/>
        <v/>
      </c>
    </row>
    <row r="52" spans="1:48" x14ac:dyDescent="0.25">
      <c r="A52" s="264"/>
      <c r="B52" s="265"/>
      <c r="C52" s="265"/>
      <c r="D52" s="265"/>
      <c r="E52" s="266"/>
      <c r="F52" s="270"/>
      <c r="G52" s="271"/>
      <c r="H52" s="271"/>
      <c r="I52" s="272"/>
      <c r="J52" s="270"/>
      <c r="K52" s="271"/>
      <c r="L52" s="272"/>
      <c r="M52" s="270"/>
      <c r="N52" s="271"/>
      <c r="O52" s="272"/>
      <c r="P52" s="290"/>
      <c r="Q52" s="314"/>
      <c r="R52" s="51" t="str">
        <f t="shared" si="16"/>
        <v/>
      </c>
      <c r="S52" s="84" t="str">
        <f t="shared" si="2"/>
        <v/>
      </c>
      <c r="T52" s="93" t="str">
        <f t="shared" si="3"/>
        <v/>
      </c>
      <c r="U52" s="100" t="str">
        <f t="shared" si="4"/>
        <v/>
      </c>
      <c r="V52" s="95" t="str">
        <f t="shared" si="5"/>
        <v/>
      </c>
      <c r="W52" s="95" t="str">
        <f t="shared" si="6"/>
        <v/>
      </c>
      <c r="X52" s="96" t="str">
        <f>IFERROR(U52*V52*Assumptions!$B$15/3956,"")</f>
        <v/>
      </c>
      <c r="Y52" s="102" t="str">
        <f t="shared" si="7"/>
        <v/>
      </c>
      <c r="Z52" s="95" t="str">
        <f t="shared" si="8"/>
        <v/>
      </c>
      <c r="AA52" s="96" t="str">
        <f>IFERROR(Y52*Z52*Assumptions!$B$15/3956,"")</f>
        <v/>
      </c>
      <c r="AB52" s="100" t="str">
        <f t="shared" si="9"/>
        <v/>
      </c>
      <c r="AC52" s="95" t="str">
        <f t="shared" si="10"/>
        <v/>
      </c>
      <c r="AD52" s="96" t="str">
        <f>IFERROR(AB52*AC52*Assumptions!$B$15/3956,"")</f>
        <v/>
      </c>
      <c r="AE52" s="94" t="str">
        <f>IFERROR(
IF(P52&lt;=5,
(Assumptions!$W$8*(W52/P52)^2+(Assumptions!$X$8*(W52/P52))+Assumptions!$Y$8),
IF(P52&lt;=20,
(Assumptions!$W$9*(W52/P52)^2+(Assumptions!$X$9*(W52/P52))+Assumptions!$Y$9),
IF(P52&lt;=50,
(Assumptions!$W$10*(W52/P52)^2+(Assumptions!$X$10*(W52/P52))+Assumptions!$Y$10),
(Assumptions!$W$11*(W52/P52)^2+(Assumptions!$X$11+(W52/P52))+Assumptions!$Y$11)))),
"")</f>
        <v/>
      </c>
      <c r="AF52" s="99" t="str">
        <f t="shared" si="11"/>
        <v/>
      </c>
      <c r="AG52" s="95" t="str">
        <f>IFERROR(
IF(P52&lt;=5,
(Assumptions!$W$8*(AF52/P52)^2+(Assumptions!$X$8*(AF52/P52))+Assumptions!$Y$8),
IF(P52&lt;=20,
(Assumptions!$W$9*(AF52/P52)^2+(Assumptions!$X$9*(AF52/P52))+Assumptions!$Y$9),
IF(P52&lt;=50,
(Assumptions!$W$10*(AF52/P52)^2+(Assumptions!$X$10*(AF52/P52))+Assumptions!$Y$10),
(Assumptions!$W$11*(AF52/P52)^2+(Assumptions!$X$11+(AF52/P52))+Assumptions!$Y$11)))),
"")</f>
        <v/>
      </c>
      <c r="AH52" s="95" t="str">
        <f t="shared" si="12"/>
        <v/>
      </c>
      <c r="AI52" s="95" t="str">
        <f>IFERROR(
IF(P52&lt;=5,
(Assumptions!$W$8*(AH52/P52)^2+(Assumptions!$X$8*(AH52/P52))+Assumptions!$Y$8),
IF(P52&lt;=20,
(Assumptions!$W$9*(AH52/P52)^2+(Assumptions!$X$9*(AH52/P52))+Assumptions!$Y$9),
IF(P52&lt;=50,
(Assumptions!$W$10*(AH52/P52)^2+(Assumptions!$X$10*(AH52/P52))+Assumptions!$Y$10),
(Assumptions!$W$11*(AH52/P52)^2+(Assumptions!$X$11+(AH52/P52))+Assumptions!$Y$11)))),"")</f>
        <v/>
      </c>
      <c r="AJ52" s="95" t="str">
        <f t="shared" si="13"/>
        <v/>
      </c>
      <c r="AK52" s="96" t="str">
        <f>IFERROR(
IF(P52&lt;=5,
(Assumptions!$W$8*(AJ52/P52)^2+(Assumptions!$X$8*(AJ52/P52))+Assumptions!$Y$8),
IF(P52&lt;=20,
(Assumptions!$W$9*(AJ52/P52)^2+(Assumptions!$X$9*(AJ52/P52))+Assumptions!$Y$9),
IF(P52&lt;=50,
(Assumptions!$W$10*(AJ52/P52)^2+(Assumptions!$X$10*(AJ52/P52))+Assumptions!$Y$10),
(Assumptions!$W$11*(AJ52/P52)^2+(Assumptions!$X$11+(AJ52/P52))+Assumptions!$Y$11)))),
"")</f>
        <v/>
      </c>
      <c r="AL52" s="99" t="str">
        <f>IFERROR(
IF(C52="VTS",
IF(P52&gt;=AVERAGE(
INDEX(Assumptions!$I$38:$I$57,MATCH(P52,Assumptions!$I$38:$I$57,-1)),
INDEX(Assumptions!$I$38:$I$57,MATCH(P52,Assumptions!$I$38:$I$57,-1)+1)),
INDEX(Assumptions!$I$38:$I$57,MATCH(P52,Assumptions!$I$38:$I$57,-1)),
INDEX(Assumptions!$I$38:$I$57,MATCH(P52,Assumptions!$I$38:$I$57,-1)+1)),
IF(P52&gt;=AVERAGE(
INDEX(Assumptions!$I$13:$I$32,MATCH(P52,Assumptions!$I$13:$I$32,-1)),
INDEX(Assumptions!$I$13:$I$32,MATCH(P52,Assumptions!$I$13:$I$32,-1)+1)),
INDEX(Assumptions!$I$13:$I$32,MATCH(P52,Assumptions!$I$13:$I$32,-1)),
INDEX(Assumptions!$I$13:$I$32,MATCH(P52,Assumptions!$I$13:$I$32,-1)+1))),
"")</f>
        <v/>
      </c>
      <c r="AM52" s="95" t="str">
        <f>IFERROR(
IF(C52="VTS",
VLOOKUP(AL52,Assumptions!$I$38:$K$57,MATCH(R52,Assumptions!$I$37:$K$37,0),FALSE),
VLOOKUP(AL52,Assumptions!$I$13:$K$32,MATCH(R52,Assumptions!$I$12:$K$12,0),FALSE)),
"")</f>
        <v/>
      </c>
      <c r="AN52" s="95" t="str">
        <f t="shared" si="14"/>
        <v/>
      </c>
      <c r="AO52" s="95" t="str">
        <f>IFERROR(AN52*
(Assumptions!$S$7*(X52/(AR52*Assumptions!$AB$9/100)/P52)^3+
Assumptions!$S$8*(X52/(AR52*Assumptions!$AB$9/100)/P52)^2+
Assumptions!$S$9*(X52/(AR52*Assumptions!$AB$9/100)/P52)+
Assumptions!$S$10),"")</f>
        <v/>
      </c>
      <c r="AP52" s="95" t="str">
        <f>IFERROR(AN52*
(Assumptions!$S$7*(AA52/(AR52*Assumptions!$AB$8/100)/P52)^3+
Assumptions!$S$8*(AA52/(AR52*Assumptions!$AB$8/100)/P52)^2+
Assumptions!$S$9*(AA52/(AR52*Assumptions!$AB$8/100)/P52)+
Assumptions!$S$10),"")</f>
        <v/>
      </c>
      <c r="AQ52" s="95" t="str">
        <f>IFERROR(AN52*
(Assumptions!$S$7*(AD52/(AR52*Assumptions!$AB$10/100)/P52)^3+
Assumptions!$S$8*(AD52/(AR52*Assumptions!$AB$10/100)/P52)^2+
Assumptions!$S$9*(AD52/(AR52*Assumptions!$AB$10/100)/P52)+
Assumptions!$S$10),"")</f>
        <v/>
      </c>
      <c r="AR52" s="95" t="str">
        <f>IFERROR(
Assumptions!$AD$8*LN(U52)^2+
Assumptions!$AE$8*LN(T52)*LN(U52)+
Assumptions!$AF$8*LN(T52)^2+
Assumptions!$AG$8*LN(U52)+
Assumptions!$AH$8*LN(T52)-
(IF(S52=1800,
VLOOKUP(C52,Assumptions!$AA$13:$AC$17,3),
IF(S52=3600,
VLOOKUP(C52,Assumptions!$AA$18:$AC$22,3),
""))+Assumptions!$AI$8),
"")</f>
        <v/>
      </c>
      <c r="AS52" s="96" t="str">
        <f>IFERROR(
Assumptions!$D$11*(X52/(Assumptions!$AB$9*AR52/100)+AO52)+
Assumptions!$D$10*(AA52/(Assumptions!$AB$8*AR52/100)+AP52)+
Assumptions!$D$12*(AD52/(Assumptions!$AB$10*AR52/100)+AQ52),
"")</f>
        <v/>
      </c>
      <c r="AT52" s="76" t="str">
        <f>IFERROR(
(W52+AE52)*Assumptions!$F$11+
(AF52+AG52)*Assumptions!$F$8+
(AH52+AI52)*Assumptions!$F$9+
(AJ52+AK52)*Assumptions!$F$10,
"")</f>
        <v/>
      </c>
      <c r="AU52" s="77" t="str">
        <f t="shared" si="15"/>
        <v/>
      </c>
      <c r="AV52" s="68" t="str">
        <f t="shared" si="1"/>
        <v/>
      </c>
    </row>
    <row r="53" spans="1:48" x14ac:dyDescent="0.25">
      <c r="A53" s="264"/>
      <c r="B53" s="265"/>
      <c r="C53" s="265"/>
      <c r="D53" s="265"/>
      <c r="E53" s="266"/>
      <c r="F53" s="270"/>
      <c r="G53" s="271"/>
      <c r="H53" s="271"/>
      <c r="I53" s="272"/>
      <c r="J53" s="270"/>
      <c r="K53" s="271"/>
      <c r="L53" s="272"/>
      <c r="M53" s="270"/>
      <c r="N53" s="271"/>
      <c r="O53" s="272"/>
      <c r="P53" s="290"/>
      <c r="Q53" s="314"/>
      <c r="R53" s="51" t="str">
        <f t="shared" si="16"/>
        <v/>
      </c>
      <c r="S53" s="84" t="str">
        <f t="shared" si="2"/>
        <v/>
      </c>
      <c r="T53" s="93" t="str">
        <f t="shared" si="3"/>
        <v/>
      </c>
      <c r="U53" s="100" t="str">
        <f t="shared" si="4"/>
        <v/>
      </c>
      <c r="V53" s="95" t="str">
        <f t="shared" si="5"/>
        <v/>
      </c>
      <c r="W53" s="95" t="str">
        <f t="shared" si="6"/>
        <v/>
      </c>
      <c r="X53" s="96" t="str">
        <f>IFERROR(U53*V53*Assumptions!$B$15/3956,"")</f>
        <v/>
      </c>
      <c r="Y53" s="102" t="str">
        <f t="shared" si="7"/>
        <v/>
      </c>
      <c r="Z53" s="95" t="str">
        <f t="shared" si="8"/>
        <v/>
      </c>
      <c r="AA53" s="96" t="str">
        <f>IFERROR(Y53*Z53*Assumptions!$B$15/3956,"")</f>
        <v/>
      </c>
      <c r="AB53" s="100" t="str">
        <f t="shared" si="9"/>
        <v/>
      </c>
      <c r="AC53" s="95" t="str">
        <f t="shared" si="10"/>
        <v/>
      </c>
      <c r="AD53" s="96" t="str">
        <f>IFERROR(AB53*AC53*Assumptions!$B$15/3956,"")</f>
        <v/>
      </c>
      <c r="AE53" s="94" t="str">
        <f>IFERROR(
IF(P53&lt;=5,
(Assumptions!$W$8*(W53/P53)^2+(Assumptions!$X$8*(W53/P53))+Assumptions!$Y$8),
IF(P53&lt;=20,
(Assumptions!$W$9*(W53/P53)^2+(Assumptions!$X$9*(W53/P53))+Assumptions!$Y$9),
IF(P53&lt;=50,
(Assumptions!$W$10*(W53/P53)^2+(Assumptions!$X$10*(W53/P53))+Assumptions!$Y$10),
(Assumptions!$W$11*(W53/P53)^2+(Assumptions!$X$11+(W53/P53))+Assumptions!$Y$11)))),
"")</f>
        <v/>
      </c>
      <c r="AF53" s="99" t="str">
        <f t="shared" si="11"/>
        <v/>
      </c>
      <c r="AG53" s="95" t="str">
        <f>IFERROR(
IF(P53&lt;=5,
(Assumptions!$W$8*(AF53/P53)^2+(Assumptions!$X$8*(AF53/P53))+Assumptions!$Y$8),
IF(P53&lt;=20,
(Assumptions!$W$9*(AF53/P53)^2+(Assumptions!$X$9*(AF53/P53))+Assumptions!$Y$9),
IF(P53&lt;=50,
(Assumptions!$W$10*(AF53/P53)^2+(Assumptions!$X$10*(AF53/P53))+Assumptions!$Y$10),
(Assumptions!$W$11*(AF53/P53)^2+(Assumptions!$X$11+(AF53/P53))+Assumptions!$Y$11)))),
"")</f>
        <v/>
      </c>
      <c r="AH53" s="95" t="str">
        <f t="shared" si="12"/>
        <v/>
      </c>
      <c r="AI53" s="95" t="str">
        <f>IFERROR(
IF(P53&lt;=5,
(Assumptions!$W$8*(AH53/P53)^2+(Assumptions!$X$8*(AH53/P53))+Assumptions!$Y$8),
IF(P53&lt;=20,
(Assumptions!$W$9*(AH53/P53)^2+(Assumptions!$X$9*(AH53/P53))+Assumptions!$Y$9),
IF(P53&lt;=50,
(Assumptions!$W$10*(AH53/P53)^2+(Assumptions!$X$10*(AH53/P53))+Assumptions!$Y$10),
(Assumptions!$W$11*(AH53/P53)^2+(Assumptions!$X$11+(AH53/P53))+Assumptions!$Y$11)))),"")</f>
        <v/>
      </c>
      <c r="AJ53" s="95" t="str">
        <f t="shared" si="13"/>
        <v/>
      </c>
      <c r="AK53" s="96" t="str">
        <f>IFERROR(
IF(P53&lt;=5,
(Assumptions!$W$8*(AJ53/P53)^2+(Assumptions!$X$8*(AJ53/P53))+Assumptions!$Y$8),
IF(P53&lt;=20,
(Assumptions!$W$9*(AJ53/P53)^2+(Assumptions!$X$9*(AJ53/P53))+Assumptions!$Y$9),
IF(P53&lt;=50,
(Assumptions!$W$10*(AJ53/P53)^2+(Assumptions!$X$10*(AJ53/P53))+Assumptions!$Y$10),
(Assumptions!$W$11*(AJ53/P53)^2+(Assumptions!$X$11+(AJ53/P53))+Assumptions!$Y$11)))),
"")</f>
        <v/>
      </c>
      <c r="AL53" s="99" t="str">
        <f>IFERROR(
IF(C53="VTS",
IF(P53&gt;=AVERAGE(
INDEX(Assumptions!$I$38:$I$57,MATCH(P53,Assumptions!$I$38:$I$57,-1)),
INDEX(Assumptions!$I$38:$I$57,MATCH(P53,Assumptions!$I$38:$I$57,-1)+1)),
INDEX(Assumptions!$I$38:$I$57,MATCH(P53,Assumptions!$I$38:$I$57,-1)),
INDEX(Assumptions!$I$38:$I$57,MATCH(P53,Assumptions!$I$38:$I$57,-1)+1)),
IF(P53&gt;=AVERAGE(
INDEX(Assumptions!$I$13:$I$32,MATCH(P53,Assumptions!$I$13:$I$32,-1)),
INDEX(Assumptions!$I$13:$I$32,MATCH(P53,Assumptions!$I$13:$I$32,-1)+1)),
INDEX(Assumptions!$I$13:$I$32,MATCH(P53,Assumptions!$I$13:$I$32,-1)),
INDEX(Assumptions!$I$13:$I$32,MATCH(P53,Assumptions!$I$13:$I$32,-1)+1))),
"")</f>
        <v/>
      </c>
      <c r="AM53" s="95" t="str">
        <f>IFERROR(
IF(C53="VTS",
VLOOKUP(AL53,Assumptions!$I$38:$K$57,MATCH(R53,Assumptions!$I$37:$K$37,0),FALSE),
VLOOKUP(AL53,Assumptions!$I$13:$K$32,MATCH(R53,Assumptions!$I$12:$K$12,0),FALSE)),
"")</f>
        <v/>
      </c>
      <c r="AN53" s="95" t="str">
        <f t="shared" si="14"/>
        <v/>
      </c>
      <c r="AO53" s="95" t="str">
        <f>IFERROR(AN53*
(Assumptions!$S$7*(X53/(AR53*Assumptions!$AB$9/100)/P53)^3+
Assumptions!$S$8*(X53/(AR53*Assumptions!$AB$9/100)/P53)^2+
Assumptions!$S$9*(X53/(AR53*Assumptions!$AB$9/100)/P53)+
Assumptions!$S$10),"")</f>
        <v/>
      </c>
      <c r="AP53" s="95" t="str">
        <f>IFERROR(AN53*
(Assumptions!$S$7*(AA53/(AR53*Assumptions!$AB$8/100)/P53)^3+
Assumptions!$S$8*(AA53/(AR53*Assumptions!$AB$8/100)/P53)^2+
Assumptions!$S$9*(AA53/(AR53*Assumptions!$AB$8/100)/P53)+
Assumptions!$S$10),"")</f>
        <v/>
      </c>
      <c r="AQ53" s="95" t="str">
        <f>IFERROR(AN53*
(Assumptions!$S$7*(AD53/(AR53*Assumptions!$AB$10/100)/P53)^3+
Assumptions!$S$8*(AD53/(AR53*Assumptions!$AB$10/100)/P53)^2+
Assumptions!$S$9*(AD53/(AR53*Assumptions!$AB$10/100)/P53)+
Assumptions!$S$10),"")</f>
        <v/>
      </c>
      <c r="AR53" s="95" t="str">
        <f>IFERROR(
Assumptions!$AD$8*LN(U53)^2+
Assumptions!$AE$8*LN(T53)*LN(U53)+
Assumptions!$AF$8*LN(T53)^2+
Assumptions!$AG$8*LN(U53)+
Assumptions!$AH$8*LN(T53)-
(IF(S53=1800,
VLOOKUP(C53,Assumptions!$AA$13:$AC$17,3),
IF(S53=3600,
VLOOKUP(C53,Assumptions!$AA$18:$AC$22,3),
""))+Assumptions!$AI$8),
"")</f>
        <v/>
      </c>
      <c r="AS53" s="96" t="str">
        <f>IFERROR(
Assumptions!$D$11*(X53/(Assumptions!$AB$9*AR53/100)+AO53)+
Assumptions!$D$10*(AA53/(Assumptions!$AB$8*AR53/100)+AP53)+
Assumptions!$D$12*(AD53/(Assumptions!$AB$10*AR53/100)+AQ53),
"")</f>
        <v/>
      </c>
      <c r="AT53" s="76" t="str">
        <f>IFERROR(
(W53+AE53)*Assumptions!$F$11+
(AF53+AG53)*Assumptions!$F$8+
(AH53+AI53)*Assumptions!$F$9+
(AJ53+AK53)*Assumptions!$F$10,
"")</f>
        <v/>
      </c>
      <c r="AU53" s="77" t="str">
        <f t="shared" si="15"/>
        <v/>
      </c>
      <c r="AV53" s="68" t="str">
        <f t="shared" si="1"/>
        <v/>
      </c>
    </row>
    <row r="54" spans="1:48" x14ac:dyDescent="0.25">
      <c r="A54" s="264"/>
      <c r="B54" s="265"/>
      <c r="C54" s="265"/>
      <c r="D54" s="265"/>
      <c r="E54" s="266"/>
      <c r="F54" s="270"/>
      <c r="G54" s="271"/>
      <c r="H54" s="271"/>
      <c r="I54" s="272"/>
      <c r="J54" s="270"/>
      <c r="K54" s="271"/>
      <c r="L54" s="272"/>
      <c r="M54" s="270"/>
      <c r="N54" s="271"/>
      <c r="O54" s="272"/>
      <c r="P54" s="290"/>
      <c r="Q54" s="314"/>
      <c r="R54" s="51" t="str">
        <f t="shared" si="16"/>
        <v/>
      </c>
      <c r="S54" s="84" t="str">
        <f t="shared" si="2"/>
        <v/>
      </c>
      <c r="T54" s="93" t="str">
        <f t="shared" si="3"/>
        <v/>
      </c>
      <c r="U54" s="100" t="str">
        <f t="shared" si="4"/>
        <v/>
      </c>
      <c r="V54" s="95" t="str">
        <f t="shared" si="5"/>
        <v/>
      </c>
      <c r="W54" s="95" t="str">
        <f t="shared" si="6"/>
        <v/>
      </c>
      <c r="X54" s="96" t="str">
        <f>IFERROR(U54*V54*Assumptions!$B$15/3956,"")</f>
        <v/>
      </c>
      <c r="Y54" s="102" t="str">
        <f t="shared" si="7"/>
        <v/>
      </c>
      <c r="Z54" s="95" t="str">
        <f t="shared" si="8"/>
        <v/>
      </c>
      <c r="AA54" s="96" t="str">
        <f>IFERROR(Y54*Z54*Assumptions!$B$15/3956,"")</f>
        <v/>
      </c>
      <c r="AB54" s="100" t="str">
        <f t="shared" si="9"/>
        <v/>
      </c>
      <c r="AC54" s="95" t="str">
        <f t="shared" si="10"/>
        <v/>
      </c>
      <c r="AD54" s="96" t="str">
        <f>IFERROR(AB54*AC54*Assumptions!$B$15/3956,"")</f>
        <v/>
      </c>
      <c r="AE54" s="94" t="str">
        <f>IFERROR(
IF(P54&lt;=5,
(Assumptions!$W$8*(W54/P54)^2+(Assumptions!$X$8*(W54/P54))+Assumptions!$Y$8),
IF(P54&lt;=20,
(Assumptions!$W$9*(W54/P54)^2+(Assumptions!$X$9*(W54/P54))+Assumptions!$Y$9),
IF(P54&lt;=50,
(Assumptions!$W$10*(W54/P54)^2+(Assumptions!$X$10*(W54/P54))+Assumptions!$Y$10),
(Assumptions!$W$11*(W54/P54)^2+(Assumptions!$X$11+(W54/P54))+Assumptions!$Y$11)))),
"")</f>
        <v/>
      </c>
      <c r="AF54" s="99" t="str">
        <f t="shared" si="11"/>
        <v/>
      </c>
      <c r="AG54" s="95" t="str">
        <f>IFERROR(
IF(P54&lt;=5,
(Assumptions!$W$8*(AF54/P54)^2+(Assumptions!$X$8*(AF54/P54))+Assumptions!$Y$8),
IF(P54&lt;=20,
(Assumptions!$W$9*(AF54/P54)^2+(Assumptions!$X$9*(AF54/P54))+Assumptions!$Y$9),
IF(P54&lt;=50,
(Assumptions!$W$10*(AF54/P54)^2+(Assumptions!$X$10*(AF54/P54))+Assumptions!$Y$10),
(Assumptions!$W$11*(AF54/P54)^2+(Assumptions!$X$11+(AF54/P54))+Assumptions!$Y$11)))),
"")</f>
        <v/>
      </c>
      <c r="AH54" s="95" t="str">
        <f t="shared" si="12"/>
        <v/>
      </c>
      <c r="AI54" s="95" t="str">
        <f>IFERROR(
IF(P54&lt;=5,
(Assumptions!$W$8*(AH54/P54)^2+(Assumptions!$X$8*(AH54/P54))+Assumptions!$Y$8),
IF(P54&lt;=20,
(Assumptions!$W$9*(AH54/P54)^2+(Assumptions!$X$9*(AH54/P54))+Assumptions!$Y$9),
IF(P54&lt;=50,
(Assumptions!$W$10*(AH54/P54)^2+(Assumptions!$X$10*(AH54/P54))+Assumptions!$Y$10),
(Assumptions!$W$11*(AH54/P54)^2+(Assumptions!$X$11+(AH54/P54))+Assumptions!$Y$11)))),"")</f>
        <v/>
      </c>
      <c r="AJ54" s="95" t="str">
        <f t="shared" si="13"/>
        <v/>
      </c>
      <c r="AK54" s="96" t="str">
        <f>IFERROR(
IF(P54&lt;=5,
(Assumptions!$W$8*(AJ54/P54)^2+(Assumptions!$X$8*(AJ54/P54))+Assumptions!$Y$8),
IF(P54&lt;=20,
(Assumptions!$W$9*(AJ54/P54)^2+(Assumptions!$X$9*(AJ54/P54))+Assumptions!$Y$9),
IF(P54&lt;=50,
(Assumptions!$W$10*(AJ54/P54)^2+(Assumptions!$X$10*(AJ54/P54))+Assumptions!$Y$10),
(Assumptions!$W$11*(AJ54/P54)^2+(Assumptions!$X$11+(AJ54/P54))+Assumptions!$Y$11)))),
"")</f>
        <v/>
      </c>
      <c r="AL54" s="99" t="str">
        <f>IFERROR(
IF(C54="VTS",
IF(P54&gt;=AVERAGE(
INDEX(Assumptions!$I$38:$I$57,MATCH(P54,Assumptions!$I$38:$I$57,-1)),
INDEX(Assumptions!$I$38:$I$57,MATCH(P54,Assumptions!$I$38:$I$57,-1)+1)),
INDEX(Assumptions!$I$38:$I$57,MATCH(P54,Assumptions!$I$38:$I$57,-1)),
INDEX(Assumptions!$I$38:$I$57,MATCH(P54,Assumptions!$I$38:$I$57,-1)+1)),
IF(P54&gt;=AVERAGE(
INDEX(Assumptions!$I$13:$I$32,MATCH(P54,Assumptions!$I$13:$I$32,-1)),
INDEX(Assumptions!$I$13:$I$32,MATCH(P54,Assumptions!$I$13:$I$32,-1)+1)),
INDEX(Assumptions!$I$13:$I$32,MATCH(P54,Assumptions!$I$13:$I$32,-1)),
INDEX(Assumptions!$I$13:$I$32,MATCH(P54,Assumptions!$I$13:$I$32,-1)+1))),
"")</f>
        <v/>
      </c>
      <c r="AM54" s="95" t="str">
        <f>IFERROR(
IF(C54="VTS",
VLOOKUP(AL54,Assumptions!$I$38:$K$57,MATCH(R54,Assumptions!$I$37:$K$37,0),FALSE),
VLOOKUP(AL54,Assumptions!$I$13:$K$32,MATCH(R54,Assumptions!$I$12:$K$12,0),FALSE)),
"")</f>
        <v/>
      </c>
      <c r="AN54" s="95" t="str">
        <f t="shared" si="14"/>
        <v/>
      </c>
      <c r="AO54" s="95" t="str">
        <f>IFERROR(AN54*
(Assumptions!$S$7*(X54/(AR54*Assumptions!$AB$9/100)/P54)^3+
Assumptions!$S$8*(X54/(AR54*Assumptions!$AB$9/100)/P54)^2+
Assumptions!$S$9*(X54/(AR54*Assumptions!$AB$9/100)/P54)+
Assumptions!$S$10),"")</f>
        <v/>
      </c>
      <c r="AP54" s="95" t="str">
        <f>IFERROR(AN54*
(Assumptions!$S$7*(AA54/(AR54*Assumptions!$AB$8/100)/P54)^3+
Assumptions!$S$8*(AA54/(AR54*Assumptions!$AB$8/100)/P54)^2+
Assumptions!$S$9*(AA54/(AR54*Assumptions!$AB$8/100)/P54)+
Assumptions!$S$10),"")</f>
        <v/>
      </c>
      <c r="AQ54" s="95" t="str">
        <f>IFERROR(AN54*
(Assumptions!$S$7*(AD54/(AR54*Assumptions!$AB$10/100)/P54)^3+
Assumptions!$S$8*(AD54/(AR54*Assumptions!$AB$10/100)/P54)^2+
Assumptions!$S$9*(AD54/(AR54*Assumptions!$AB$10/100)/P54)+
Assumptions!$S$10),"")</f>
        <v/>
      </c>
      <c r="AR54" s="95" t="str">
        <f>IFERROR(
Assumptions!$AD$8*LN(U54)^2+
Assumptions!$AE$8*LN(T54)*LN(U54)+
Assumptions!$AF$8*LN(T54)^2+
Assumptions!$AG$8*LN(U54)+
Assumptions!$AH$8*LN(T54)-
(IF(S54=1800,
VLOOKUP(C54,Assumptions!$AA$13:$AC$17,3),
IF(S54=3600,
VLOOKUP(C54,Assumptions!$AA$18:$AC$22,3),
""))+Assumptions!$AI$8),
"")</f>
        <v/>
      </c>
      <c r="AS54" s="96" t="str">
        <f>IFERROR(
Assumptions!$D$11*(X54/(Assumptions!$AB$9*AR54/100)+AO54)+
Assumptions!$D$10*(AA54/(Assumptions!$AB$8*AR54/100)+AP54)+
Assumptions!$D$12*(AD54/(Assumptions!$AB$10*AR54/100)+AQ54),
"")</f>
        <v/>
      </c>
      <c r="AT54" s="76" t="str">
        <f>IFERROR(
(W54+AE54)*Assumptions!$F$11+
(AF54+AG54)*Assumptions!$F$8+
(AH54+AI54)*Assumptions!$F$9+
(AJ54+AK54)*Assumptions!$F$10,
"")</f>
        <v/>
      </c>
      <c r="AU54" s="77" t="str">
        <f t="shared" si="15"/>
        <v/>
      </c>
      <c r="AV54" s="68" t="str">
        <f t="shared" si="1"/>
        <v/>
      </c>
    </row>
    <row r="55" spans="1:48" x14ac:dyDescent="0.25">
      <c r="A55" s="264"/>
      <c r="B55" s="265"/>
      <c r="C55" s="265"/>
      <c r="D55" s="265"/>
      <c r="E55" s="266"/>
      <c r="F55" s="270"/>
      <c r="G55" s="271"/>
      <c r="H55" s="271"/>
      <c r="I55" s="272"/>
      <c r="J55" s="270"/>
      <c r="K55" s="271"/>
      <c r="L55" s="272"/>
      <c r="M55" s="270"/>
      <c r="N55" s="271"/>
      <c r="O55" s="272"/>
      <c r="P55" s="290"/>
      <c r="Q55" s="314"/>
      <c r="R55" s="51" t="str">
        <f t="shared" si="16"/>
        <v/>
      </c>
      <c r="S55" s="84" t="str">
        <f t="shared" si="2"/>
        <v/>
      </c>
      <c r="T55" s="93" t="str">
        <f t="shared" si="3"/>
        <v/>
      </c>
      <c r="U55" s="100" t="str">
        <f t="shared" si="4"/>
        <v/>
      </c>
      <c r="V55" s="95" t="str">
        <f t="shared" si="5"/>
        <v/>
      </c>
      <c r="W55" s="95" t="str">
        <f t="shared" si="6"/>
        <v/>
      </c>
      <c r="X55" s="96" t="str">
        <f>IFERROR(U55*V55*Assumptions!$B$15/3956,"")</f>
        <v/>
      </c>
      <c r="Y55" s="102" t="str">
        <f t="shared" si="7"/>
        <v/>
      </c>
      <c r="Z55" s="95" t="str">
        <f t="shared" si="8"/>
        <v/>
      </c>
      <c r="AA55" s="96" t="str">
        <f>IFERROR(Y55*Z55*Assumptions!$B$15/3956,"")</f>
        <v/>
      </c>
      <c r="AB55" s="100" t="str">
        <f t="shared" si="9"/>
        <v/>
      </c>
      <c r="AC55" s="95" t="str">
        <f t="shared" si="10"/>
        <v/>
      </c>
      <c r="AD55" s="96" t="str">
        <f>IFERROR(AB55*AC55*Assumptions!$B$15/3956,"")</f>
        <v/>
      </c>
      <c r="AE55" s="94" t="str">
        <f>IFERROR(
IF(P55&lt;=5,
(Assumptions!$W$8*(W55/P55)^2+(Assumptions!$X$8*(W55/P55))+Assumptions!$Y$8),
IF(P55&lt;=20,
(Assumptions!$W$9*(W55/P55)^2+(Assumptions!$X$9*(W55/P55))+Assumptions!$Y$9),
IF(P55&lt;=50,
(Assumptions!$W$10*(W55/P55)^2+(Assumptions!$X$10*(W55/P55))+Assumptions!$Y$10),
(Assumptions!$W$11*(W55/P55)^2+(Assumptions!$X$11+(W55/P55))+Assumptions!$Y$11)))),
"")</f>
        <v/>
      </c>
      <c r="AF55" s="99" t="str">
        <f t="shared" si="11"/>
        <v/>
      </c>
      <c r="AG55" s="95" t="str">
        <f>IFERROR(
IF(P55&lt;=5,
(Assumptions!$W$8*(AF55/P55)^2+(Assumptions!$X$8*(AF55/P55))+Assumptions!$Y$8),
IF(P55&lt;=20,
(Assumptions!$W$9*(AF55/P55)^2+(Assumptions!$X$9*(AF55/P55))+Assumptions!$Y$9),
IF(P55&lt;=50,
(Assumptions!$W$10*(AF55/P55)^2+(Assumptions!$X$10*(AF55/P55))+Assumptions!$Y$10),
(Assumptions!$W$11*(AF55/P55)^2+(Assumptions!$X$11+(AF55/P55))+Assumptions!$Y$11)))),
"")</f>
        <v/>
      </c>
      <c r="AH55" s="95" t="str">
        <f t="shared" si="12"/>
        <v/>
      </c>
      <c r="AI55" s="95" t="str">
        <f>IFERROR(
IF(P55&lt;=5,
(Assumptions!$W$8*(AH55/P55)^2+(Assumptions!$X$8*(AH55/P55))+Assumptions!$Y$8),
IF(P55&lt;=20,
(Assumptions!$W$9*(AH55/P55)^2+(Assumptions!$X$9*(AH55/P55))+Assumptions!$Y$9),
IF(P55&lt;=50,
(Assumptions!$W$10*(AH55/P55)^2+(Assumptions!$X$10*(AH55/P55))+Assumptions!$Y$10),
(Assumptions!$W$11*(AH55/P55)^2+(Assumptions!$X$11+(AH55/P55))+Assumptions!$Y$11)))),"")</f>
        <v/>
      </c>
      <c r="AJ55" s="95" t="str">
        <f t="shared" si="13"/>
        <v/>
      </c>
      <c r="AK55" s="96" t="str">
        <f>IFERROR(
IF(P55&lt;=5,
(Assumptions!$W$8*(AJ55/P55)^2+(Assumptions!$X$8*(AJ55/P55))+Assumptions!$Y$8),
IF(P55&lt;=20,
(Assumptions!$W$9*(AJ55/P55)^2+(Assumptions!$X$9*(AJ55/P55))+Assumptions!$Y$9),
IF(P55&lt;=50,
(Assumptions!$W$10*(AJ55/P55)^2+(Assumptions!$X$10*(AJ55/P55))+Assumptions!$Y$10),
(Assumptions!$W$11*(AJ55/P55)^2+(Assumptions!$X$11+(AJ55/P55))+Assumptions!$Y$11)))),
"")</f>
        <v/>
      </c>
      <c r="AL55" s="99" t="str">
        <f>IFERROR(
IF(C55="VTS",
IF(P55&gt;=AVERAGE(
INDEX(Assumptions!$I$38:$I$57,MATCH(P55,Assumptions!$I$38:$I$57,-1)),
INDEX(Assumptions!$I$38:$I$57,MATCH(P55,Assumptions!$I$38:$I$57,-1)+1)),
INDEX(Assumptions!$I$38:$I$57,MATCH(P55,Assumptions!$I$38:$I$57,-1)),
INDEX(Assumptions!$I$38:$I$57,MATCH(P55,Assumptions!$I$38:$I$57,-1)+1)),
IF(P55&gt;=AVERAGE(
INDEX(Assumptions!$I$13:$I$32,MATCH(P55,Assumptions!$I$13:$I$32,-1)),
INDEX(Assumptions!$I$13:$I$32,MATCH(P55,Assumptions!$I$13:$I$32,-1)+1)),
INDEX(Assumptions!$I$13:$I$32,MATCH(P55,Assumptions!$I$13:$I$32,-1)),
INDEX(Assumptions!$I$13:$I$32,MATCH(P55,Assumptions!$I$13:$I$32,-1)+1))),
"")</f>
        <v/>
      </c>
      <c r="AM55" s="95" t="str">
        <f>IFERROR(
IF(C55="VTS",
VLOOKUP(AL55,Assumptions!$I$38:$K$57,MATCH(R55,Assumptions!$I$37:$K$37,0),FALSE),
VLOOKUP(AL55,Assumptions!$I$13:$K$32,MATCH(R55,Assumptions!$I$12:$K$12,0),FALSE)),
"")</f>
        <v/>
      </c>
      <c r="AN55" s="95" t="str">
        <f t="shared" si="14"/>
        <v/>
      </c>
      <c r="AO55" s="95" t="str">
        <f>IFERROR(AN55*
(Assumptions!$S$7*(X55/(AR55*Assumptions!$AB$9/100)/P55)^3+
Assumptions!$S$8*(X55/(AR55*Assumptions!$AB$9/100)/P55)^2+
Assumptions!$S$9*(X55/(AR55*Assumptions!$AB$9/100)/P55)+
Assumptions!$S$10),"")</f>
        <v/>
      </c>
      <c r="AP55" s="95" t="str">
        <f>IFERROR(AN55*
(Assumptions!$S$7*(AA55/(AR55*Assumptions!$AB$8/100)/P55)^3+
Assumptions!$S$8*(AA55/(AR55*Assumptions!$AB$8/100)/P55)^2+
Assumptions!$S$9*(AA55/(AR55*Assumptions!$AB$8/100)/P55)+
Assumptions!$S$10),"")</f>
        <v/>
      </c>
      <c r="AQ55" s="95" t="str">
        <f>IFERROR(AN55*
(Assumptions!$S$7*(AD55/(AR55*Assumptions!$AB$10/100)/P55)^3+
Assumptions!$S$8*(AD55/(AR55*Assumptions!$AB$10/100)/P55)^2+
Assumptions!$S$9*(AD55/(AR55*Assumptions!$AB$10/100)/P55)+
Assumptions!$S$10),"")</f>
        <v/>
      </c>
      <c r="AR55" s="95" t="str">
        <f>IFERROR(
Assumptions!$AD$8*LN(U55)^2+
Assumptions!$AE$8*LN(T55)*LN(U55)+
Assumptions!$AF$8*LN(T55)^2+
Assumptions!$AG$8*LN(U55)+
Assumptions!$AH$8*LN(T55)-
(IF(S55=1800,
VLOOKUP(C55,Assumptions!$AA$13:$AC$17,3),
IF(S55=3600,
VLOOKUP(C55,Assumptions!$AA$18:$AC$22,3),
""))+Assumptions!$AI$8),
"")</f>
        <v/>
      </c>
      <c r="AS55" s="96" t="str">
        <f>IFERROR(
Assumptions!$D$11*(X55/(Assumptions!$AB$9*AR55/100)+AO55)+
Assumptions!$D$10*(AA55/(Assumptions!$AB$8*AR55/100)+AP55)+
Assumptions!$D$12*(AD55/(Assumptions!$AB$10*AR55/100)+AQ55),
"")</f>
        <v/>
      </c>
      <c r="AT55" s="76" t="str">
        <f>IFERROR(
(W55+AE55)*Assumptions!$F$11+
(AF55+AG55)*Assumptions!$F$8+
(AH55+AI55)*Assumptions!$F$9+
(AJ55+AK55)*Assumptions!$F$10,
"")</f>
        <v/>
      </c>
      <c r="AU55" s="77" t="str">
        <f t="shared" si="15"/>
        <v/>
      </c>
      <c r="AV55" s="68" t="str">
        <f t="shared" si="1"/>
        <v/>
      </c>
    </row>
    <row r="56" spans="1:48" x14ac:dyDescent="0.25">
      <c r="A56" s="264"/>
      <c r="B56" s="265"/>
      <c r="C56" s="265"/>
      <c r="D56" s="265"/>
      <c r="E56" s="266"/>
      <c r="F56" s="270"/>
      <c r="G56" s="271"/>
      <c r="H56" s="271"/>
      <c r="I56" s="272"/>
      <c r="J56" s="270"/>
      <c r="K56" s="271"/>
      <c r="L56" s="272"/>
      <c r="M56" s="270"/>
      <c r="N56" s="271"/>
      <c r="O56" s="272"/>
      <c r="P56" s="290"/>
      <c r="Q56" s="314"/>
      <c r="R56" s="51" t="str">
        <f t="shared" si="16"/>
        <v/>
      </c>
      <c r="S56" s="84" t="str">
        <f t="shared" si="2"/>
        <v/>
      </c>
      <c r="T56" s="93" t="str">
        <f t="shared" si="3"/>
        <v/>
      </c>
      <c r="U56" s="100" t="str">
        <f t="shared" si="4"/>
        <v/>
      </c>
      <c r="V56" s="95" t="str">
        <f t="shared" si="5"/>
        <v/>
      </c>
      <c r="W56" s="95" t="str">
        <f t="shared" si="6"/>
        <v/>
      </c>
      <c r="X56" s="96" t="str">
        <f>IFERROR(U56*V56*Assumptions!$B$15/3956,"")</f>
        <v/>
      </c>
      <c r="Y56" s="102" t="str">
        <f t="shared" si="7"/>
        <v/>
      </c>
      <c r="Z56" s="95" t="str">
        <f t="shared" si="8"/>
        <v/>
      </c>
      <c r="AA56" s="96" t="str">
        <f>IFERROR(Y56*Z56*Assumptions!$B$15/3956,"")</f>
        <v/>
      </c>
      <c r="AB56" s="100" t="str">
        <f t="shared" si="9"/>
        <v/>
      </c>
      <c r="AC56" s="95" t="str">
        <f t="shared" si="10"/>
        <v/>
      </c>
      <c r="AD56" s="96" t="str">
        <f>IFERROR(AB56*AC56*Assumptions!$B$15/3956,"")</f>
        <v/>
      </c>
      <c r="AE56" s="94" t="str">
        <f>IFERROR(
IF(P56&lt;=5,
(Assumptions!$W$8*(W56/P56)^2+(Assumptions!$X$8*(W56/P56))+Assumptions!$Y$8),
IF(P56&lt;=20,
(Assumptions!$W$9*(W56/P56)^2+(Assumptions!$X$9*(W56/P56))+Assumptions!$Y$9),
IF(P56&lt;=50,
(Assumptions!$W$10*(W56/P56)^2+(Assumptions!$X$10*(W56/P56))+Assumptions!$Y$10),
(Assumptions!$W$11*(W56/P56)^2+(Assumptions!$X$11+(W56/P56))+Assumptions!$Y$11)))),
"")</f>
        <v/>
      </c>
      <c r="AF56" s="99" t="str">
        <f t="shared" si="11"/>
        <v/>
      </c>
      <c r="AG56" s="95" t="str">
        <f>IFERROR(
IF(P56&lt;=5,
(Assumptions!$W$8*(AF56/P56)^2+(Assumptions!$X$8*(AF56/P56))+Assumptions!$Y$8),
IF(P56&lt;=20,
(Assumptions!$W$9*(AF56/P56)^2+(Assumptions!$X$9*(AF56/P56))+Assumptions!$Y$9),
IF(P56&lt;=50,
(Assumptions!$W$10*(AF56/P56)^2+(Assumptions!$X$10*(AF56/P56))+Assumptions!$Y$10),
(Assumptions!$W$11*(AF56/P56)^2+(Assumptions!$X$11+(AF56/P56))+Assumptions!$Y$11)))),
"")</f>
        <v/>
      </c>
      <c r="AH56" s="95" t="str">
        <f t="shared" si="12"/>
        <v/>
      </c>
      <c r="AI56" s="95" t="str">
        <f>IFERROR(
IF(P56&lt;=5,
(Assumptions!$W$8*(AH56/P56)^2+(Assumptions!$X$8*(AH56/P56))+Assumptions!$Y$8),
IF(P56&lt;=20,
(Assumptions!$W$9*(AH56/P56)^2+(Assumptions!$X$9*(AH56/P56))+Assumptions!$Y$9),
IF(P56&lt;=50,
(Assumptions!$W$10*(AH56/P56)^2+(Assumptions!$X$10*(AH56/P56))+Assumptions!$Y$10),
(Assumptions!$W$11*(AH56/P56)^2+(Assumptions!$X$11+(AH56/P56))+Assumptions!$Y$11)))),"")</f>
        <v/>
      </c>
      <c r="AJ56" s="95" t="str">
        <f t="shared" si="13"/>
        <v/>
      </c>
      <c r="AK56" s="96" t="str">
        <f>IFERROR(
IF(P56&lt;=5,
(Assumptions!$W$8*(AJ56/P56)^2+(Assumptions!$X$8*(AJ56/P56))+Assumptions!$Y$8),
IF(P56&lt;=20,
(Assumptions!$W$9*(AJ56/P56)^2+(Assumptions!$X$9*(AJ56/P56))+Assumptions!$Y$9),
IF(P56&lt;=50,
(Assumptions!$W$10*(AJ56/P56)^2+(Assumptions!$X$10*(AJ56/P56))+Assumptions!$Y$10),
(Assumptions!$W$11*(AJ56/P56)^2+(Assumptions!$X$11+(AJ56/P56))+Assumptions!$Y$11)))),
"")</f>
        <v/>
      </c>
      <c r="AL56" s="99" t="str">
        <f>IFERROR(
IF(C56="VTS",
IF(P56&gt;=AVERAGE(
INDEX(Assumptions!$I$38:$I$57,MATCH(P56,Assumptions!$I$38:$I$57,-1)),
INDEX(Assumptions!$I$38:$I$57,MATCH(P56,Assumptions!$I$38:$I$57,-1)+1)),
INDEX(Assumptions!$I$38:$I$57,MATCH(P56,Assumptions!$I$38:$I$57,-1)),
INDEX(Assumptions!$I$38:$I$57,MATCH(P56,Assumptions!$I$38:$I$57,-1)+1)),
IF(P56&gt;=AVERAGE(
INDEX(Assumptions!$I$13:$I$32,MATCH(P56,Assumptions!$I$13:$I$32,-1)),
INDEX(Assumptions!$I$13:$I$32,MATCH(P56,Assumptions!$I$13:$I$32,-1)+1)),
INDEX(Assumptions!$I$13:$I$32,MATCH(P56,Assumptions!$I$13:$I$32,-1)),
INDEX(Assumptions!$I$13:$I$32,MATCH(P56,Assumptions!$I$13:$I$32,-1)+1))),
"")</f>
        <v/>
      </c>
      <c r="AM56" s="95" t="str">
        <f>IFERROR(
IF(C56="VTS",
VLOOKUP(AL56,Assumptions!$I$38:$K$57,MATCH(R56,Assumptions!$I$37:$K$37,0),FALSE),
VLOOKUP(AL56,Assumptions!$I$13:$K$32,MATCH(R56,Assumptions!$I$12:$K$12,0),FALSE)),
"")</f>
        <v/>
      </c>
      <c r="AN56" s="95" t="str">
        <f t="shared" si="14"/>
        <v/>
      </c>
      <c r="AO56" s="95" t="str">
        <f>IFERROR(AN56*
(Assumptions!$S$7*(X56/(AR56*Assumptions!$AB$9/100)/P56)^3+
Assumptions!$S$8*(X56/(AR56*Assumptions!$AB$9/100)/P56)^2+
Assumptions!$S$9*(X56/(AR56*Assumptions!$AB$9/100)/P56)+
Assumptions!$S$10),"")</f>
        <v/>
      </c>
      <c r="AP56" s="95" t="str">
        <f>IFERROR(AN56*
(Assumptions!$S$7*(AA56/(AR56*Assumptions!$AB$8/100)/P56)^3+
Assumptions!$S$8*(AA56/(AR56*Assumptions!$AB$8/100)/P56)^2+
Assumptions!$S$9*(AA56/(AR56*Assumptions!$AB$8/100)/P56)+
Assumptions!$S$10),"")</f>
        <v/>
      </c>
      <c r="AQ56" s="95" t="str">
        <f>IFERROR(AN56*
(Assumptions!$S$7*(AD56/(AR56*Assumptions!$AB$10/100)/P56)^3+
Assumptions!$S$8*(AD56/(AR56*Assumptions!$AB$10/100)/P56)^2+
Assumptions!$S$9*(AD56/(AR56*Assumptions!$AB$10/100)/P56)+
Assumptions!$S$10),"")</f>
        <v/>
      </c>
      <c r="AR56" s="95" t="str">
        <f>IFERROR(
Assumptions!$AD$8*LN(U56)^2+
Assumptions!$AE$8*LN(T56)*LN(U56)+
Assumptions!$AF$8*LN(T56)^2+
Assumptions!$AG$8*LN(U56)+
Assumptions!$AH$8*LN(T56)-
(IF(S56=1800,
VLOOKUP(C56,Assumptions!$AA$13:$AC$17,3),
IF(S56=3600,
VLOOKUP(C56,Assumptions!$AA$18:$AC$22,3),
""))+Assumptions!$AI$8),
"")</f>
        <v/>
      </c>
      <c r="AS56" s="96" t="str">
        <f>IFERROR(
Assumptions!$D$11*(X56/(Assumptions!$AB$9*AR56/100)+AO56)+
Assumptions!$D$10*(AA56/(Assumptions!$AB$8*AR56/100)+AP56)+
Assumptions!$D$12*(AD56/(Assumptions!$AB$10*AR56/100)+AQ56),
"")</f>
        <v/>
      </c>
      <c r="AT56" s="76" t="str">
        <f>IFERROR(
(W56+AE56)*Assumptions!$F$11+
(AF56+AG56)*Assumptions!$F$8+
(AH56+AI56)*Assumptions!$F$9+
(AJ56+AK56)*Assumptions!$F$10,
"")</f>
        <v/>
      </c>
      <c r="AU56" s="77" t="str">
        <f t="shared" si="15"/>
        <v/>
      </c>
      <c r="AV56" s="68" t="str">
        <f t="shared" si="1"/>
        <v/>
      </c>
    </row>
    <row r="57" spans="1:48" x14ac:dyDescent="0.25">
      <c r="A57" s="264"/>
      <c r="B57" s="265"/>
      <c r="C57" s="265"/>
      <c r="D57" s="265"/>
      <c r="E57" s="266"/>
      <c r="F57" s="270"/>
      <c r="G57" s="271"/>
      <c r="H57" s="271"/>
      <c r="I57" s="272"/>
      <c r="J57" s="270"/>
      <c r="K57" s="271"/>
      <c r="L57" s="272"/>
      <c r="M57" s="270"/>
      <c r="N57" s="271"/>
      <c r="O57" s="272"/>
      <c r="P57" s="290"/>
      <c r="Q57" s="314"/>
      <c r="R57" s="51" t="str">
        <f t="shared" si="16"/>
        <v/>
      </c>
      <c r="S57" s="84" t="str">
        <f t="shared" si="2"/>
        <v/>
      </c>
      <c r="T57" s="93" t="str">
        <f t="shared" si="3"/>
        <v/>
      </c>
      <c r="U57" s="100" t="str">
        <f t="shared" si="4"/>
        <v/>
      </c>
      <c r="V57" s="95" t="str">
        <f t="shared" si="5"/>
        <v/>
      </c>
      <c r="W57" s="95" t="str">
        <f t="shared" si="6"/>
        <v/>
      </c>
      <c r="X57" s="96" t="str">
        <f>IFERROR(U57*V57*Assumptions!$B$15/3956,"")</f>
        <v/>
      </c>
      <c r="Y57" s="102" t="str">
        <f t="shared" si="7"/>
        <v/>
      </c>
      <c r="Z57" s="95" t="str">
        <f t="shared" si="8"/>
        <v/>
      </c>
      <c r="AA57" s="96" t="str">
        <f>IFERROR(Y57*Z57*Assumptions!$B$15/3956,"")</f>
        <v/>
      </c>
      <c r="AB57" s="100" t="str">
        <f t="shared" si="9"/>
        <v/>
      </c>
      <c r="AC57" s="95" t="str">
        <f t="shared" si="10"/>
        <v/>
      </c>
      <c r="AD57" s="96" t="str">
        <f>IFERROR(AB57*AC57*Assumptions!$B$15/3956,"")</f>
        <v/>
      </c>
      <c r="AE57" s="94" t="str">
        <f>IFERROR(
IF(P57&lt;=5,
(Assumptions!$W$8*(W57/P57)^2+(Assumptions!$X$8*(W57/P57))+Assumptions!$Y$8),
IF(P57&lt;=20,
(Assumptions!$W$9*(W57/P57)^2+(Assumptions!$X$9*(W57/P57))+Assumptions!$Y$9),
IF(P57&lt;=50,
(Assumptions!$W$10*(W57/P57)^2+(Assumptions!$X$10*(W57/P57))+Assumptions!$Y$10),
(Assumptions!$W$11*(W57/P57)^2+(Assumptions!$X$11+(W57/P57))+Assumptions!$Y$11)))),
"")</f>
        <v/>
      </c>
      <c r="AF57" s="99" t="str">
        <f t="shared" si="11"/>
        <v/>
      </c>
      <c r="AG57" s="95" t="str">
        <f>IFERROR(
IF(P57&lt;=5,
(Assumptions!$W$8*(AF57/P57)^2+(Assumptions!$X$8*(AF57/P57))+Assumptions!$Y$8),
IF(P57&lt;=20,
(Assumptions!$W$9*(AF57/P57)^2+(Assumptions!$X$9*(AF57/P57))+Assumptions!$Y$9),
IF(P57&lt;=50,
(Assumptions!$W$10*(AF57/P57)^2+(Assumptions!$X$10*(AF57/P57))+Assumptions!$Y$10),
(Assumptions!$W$11*(AF57/P57)^2+(Assumptions!$X$11+(AF57/P57))+Assumptions!$Y$11)))),
"")</f>
        <v/>
      </c>
      <c r="AH57" s="95" t="str">
        <f t="shared" si="12"/>
        <v/>
      </c>
      <c r="AI57" s="95" t="str">
        <f>IFERROR(
IF(P57&lt;=5,
(Assumptions!$W$8*(AH57/P57)^2+(Assumptions!$X$8*(AH57/P57))+Assumptions!$Y$8),
IF(P57&lt;=20,
(Assumptions!$W$9*(AH57/P57)^2+(Assumptions!$X$9*(AH57/P57))+Assumptions!$Y$9),
IF(P57&lt;=50,
(Assumptions!$W$10*(AH57/P57)^2+(Assumptions!$X$10*(AH57/P57))+Assumptions!$Y$10),
(Assumptions!$W$11*(AH57/P57)^2+(Assumptions!$X$11+(AH57/P57))+Assumptions!$Y$11)))),"")</f>
        <v/>
      </c>
      <c r="AJ57" s="95" t="str">
        <f t="shared" si="13"/>
        <v/>
      </c>
      <c r="AK57" s="96" t="str">
        <f>IFERROR(
IF(P57&lt;=5,
(Assumptions!$W$8*(AJ57/P57)^2+(Assumptions!$X$8*(AJ57/P57))+Assumptions!$Y$8),
IF(P57&lt;=20,
(Assumptions!$W$9*(AJ57/P57)^2+(Assumptions!$X$9*(AJ57/P57))+Assumptions!$Y$9),
IF(P57&lt;=50,
(Assumptions!$W$10*(AJ57/P57)^2+(Assumptions!$X$10*(AJ57/P57))+Assumptions!$Y$10),
(Assumptions!$W$11*(AJ57/P57)^2+(Assumptions!$X$11+(AJ57/P57))+Assumptions!$Y$11)))),
"")</f>
        <v/>
      </c>
      <c r="AL57" s="99" t="str">
        <f>IFERROR(
IF(C57="VTS",
IF(P57&gt;=AVERAGE(
INDEX(Assumptions!$I$38:$I$57,MATCH(P57,Assumptions!$I$38:$I$57,-1)),
INDEX(Assumptions!$I$38:$I$57,MATCH(P57,Assumptions!$I$38:$I$57,-1)+1)),
INDEX(Assumptions!$I$38:$I$57,MATCH(P57,Assumptions!$I$38:$I$57,-1)),
INDEX(Assumptions!$I$38:$I$57,MATCH(P57,Assumptions!$I$38:$I$57,-1)+1)),
IF(P57&gt;=AVERAGE(
INDEX(Assumptions!$I$13:$I$32,MATCH(P57,Assumptions!$I$13:$I$32,-1)),
INDEX(Assumptions!$I$13:$I$32,MATCH(P57,Assumptions!$I$13:$I$32,-1)+1)),
INDEX(Assumptions!$I$13:$I$32,MATCH(P57,Assumptions!$I$13:$I$32,-1)),
INDEX(Assumptions!$I$13:$I$32,MATCH(P57,Assumptions!$I$13:$I$32,-1)+1))),
"")</f>
        <v/>
      </c>
      <c r="AM57" s="95" t="str">
        <f>IFERROR(
IF(C57="VTS",
VLOOKUP(AL57,Assumptions!$I$38:$K$57,MATCH(R57,Assumptions!$I$37:$K$37,0),FALSE),
VLOOKUP(AL57,Assumptions!$I$13:$K$32,MATCH(R57,Assumptions!$I$12:$K$12,0),FALSE)),
"")</f>
        <v/>
      </c>
      <c r="AN57" s="95" t="str">
        <f t="shared" si="14"/>
        <v/>
      </c>
      <c r="AO57" s="95" t="str">
        <f>IFERROR(AN57*
(Assumptions!$S$7*(X57/(AR57*Assumptions!$AB$9/100)/P57)^3+
Assumptions!$S$8*(X57/(AR57*Assumptions!$AB$9/100)/P57)^2+
Assumptions!$S$9*(X57/(AR57*Assumptions!$AB$9/100)/P57)+
Assumptions!$S$10),"")</f>
        <v/>
      </c>
      <c r="AP57" s="95" t="str">
        <f>IFERROR(AN57*
(Assumptions!$S$7*(AA57/(AR57*Assumptions!$AB$8/100)/P57)^3+
Assumptions!$S$8*(AA57/(AR57*Assumptions!$AB$8/100)/P57)^2+
Assumptions!$S$9*(AA57/(AR57*Assumptions!$AB$8/100)/P57)+
Assumptions!$S$10),"")</f>
        <v/>
      </c>
      <c r="AQ57" s="95" t="str">
        <f>IFERROR(AN57*
(Assumptions!$S$7*(AD57/(AR57*Assumptions!$AB$10/100)/P57)^3+
Assumptions!$S$8*(AD57/(AR57*Assumptions!$AB$10/100)/P57)^2+
Assumptions!$S$9*(AD57/(AR57*Assumptions!$AB$10/100)/P57)+
Assumptions!$S$10),"")</f>
        <v/>
      </c>
      <c r="AR57" s="95" t="str">
        <f>IFERROR(
Assumptions!$AD$8*LN(U57)^2+
Assumptions!$AE$8*LN(T57)*LN(U57)+
Assumptions!$AF$8*LN(T57)^2+
Assumptions!$AG$8*LN(U57)+
Assumptions!$AH$8*LN(T57)-
(IF(S57=1800,
VLOOKUP(C57,Assumptions!$AA$13:$AC$17,3),
IF(S57=3600,
VLOOKUP(C57,Assumptions!$AA$18:$AC$22,3),
""))+Assumptions!$AI$8),
"")</f>
        <v/>
      </c>
      <c r="AS57" s="96" t="str">
        <f>IFERROR(
Assumptions!$D$11*(X57/(Assumptions!$AB$9*AR57/100)+AO57)+
Assumptions!$D$10*(AA57/(Assumptions!$AB$8*AR57/100)+AP57)+
Assumptions!$D$12*(AD57/(Assumptions!$AB$10*AR57/100)+AQ57),
"")</f>
        <v/>
      </c>
      <c r="AT57" s="76" t="str">
        <f>IFERROR(
(W57+AE57)*Assumptions!$F$11+
(AF57+AG57)*Assumptions!$F$8+
(AH57+AI57)*Assumptions!$F$9+
(AJ57+AK57)*Assumptions!$F$10,
"")</f>
        <v/>
      </c>
      <c r="AU57" s="77" t="str">
        <f t="shared" si="15"/>
        <v/>
      </c>
      <c r="AV57" s="68" t="str">
        <f t="shared" si="1"/>
        <v/>
      </c>
    </row>
    <row r="58" spans="1:48" x14ac:dyDescent="0.25">
      <c r="A58" s="264"/>
      <c r="B58" s="265"/>
      <c r="C58" s="265"/>
      <c r="D58" s="265"/>
      <c r="E58" s="266"/>
      <c r="F58" s="270"/>
      <c r="G58" s="271"/>
      <c r="H58" s="271"/>
      <c r="I58" s="272"/>
      <c r="J58" s="270"/>
      <c r="K58" s="271"/>
      <c r="L58" s="272"/>
      <c r="M58" s="270"/>
      <c r="N58" s="271"/>
      <c r="O58" s="272"/>
      <c r="P58" s="290"/>
      <c r="Q58" s="314"/>
      <c r="R58" s="51" t="str">
        <f t="shared" si="16"/>
        <v/>
      </c>
      <c r="S58" s="84" t="str">
        <f t="shared" si="2"/>
        <v/>
      </c>
      <c r="T58" s="93" t="str">
        <f t="shared" si="3"/>
        <v/>
      </c>
      <c r="U58" s="100" t="str">
        <f t="shared" si="4"/>
        <v/>
      </c>
      <c r="V58" s="95" t="str">
        <f t="shared" si="5"/>
        <v/>
      </c>
      <c r="W58" s="95" t="str">
        <f t="shared" si="6"/>
        <v/>
      </c>
      <c r="X58" s="96" t="str">
        <f>IFERROR(U58*V58*Assumptions!$B$15/3956,"")</f>
        <v/>
      </c>
      <c r="Y58" s="102" t="str">
        <f t="shared" si="7"/>
        <v/>
      </c>
      <c r="Z58" s="95" t="str">
        <f t="shared" si="8"/>
        <v/>
      </c>
      <c r="AA58" s="96" t="str">
        <f>IFERROR(Y58*Z58*Assumptions!$B$15/3956,"")</f>
        <v/>
      </c>
      <c r="AB58" s="100" t="str">
        <f t="shared" si="9"/>
        <v/>
      </c>
      <c r="AC58" s="95" t="str">
        <f t="shared" si="10"/>
        <v/>
      </c>
      <c r="AD58" s="96" t="str">
        <f>IFERROR(AB58*AC58*Assumptions!$B$15/3956,"")</f>
        <v/>
      </c>
      <c r="AE58" s="94" t="str">
        <f>IFERROR(
IF(P58&lt;=5,
(Assumptions!$W$8*(W58/P58)^2+(Assumptions!$X$8*(W58/P58))+Assumptions!$Y$8),
IF(P58&lt;=20,
(Assumptions!$W$9*(W58/P58)^2+(Assumptions!$X$9*(W58/P58))+Assumptions!$Y$9),
IF(P58&lt;=50,
(Assumptions!$W$10*(W58/P58)^2+(Assumptions!$X$10*(W58/P58))+Assumptions!$Y$10),
(Assumptions!$W$11*(W58/P58)^2+(Assumptions!$X$11+(W58/P58))+Assumptions!$Y$11)))),
"")</f>
        <v/>
      </c>
      <c r="AF58" s="99" t="str">
        <f t="shared" si="11"/>
        <v/>
      </c>
      <c r="AG58" s="95" t="str">
        <f>IFERROR(
IF(P58&lt;=5,
(Assumptions!$W$8*(AF58/P58)^2+(Assumptions!$X$8*(AF58/P58))+Assumptions!$Y$8),
IF(P58&lt;=20,
(Assumptions!$W$9*(AF58/P58)^2+(Assumptions!$X$9*(AF58/P58))+Assumptions!$Y$9),
IF(P58&lt;=50,
(Assumptions!$W$10*(AF58/P58)^2+(Assumptions!$X$10*(AF58/P58))+Assumptions!$Y$10),
(Assumptions!$W$11*(AF58/P58)^2+(Assumptions!$X$11+(AF58/P58))+Assumptions!$Y$11)))),
"")</f>
        <v/>
      </c>
      <c r="AH58" s="95" t="str">
        <f t="shared" si="12"/>
        <v/>
      </c>
      <c r="AI58" s="95" t="str">
        <f>IFERROR(
IF(P58&lt;=5,
(Assumptions!$W$8*(AH58/P58)^2+(Assumptions!$X$8*(AH58/P58))+Assumptions!$Y$8),
IF(P58&lt;=20,
(Assumptions!$W$9*(AH58/P58)^2+(Assumptions!$X$9*(AH58/P58))+Assumptions!$Y$9),
IF(P58&lt;=50,
(Assumptions!$W$10*(AH58/P58)^2+(Assumptions!$X$10*(AH58/P58))+Assumptions!$Y$10),
(Assumptions!$W$11*(AH58/P58)^2+(Assumptions!$X$11+(AH58/P58))+Assumptions!$Y$11)))),"")</f>
        <v/>
      </c>
      <c r="AJ58" s="95" t="str">
        <f t="shared" si="13"/>
        <v/>
      </c>
      <c r="AK58" s="96" t="str">
        <f>IFERROR(
IF(P58&lt;=5,
(Assumptions!$W$8*(AJ58/P58)^2+(Assumptions!$X$8*(AJ58/P58))+Assumptions!$Y$8),
IF(P58&lt;=20,
(Assumptions!$W$9*(AJ58/P58)^2+(Assumptions!$X$9*(AJ58/P58))+Assumptions!$Y$9),
IF(P58&lt;=50,
(Assumptions!$W$10*(AJ58/P58)^2+(Assumptions!$X$10*(AJ58/P58))+Assumptions!$Y$10),
(Assumptions!$W$11*(AJ58/P58)^2+(Assumptions!$X$11+(AJ58/P58))+Assumptions!$Y$11)))),
"")</f>
        <v/>
      </c>
      <c r="AL58" s="99" t="str">
        <f>IFERROR(
IF(C58="VTS",
IF(P58&gt;=AVERAGE(
INDEX(Assumptions!$I$38:$I$57,MATCH(P58,Assumptions!$I$38:$I$57,-1)),
INDEX(Assumptions!$I$38:$I$57,MATCH(P58,Assumptions!$I$38:$I$57,-1)+1)),
INDEX(Assumptions!$I$38:$I$57,MATCH(P58,Assumptions!$I$38:$I$57,-1)),
INDEX(Assumptions!$I$38:$I$57,MATCH(P58,Assumptions!$I$38:$I$57,-1)+1)),
IF(P58&gt;=AVERAGE(
INDEX(Assumptions!$I$13:$I$32,MATCH(P58,Assumptions!$I$13:$I$32,-1)),
INDEX(Assumptions!$I$13:$I$32,MATCH(P58,Assumptions!$I$13:$I$32,-1)+1)),
INDEX(Assumptions!$I$13:$I$32,MATCH(P58,Assumptions!$I$13:$I$32,-1)),
INDEX(Assumptions!$I$13:$I$32,MATCH(P58,Assumptions!$I$13:$I$32,-1)+1))),
"")</f>
        <v/>
      </c>
      <c r="AM58" s="95" t="str">
        <f>IFERROR(
IF(C58="VTS",
VLOOKUP(AL58,Assumptions!$I$38:$K$57,MATCH(R58,Assumptions!$I$37:$K$37,0),FALSE),
VLOOKUP(AL58,Assumptions!$I$13:$K$32,MATCH(R58,Assumptions!$I$12:$K$12,0),FALSE)),
"")</f>
        <v/>
      </c>
      <c r="AN58" s="95" t="str">
        <f t="shared" si="14"/>
        <v/>
      </c>
      <c r="AO58" s="95" t="str">
        <f>IFERROR(AN58*
(Assumptions!$S$7*(X58/(AR58*Assumptions!$AB$9/100)/P58)^3+
Assumptions!$S$8*(X58/(AR58*Assumptions!$AB$9/100)/P58)^2+
Assumptions!$S$9*(X58/(AR58*Assumptions!$AB$9/100)/P58)+
Assumptions!$S$10),"")</f>
        <v/>
      </c>
      <c r="AP58" s="95" t="str">
        <f>IFERROR(AN58*
(Assumptions!$S$7*(AA58/(AR58*Assumptions!$AB$8/100)/P58)^3+
Assumptions!$S$8*(AA58/(AR58*Assumptions!$AB$8/100)/P58)^2+
Assumptions!$S$9*(AA58/(AR58*Assumptions!$AB$8/100)/P58)+
Assumptions!$S$10),"")</f>
        <v/>
      </c>
      <c r="AQ58" s="95" t="str">
        <f>IFERROR(AN58*
(Assumptions!$S$7*(AD58/(AR58*Assumptions!$AB$10/100)/P58)^3+
Assumptions!$S$8*(AD58/(AR58*Assumptions!$AB$10/100)/P58)^2+
Assumptions!$S$9*(AD58/(AR58*Assumptions!$AB$10/100)/P58)+
Assumptions!$S$10),"")</f>
        <v/>
      </c>
      <c r="AR58" s="95" t="str">
        <f>IFERROR(
Assumptions!$AD$8*LN(U58)^2+
Assumptions!$AE$8*LN(T58)*LN(U58)+
Assumptions!$AF$8*LN(T58)^2+
Assumptions!$AG$8*LN(U58)+
Assumptions!$AH$8*LN(T58)-
(IF(S58=1800,
VLOOKUP(C58,Assumptions!$AA$13:$AC$17,3),
IF(S58=3600,
VLOOKUP(C58,Assumptions!$AA$18:$AC$22,3),
""))+Assumptions!$AI$8),
"")</f>
        <v/>
      </c>
      <c r="AS58" s="96" t="str">
        <f>IFERROR(
Assumptions!$D$11*(X58/(Assumptions!$AB$9*AR58/100)+AO58)+
Assumptions!$D$10*(AA58/(Assumptions!$AB$8*AR58/100)+AP58)+
Assumptions!$D$12*(AD58/(Assumptions!$AB$10*AR58/100)+AQ58),
"")</f>
        <v/>
      </c>
      <c r="AT58" s="76" t="str">
        <f>IFERROR(
(W58+AE58)*Assumptions!$F$11+
(AF58+AG58)*Assumptions!$F$8+
(AH58+AI58)*Assumptions!$F$9+
(AJ58+AK58)*Assumptions!$F$10,
"")</f>
        <v/>
      </c>
      <c r="AU58" s="77" t="str">
        <f t="shared" si="15"/>
        <v/>
      </c>
      <c r="AV58" s="68" t="str">
        <f t="shared" si="1"/>
        <v/>
      </c>
    </row>
    <row r="59" spans="1:48" x14ac:dyDescent="0.25">
      <c r="A59" s="264"/>
      <c r="B59" s="265"/>
      <c r="C59" s="265"/>
      <c r="D59" s="265"/>
      <c r="E59" s="266"/>
      <c r="F59" s="270"/>
      <c r="G59" s="271"/>
      <c r="H59" s="271"/>
      <c r="I59" s="272"/>
      <c r="J59" s="270"/>
      <c r="K59" s="271"/>
      <c r="L59" s="272"/>
      <c r="M59" s="270"/>
      <c r="N59" s="271"/>
      <c r="O59" s="272"/>
      <c r="P59" s="290"/>
      <c r="Q59" s="314"/>
      <c r="R59" s="51" t="str">
        <f t="shared" si="16"/>
        <v/>
      </c>
      <c r="S59" s="84" t="str">
        <f t="shared" si="2"/>
        <v/>
      </c>
      <c r="T59" s="93" t="str">
        <f t="shared" si="3"/>
        <v/>
      </c>
      <c r="U59" s="100" t="str">
        <f t="shared" si="4"/>
        <v/>
      </c>
      <c r="V59" s="95" t="str">
        <f t="shared" si="5"/>
        <v/>
      </c>
      <c r="W59" s="95" t="str">
        <f t="shared" si="6"/>
        <v/>
      </c>
      <c r="X59" s="96" t="str">
        <f>IFERROR(U59*V59*Assumptions!$B$15/3956,"")</f>
        <v/>
      </c>
      <c r="Y59" s="102" t="str">
        <f t="shared" si="7"/>
        <v/>
      </c>
      <c r="Z59" s="95" t="str">
        <f t="shared" si="8"/>
        <v/>
      </c>
      <c r="AA59" s="96" t="str">
        <f>IFERROR(Y59*Z59*Assumptions!$B$15/3956,"")</f>
        <v/>
      </c>
      <c r="AB59" s="100" t="str">
        <f t="shared" si="9"/>
        <v/>
      </c>
      <c r="AC59" s="95" t="str">
        <f t="shared" si="10"/>
        <v/>
      </c>
      <c r="AD59" s="96" t="str">
        <f>IFERROR(AB59*AC59*Assumptions!$B$15/3956,"")</f>
        <v/>
      </c>
      <c r="AE59" s="94" t="str">
        <f>IFERROR(
IF(P59&lt;=5,
(Assumptions!$W$8*(W59/P59)^2+(Assumptions!$X$8*(W59/P59))+Assumptions!$Y$8),
IF(P59&lt;=20,
(Assumptions!$W$9*(W59/P59)^2+(Assumptions!$X$9*(W59/P59))+Assumptions!$Y$9),
IF(P59&lt;=50,
(Assumptions!$W$10*(W59/P59)^2+(Assumptions!$X$10*(W59/P59))+Assumptions!$Y$10),
(Assumptions!$W$11*(W59/P59)^2+(Assumptions!$X$11+(W59/P59))+Assumptions!$Y$11)))),
"")</f>
        <v/>
      </c>
      <c r="AF59" s="99" t="str">
        <f t="shared" si="11"/>
        <v/>
      </c>
      <c r="AG59" s="95" t="str">
        <f>IFERROR(
IF(P59&lt;=5,
(Assumptions!$W$8*(AF59/P59)^2+(Assumptions!$X$8*(AF59/P59))+Assumptions!$Y$8),
IF(P59&lt;=20,
(Assumptions!$W$9*(AF59/P59)^2+(Assumptions!$X$9*(AF59/P59))+Assumptions!$Y$9),
IF(P59&lt;=50,
(Assumptions!$W$10*(AF59/P59)^2+(Assumptions!$X$10*(AF59/P59))+Assumptions!$Y$10),
(Assumptions!$W$11*(AF59/P59)^2+(Assumptions!$X$11+(AF59/P59))+Assumptions!$Y$11)))),
"")</f>
        <v/>
      </c>
      <c r="AH59" s="95" t="str">
        <f t="shared" si="12"/>
        <v/>
      </c>
      <c r="AI59" s="95" t="str">
        <f>IFERROR(
IF(P59&lt;=5,
(Assumptions!$W$8*(AH59/P59)^2+(Assumptions!$X$8*(AH59/P59))+Assumptions!$Y$8),
IF(P59&lt;=20,
(Assumptions!$W$9*(AH59/P59)^2+(Assumptions!$X$9*(AH59/P59))+Assumptions!$Y$9),
IF(P59&lt;=50,
(Assumptions!$W$10*(AH59/P59)^2+(Assumptions!$X$10*(AH59/P59))+Assumptions!$Y$10),
(Assumptions!$W$11*(AH59/P59)^2+(Assumptions!$X$11+(AH59/P59))+Assumptions!$Y$11)))),"")</f>
        <v/>
      </c>
      <c r="AJ59" s="95" t="str">
        <f t="shared" si="13"/>
        <v/>
      </c>
      <c r="AK59" s="96" t="str">
        <f>IFERROR(
IF(P59&lt;=5,
(Assumptions!$W$8*(AJ59/P59)^2+(Assumptions!$X$8*(AJ59/P59))+Assumptions!$Y$8),
IF(P59&lt;=20,
(Assumptions!$W$9*(AJ59/P59)^2+(Assumptions!$X$9*(AJ59/P59))+Assumptions!$Y$9),
IF(P59&lt;=50,
(Assumptions!$W$10*(AJ59/P59)^2+(Assumptions!$X$10*(AJ59/P59))+Assumptions!$Y$10),
(Assumptions!$W$11*(AJ59/P59)^2+(Assumptions!$X$11+(AJ59/P59))+Assumptions!$Y$11)))),
"")</f>
        <v/>
      </c>
      <c r="AL59" s="99" t="str">
        <f>IFERROR(
IF(C59="VTS",
IF(P59&gt;=AVERAGE(
INDEX(Assumptions!$I$38:$I$57,MATCH(P59,Assumptions!$I$38:$I$57,-1)),
INDEX(Assumptions!$I$38:$I$57,MATCH(P59,Assumptions!$I$38:$I$57,-1)+1)),
INDEX(Assumptions!$I$38:$I$57,MATCH(P59,Assumptions!$I$38:$I$57,-1)),
INDEX(Assumptions!$I$38:$I$57,MATCH(P59,Assumptions!$I$38:$I$57,-1)+1)),
IF(P59&gt;=AVERAGE(
INDEX(Assumptions!$I$13:$I$32,MATCH(P59,Assumptions!$I$13:$I$32,-1)),
INDEX(Assumptions!$I$13:$I$32,MATCH(P59,Assumptions!$I$13:$I$32,-1)+1)),
INDEX(Assumptions!$I$13:$I$32,MATCH(P59,Assumptions!$I$13:$I$32,-1)),
INDEX(Assumptions!$I$13:$I$32,MATCH(P59,Assumptions!$I$13:$I$32,-1)+1))),
"")</f>
        <v/>
      </c>
      <c r="AM59" s="95" t="str">
        <f>IFERROR(
IF(C59="VTS",
VLOOKUP(AL59,Assumptions!$I$38:$K$57,MATCH(R59,Assumptions!$I$37:$K$37,0),FALSE),
VLOOKUP(AL59,Assumptions!$I$13:$K$32,MATCH(R59,Assumptions!$I$12:$K$12,0),FALSE)),
"")</f>
        <v/>
      </c>
      <c r="AN59" s="95" t="str">
        <f t="shared" si="14"/>
        <v/>
      </c>
      <c r="AO59" s="95" t="str">
        <f>IFERROR(AN59*
(Assumptions!$S$7*(X59/(AR59*Assumptions!$AB$9/100)/P59)^3+
Assumptions!$S$8*(X59/(AR59*Assumptions!$AB$9/100)/P59)^2+
Assumptions!$S$9*(X59/(AR59*Assumptions!$AB$9/100)/P59)+
Assumptions!$S$10),"")</f>
        <v/>
      </c>
      <c r="AP59" s="95" t="str">
        <f>IFERROR(AN59*
(Assumptions!$S$7*(AA59/(AR59*Assumptions!$AB$8/100)/P59)^3+
Assumptions!$S$8*(AA59/(AR59*Assumptions!$AB$8/100)/P59)^2+
Assumptions!$S$9*(AA59/(AR59*Assumptions!$AB$8/100)/P59)+
Assumptions!$S$10),"")</f>
        <v/>
      </c>
      <c r="AQ59" s="95" t="str">
        <f>IFERROR(AN59*
(Assumptions!$S$7*(AD59/(AR59*Assumptions!$AB$10/100)/P59)^3+
Assumptions!$S$8*(AD59/(AR59*Assumptions!$AB$10/100)/P59)^2+
Assumptions!$S$9*(AD59/(AR59*Assumptions!$AB$10/100)/P59)+
Assumptions!$S$10),"")</f>
        <v/>
      </c>
      <c r="AR59" s="95" t="str">
        <f>IFERROR(
Assumptions!$AD$8*LN(U59)^2+
Assumptions!$AE$8*LN(T59)*LN(U59)+
Assumptions!$AF$8*LN(T59)^2+
Assumptions!$AG$8*LN(U59)+
Assumptions!$AH$8*LN(T59)-
(IF(S59=1800,
VLOOKUP(C59,Assumptions!$AA$13:$AC$17,3),
IF(S59=3600,
VLOOKUP(C59,Assumptions!$AA$18:$AC$22,3),
""))+Assumptions!$AI$8),
"")</f>
        <v/>
      </c>
      <c r="AS59" s="96" t="str">
        <f>IFERROR(
Assumptions!$D$11*(X59/(Assumptions!$AB$9*AR59/100)+AO59)+
Assumptions!$D$10*(AA59/(Assumptions!$AB$8*AR59/100)+AP59)+
Assumptions!$D$12*(AD59/(Assumptions!$AB$10*AR59/100)+AQ59),
"")</f>
        <v/>
      </c>
      <c r="AT59" s="76" t="str">
        <f>IFERROR(
(W59+AE59)*Assumptions!$F$11+
(AF59+AG59)*Assumptions!$F$8+
(AH59+AI59)*Assumptions!$F$9+
(AJ59+AK59)*Assumptions!$F$10,
"")</f>
        <v/>
      </c>
      <c r="AU59" s="77" t="str">
        <f t="shared" si="15"/>
        <v/>
      </c>
      <c r="AV59" s="68" t="str">
        <f t="shared" si="1"/>
        <v/>
      </c>
    </row>
    <row r="60" spans="1:48" x14ac:dyDescent="0.25">
      <c r="A60" s="264"/>
      <c r="B60" s="265"/>
      <c r="C60" s="265"/>
      <c r="D60" s="265"/>
      <c r="E60" s="266"/>
      <c r="F60" s="270"/>
      <c r="G60" s="271"/>
      <c r="H60" s="271"/>
      <c r="I60" s="272"/>
      <c r="J60" s="270"/>
      <c r="K60" s="271"/>
      <c r="L60" s="272"/>
      <c r="M60" s="270"/>
      <c r="N60" s="271"/>
      <c r="O60" s="272"/>
      <c r="P60" s="290"/>
      <c r="Q60" s="314"/>
      <c r="R60" s="51" t="str">
        <f t="shared" si="16"/>
        <v/>
      </c>
      <c r="S60" s="84" t="str">
        <f t="shared" si="2"/>
        <v/>
      </c>
      <c r="T60" s="93" t="str">
        <f t="shared" si="3"/>
        <v/>
      </c>
      <c r="U60" s="100" t="str">
        <f t="shared" si="4"/>
        <v/>
      </c>
      <c r="V60" s="95" t="str">
        <f t="shared" si="5"/>
        <v/>
      </c>
      <c r="W60" s="95" t="str">
        <f t="shared" si="6"/>
        <v/>
      </c>
      <c r="X60" s="96" t="str">
        <f>IFERROR(U60*V60*Assumptions!$B$15/3956,"")</f>
        <v/>
      </c>
      <c r="Y60" s="102" t="str">
        <f t="shared" si="7"/>
        <v/>
      </c>
      <c r="Z60" s="95" t="str">
        <f t="shared" si="8"/>
        <v/>
      </c>
      <c r="AA60" s="96" t="str">
        <f>IFERROR(Y60*Z60*Assumptions!$B$15/3956,"")</f>
        <v/>
      </c>
      <c r="AB60" s="100" t="str">
        <f t="shared" si="9"/>
        <v/>
      </c>
      <c r="AC60" s="95" t="str">
        <f t="shared" si="10"/>
        <v/>
      </c>
      <c r="AD60" s="96" t="str">
        <f>IFERROR(AB60*AC60*Assumptions!$B$15/3956,"")</f>
        <v/>
      </c>
      <c r="AE60" s="94" t="str">
        <f>IFERROR(
IF(P60&lt;=5,
(Assumptions!$W$8*(W60/P60)^2+(Assumptions!$X$8*(W60/P60))+Assumptions!$Y$8),
IF(P60&lt;=20,
(Assumptions!$W$9*(W60/P60)^2+(Assumptions!$X$9*(W60/P60))+Assumptions!$Y$9),
IF(P60&lt;=50,
(Assumptions!$W$10*(W60/P60)^2+(Assumptions!$X$10*(W60/P60))+Assumptions!$Y$10),
(Assumptions!$W$11*(W60/P60)^2+(Assumptions!$X$11+(W60/P60))+Assumptions!$Y$11)))),
"")</f>
        <v/>
      </c>
      <c r="AF60" s="99" t="str">
        <f t="shared" si="11"/>
        <v/>
      </c>
      <c r="AG60" s="95" t="str">
        <f>IFERROR(
IF(P60&lt;=5,
(Assumptions!$W$8*(AF60/P60)^2+(Assumptions!$X$8*(AF60/P60))+Assumptions!$Y$8),
IF(P60&lt;=20,
(Assumptions!$W$9*(AF60/P60)^2+(Assumptions!$X$9*(AF60/P60))+Assumptions!$Y$9),
IF(P60&lt;=50,
(Assumptions!$W$10*(AF60/P60)^2+(Assumptions!$X$10*(AF60/P60))+Assumptions!$Y$10),
(Assumptions!$W$11*(AF60/P60)^2+(Assumptions!$X$11+(AF60/P60))+Assumptions!$Y$11)))),
"")</f>
        <v/>
      </c>
      <c r="AH60" s="95" t="str">
        <f t="shared" si="12"/>
        <v/>
      </c>
      <c r="AI60" s="95" t="str">
        <f>IFERROR(
IF(P60&lt;=5,
(Assumptions!$W$8*(AH60/P60)^2+(Assumptions!$X$8*(AH60/P60))+Assumptions!$Y$8),
IF(P60&lt;=20,
(Assumptions!$W$9*(AH60/P60)^2+(Assumptions!$X$9*(AH60/P60))+Assumptions!$Y$9),
IF(P60&lt;=50,
(Assumptions!$W$10*(AH60/P60)^2+(Assumptions!$X$10*(AH60/P60))+Assumptions!$Y$10),
(Assumptions!$W$11*(AH60/P60)^2+(Assumptions!$X$11+(AH60/P60))+Assumptions!$Y$11)))),"")</f>
        <v/>
      </c>
      <c r="AJ60" s="95" t="str">
        <f t="shared" si="13"/>
        <v/>
      </c>
      <c r="AK60" s="96" t="str">
        <f>IFERROR(
IF(P60&lt;=5,
(Assumptions!$W$8*(AJ60/P60)^2+(Assumptions!$X$8*(AJ60/P60))+Assumptions!$Y$8),
IF(P60&lt;=20,
(Assumptions!$W$9*(AJ60/P60)^2+(Assumptions!$X$9*(AJ60/P60))+Assumptions!$Y$9),
IF(P60&lt;=50,
(Assumptions!$W$10*(AJ60/P60)^2+(Assumptions!$X$10*(AJ60/P60))+Assumptions!$Y$10),
(Assumptions!$W$11*(AJ60/P60)^2+(Assumptions!$X$11+(AJ60/P60))+Assumptions!$Y$11)))),
"")</f>
        <v/>
      </c>
      <c r="AL60" s="99" t="str">
        <f>IFERROR(
IF(C60="VTS",
IF(P60&gt;=AVERAGE(
INDEX(Assumptions!$I$38:$I$57,MATCH(P60,Assumptions!$I$38:$I$57,-1)),
INDEX(Assumptions!$I$38:$I$57,MATCH(P60,Assumptions!$I$38:$I$57,-1)+1)),
INDEX(Assumptions!$I$38:$I$57,MATCH(P60,Assumptions!$I$38:$I$57,-1)),
INDEX(Assumptions!$I$38:$I$57,MATCH(P60,Assumptions!$I$38:$I$57,-1)+1)),
IF(P60&gt;=AVERAGE(
INDEX(Assumptions!$I$13:$I$32,MATCH(P60,Assumptions!$I$13:$I$32,-1)),
INDEX(Assumptions!$I$13:$I$32,MATCH(P60,Assumptions!$I$13:$I$32,-1)+1)),
INDEX(Assumptions!$I$13:$I$32,MATCH(P60,Assumptions!$I$13:$I$32,-1)),
INDEX(Assumptions!$I$13:$I$32,MATCH(P60,Assumptions!$I$13:$I$32,-1)+1))),
"")</f>
        <v/>
      </c>
      <c r="AM60" s="95" t="str">
        <f>IFERROR(
IF(C60="VTS",
VLOOKUP(AL60,Assumptions!$I$38:$K$57,MATCH(R60,Assumptions!$I$37:$K$37,0),FALSE),
VLOOKUP(AL60,Assumptions!$I$13:$K$32,MATCH(R60,Assumptions!$I$12:$K$12,0),FALSE)),
"")</f>
        <v/>
      </c>
      <c r="AN60" s="95" t="str">
        <f t="shared" si="14"/>
        <v/>
      </c>
      <c r="AO60" s="95" t="str">
        <f>IFERROR(AN60*
(Assumptions!$S$7*(X60/(AR60*Assumptions!$AB$9/100)/P60)^3+
Assumptions!$S$8*(X60/(AR60*Assumptions!$AB$9/100)/P60)^2+
Assumptions!$S$9*(X60/(AR60*Assumptions!$AB$9/100)/P60)+
Assumptions!$S$10),"")</f>
        <v/>
      </c>
      <c r="AP60" s="95" t="str">
        <f>IFERROR(AN60*
(Assumptions!$S$7*(AA60/(AR60*Assumptions!$AB$8/100)/P60)^3+
Assumptions!$S$8*(AA60/(AR60*Assumptions!$AB$8/100)/P60)^2+
Assumptions!$S$9*(AA60/(AR60*Assumptions!$AB$8/100)/P60)+
Assumptions!$S$10),"")</f>
        <v/>
      </c>
      <c r="AQ60" s="95" t="str">
        <f>IFERROR(AN60*
(Assumptions!$S$7*(AD60/(AR60*Assumptions!$AB$10/100)/P60)^3+
Assumptions!$S$8*(AD60/(AR60*Assumptions!$AB$10/100)/P60)^2+
Assumptions!$S$9*(AD60/(AR60*Assumptions!$AB$10/100)/P60)+
Assumptions!$S$10),"")</f>
        <v/>
      </c>
      <c r="AR60" s="95" t="str">
        <f>IFERROR(
Assumptions!$AD$8*LN(U60)^2+
Assumptions!$AE$8*LN(T60)*LN(U60)+
Assumptions!$AF$8*LN(T60)^2+
Assumptions!$AG$8*LN(U60)+
Assumptions!$AH$8*LN(T60)-
(IF(S60=1800,
VLOOKUP(C60,Assumptions!$AA$13:$AC$17,3),
IF(S60=3600,
VLOOKUP(C60,Assumptions!$AA$18:$AC$22,3),
""))+Assumptions!$AI$8),
"")</f>
        <v/>
      </c>
      <c r="AS60" s="96" t="str">
        <f>IFERROR(
Assumptions!$D$11*(X60/(Assumptions!$AB$9*AR60/100)+AO60)+
Assumptions!$D$10*(AA60/(Assumptions!$AB$8*AR60/100)+AP60)+
Assumptions!$D$12*(AD60/(Assumptions!$AB$10*AR60/100)+AQ60),
"")</f>
        <v/>
      </c>
      <c r="AT60" s="76" t="str">
        <f>IFERROR(
(W60+AE60)*Assumptions!$F$11+
(AF60+AG60)*Assumptions!$F$8+
(AH60+AI60)*Assumptions!$F$9+
(AJ60+AK60)*Assumptions!$F$10,
"")</f>
        <v/>
      </c>
      <c r="AU60" s="77" t="str">
        <f t="shared" si="15"/>
        <v/>
      </c>
      <c r="AV60" s="68" t="str">
        <f t="shared" si="1"/>
        <v/>
      </c>
    </row>
    <row r="61" spans="1:48" x14ac:dyDescent="0.25">
      <c r="A61" s="264"/>
      <c r="B61" s="265"/>
      <c r="C61" s="265"/>
      <c r="D61" s="265"/>
      <c r="E61" s="266"/>
      <c r="F61" s="270"/>
      <c r="G61" s="271"/>
      <c r="H61" s="271"/>
      <c r="I61" s="272"/>
      <c r="J61" s="270"/>
      <c r="K61" s="271"/>
      <c r="L61" s="272"/>
      <c r="M61" s="270"/>
      <c r="N61" s="271"/>
      <c r="O61" s="272"/>
      <c r="P61" s="290"/>
      <c r="Q61" s="314"/>
      <c r="R61" s="51" t="str">
        <f t="shared" si="16"/>
        <v/>
      </c>
      <c r="S61" s="84" t="str">
        <f t="shared" si="2"/>
        <v/>
      </c>
      <c r="T61" s="93" t="str">
        <f t="shared" si="3"/>
        <v/>
      </c>
      <c r="U61" s="100" t="str">
        <f t="shared" si="4"/>
        <v/>
      </c>
      <c r="V61" s="95" t="str">
        <f t="shared" si="5"/>
        <v/>
      </c>
      <c r="W61" s="95" t="str">
        <f t="shared" si="6"/>
        <v/>
      </c>
      <c r="X61" s="96" t="str">
        <f>IFERROR(U61*V61*Assumptions!$B$15/3956,"")</f>
        <v/>
      </c>
      <c r="Y61" s="102" t="str">
        <f t="shared" si="7"/>
        <v/>
      </c>
      <c r="Z61" s="95" t="str">
        <f t="shared" si="8"/>
        <v/>
      </c>
      <c r="AA61" s="96" t="str">
        <f>IFERROR(Y61*Z61*Assumptions!$B$15/3956,"")</f>
        <v/>
      </c>
      <c r="AB61" s="100" t="str">
        <f t="shared" si="9"/>
        <v/>
      </c>
      <c r="AC61" s="95" t="str">
        <f t="shared" si="10"/>
        <v/>
      </c>
      <c r="AD61" s="96" t="str">
        <f>IFERROR(AB61*AC61*Assumptions!$B$15/3956,"")</f>
        <v/>
      </c>
      <c r="AE61" s="94" t="str">
        <f>IFERROR(
IF(P61&lt;=5,
(Assumptions!$W$8*(W61/P61)^2+(Assumptions!$X$8*(W61/P61))+Assumptions!$Y$8),
IF(P61&lt;=20,
(Assumptions!$W$9*(W61/P61)^2+(Assumptions!$X$9*(W61/P61))+Assumptions!$Y$9),
IF(P61&lt;=50,
(Assumptions!$W$10*(W61/P61)^2+(Assumptions!$X$10*(W61/P61))+Assumptions!$Y$10),
(Assumptions!$W$11*(W61/P61)^2+(Assumptions!$X$11+(W61/P61))+Assumptions!$Y$11)))),
"")</f>
        <v/>
      </c>
      <c r="AF61" s="99" t="str">
        <f t="shared" si="11"/>
        <v/>
      </c>
      <c r="AG61" s="95" t="str">
        <f>IFERROR(
IF(P61&lt;=5,
(Assumptions!$W$8*(AF61/P61)^2+(Assumptions!$X$8*(AF61/P61))+Assumptions!$Y$8),
IF(P61&lt;=20,
(Assumptions!$W$9*(AF61/P61)^2+(Assumptions!$X$9*(AF61/P61))+Assumptions!$Y$9),
IF(P61&lt;=50,
(Assumptions!$W$10*(AF61/P61)^2+(Assumptions!$X$10*(AF61/P61))+Assumptions!$Y$10),
(Assumptions!$W$11*(AF61/P61)^2+(Assumptions!$X$11+(AF61/P61))+Assumptions!$Y$11)))),
"")</f>
        <v/>
      </c>
      <c r="AH61" s="95" t="str">
        <f t="shared" si="12"/>
        <v/>
      </c>
      <c r="AI61" s="95" t="str">
        <f>IFERROR(
IF(P61&lt;=5,
(Assumptions!$W$8*(AH61/P61)^2+(Assumptions!$X$8*(AH61/P61))+Assumptions!$Y$8),
IF(P61&lt;=20,
(Assumptions!$W$9*(AH61/P61)^2+(Assumptions!$X$9*(AH61/P61))+Assumptions!$Y$9),
IF(P61&lt;=50,
(Assumptions!$W$10*(AH61/P61)^2+(Assumptions!$X$10*(AH61/P61))+Assumptions!$Y$10),
(Assumptions!$W$11*(AH61/P61)^2+(Assumptions!$X$11+(AH61/P61))+Assumptions!$Y$11)))),"")</f>
        <v/>
      </c>
      <c r="AJ61" s="95" t="str">
        <f t="shared" si="13"/>
        <v/>
      </c>
      <c r="AK61" s="96" t="str">
        <f>IFERROR(
IF(P61&lt;=5,
(Assumptions!$W$8*(AJ61/P61)^2+(Assumptions!$X$8*(AJ61/P61))+Assumptions!$Y$8),
IF(P61&lt;=20,
(Assumptions!$W$9*(AJ61/P61)^2+(Assumptions!$X$9*(AJ61/P61))+Assumptions!$Y$9),
IF(P61&lt;=50,
(Assumptions!$W$10*(AJ61/P61)^2+(Assumptions!$X$10*(AJ61/P61))+Assumptions!$Y$10),
(Assumptions!$W$11*(AJ61/P61)^2+(Assumptions!$X$11+(AJ61/P61))+Assumptions!$Y$11)))),
"")</f>
        <v/>
      </c>
      <c r="AL61" s="99" t="str">
        <f>IFERROR(
IF(C61="VTS",
IF(P61&gt;=AVERAGE(
INDEX(Assumptions!$I$38:$I$57,MATCH(P61,Assumptions!$I$38:$I$57,-1)),
INDEX(Assumptions!$I$38:$I$57,MATCH(P61,Assumptions!$I$38:$I$57,-1)+1)),
INDEX(Assumptions!$I$38:$I$57,MATCH(P61,Assumptions!$I$38:$I$57,-1)),
INDEX(Assumptions!$I$38:$I$57,MATCH(P61,Assumptions!$I$38:$I$57,-1)+1)),
IF(P61&gt;=AVERAGE(
INDEX(Assumptions!$I$13:$I$32,MATCH(P61,Assumptions!$I$13:$I$32,-1)),
INDEX(Assumptions!$I$13:$I$32,MATCH(P61,Assumptions!$I$13:$I$32,-1)+1)),
INDEX(Assumptions!$I$13:$I$32,MATCH(P61,Assumptions!$I$13:$I$32,-1)),
INDEX(Assumptions!$I$13:$I$32,MATCH(P61,Assumptions!$I$13:$I$32,-1)+1))),
"")</f>
        <v/>
      </c>
      <c r="AM61" s="95" t="str">
        <f>IFERROR(
IF(C61="VTS",
VLOOKUP(AL61,Assumptions!$I$38:$K$57,MATCH(R61,Assumptions!$I$37:$K$37,0),FALSE),
VLOOKUP(AL61,Assumptions!$I$13:$K$32,MATCH(R61,Assumptions!$I$12:$K$12,0),FALSE)),
"")</f>
        <v/>
      </c>
      <c r="AN61" s="95" t="str">
        <f t="shared" si="14"/>
        <v/>
      </c>
      <c r="AO61" s="95" t="str">
        <f>IFERROR(AN61*
(Assumptions!$S$7*(X61/(AR61*Assumptions!$AB$9/100)/P61)^3+
Assumptions!$S$8*(X61/(AR61*Assumptions!$AB$9/100)/P61)^2+
Assumptions!$S$9*(X61/(AR61*Assumptions!$AB$9/100)/P61)+
Assumptions!$S$10),"")</f>
        <v/>
      </c>
      <c r="AP61" s="95" t="str">
        <f>IFERROR(AN61*
(Assumptions!$S$7*(AA61/(AR61*Assumptions!$AB$8/100)/P61)^3+
Assumptions!$S$8*(AA61/(AR61*Assumptions!$AB$8/100)/P61)^2+
Assumptions!$S$9*(AA61/(AR61*Assumptions!$AB$8/100)/P61)+
Assumptions!$S$10),"")</f>
        <v/>
      </c>
      <c r="AQ61" s="95" t="str">
        <f>IFERROR(AN61*
(Assumptions!$S$7*(AD61/(AR61*Assumptions!$AB$10/100)/P61)^3+
Assumptions!$S$8*(AD61/(AR61*Assumptions!$AB$10/100)/P61)^2+
Assumptions!$S$9*(AD61/(AR61*Assumptions!$AB$10/100)/P61)+
Assumptions!$S$10),"")</f>
        <v/>
      </c>
      <c r="AR61" s="95" t="str">
        <f>IFERROR(
Assumptions!$AD$8*LN(U61)^2+
Assumptions!$AE$8*LN(T61)*LN(U61)+
Assumptions!$AF$8*LN(T61)^2+
Assumptions!$AG$8*LN(U61)+
Assumptions!$AH$8*LN(T61)-
(IF(S61=1800,
VLOOKUP(C61,Assumptions!$AA$13:$AC$17,3),
IF(S61=3600,
VLOOKUP(C61,Assumptions!$AA$18:$AC$22,3),
""))+Assumptions!$AI$8),
"")</f>
        <v/>
      </c>
      <c r="AS61" s="96" t="str">
        <f>IFERROR(
Assumptions!$D$11*(X61/(Assumptions!$AB$9*AR61/100)+AO61)+
Assumptions!$D$10*(AA61/(Assumptions!$AB$8*AR61/100)+AP61)+
Assumptions!$D$12*(AD61/(Assumptions!$AB$10*AR61/100)+AQ61),
"")</f>
        <v/>
      </c>
      <c r="AT61" s="76" t="str">
        <f>IFERROR(
(W61+AE61)*Assumptions!$F$11+
(AF61+AG61)*Assumptions!$F$8+
(AH61+AI61)*Assumptions!$F$9+
(AJ61+AK61)*Assumptions!$F$10,
"")</f>
        <v/>
      </c>
      <c r="AU61" s="77" t="str">
        <f t="shared" si="15"/>
        <v/>
      </c>
      <c r="AV61" s="68" t="str">
        <f t="shared" si="1"/>
        <v/>
      </c>
    </row>
    <row r="62" spans="1:48" x14ac:dyDescent="0.25">
      <c r="A62" s="264"/>
      <c r="B62" s="265"/>
      <c r="C62" s="265"/>
      <c r="D62" s="265"/>
      <c r="E62" s="266"/>
      <c r="F62" s="270"/>
      <c r="G62" s="271"/>
      <c r="H62" s="271"/>
      <c r="I62" s="272"/>
      <c r="J62" s="270"/>
      <c r="K62" s="271"/>
      <c r="L62" s="272"/>
      <c r="M62" s="270"/>
      <c r="N62" s="271"/>
      <c r="O62" s="272"/>
      <c r="P62" s="290"/>
      <c r="Q62" s="314"/>
      <c r="R62" s="51" t="str">
        <f t="shared" si="16"/>
        <v/>
      </c>
      <c r="S62" s="84" t="str">
        <f t="shared" si="2"/>
        <v/>
      </c>
      <c r="T62" s="93" t="str">
        <f t="shared" si="3"/>
        <v/>
      </c>
      <c r="U62" s="100" t="str">
        <f t="shared" si="4"/>
        <v/>
      </c>
      <c r="V62" s="95" t="str">
        <f t="shared" si="5"/>
        <v/>
      </c>
      <c r="W62" s="95" t="str">
        <f t="shared" si="6"/>
        <v/>
      </c>
      <c r="X62" s="96" t="str">
        <f>IFERROR(U62*V62*Assumptions!$B$15/3956,"")</f>
        <v/>
      </c>
      <c r="Y62" s="102" t="str">
        <f t="shared" si="7"/>
        <v/>
      </c>
      <c r="Z62" s="95" t="str">
        <f t="shared" si="8"/>
        <v/>
      </c>
      <c r="AA62" s="96" t="str">
        <f>IFERROR(Y62*Z62*Assumptions!$B$15/3956,"")</f>
        <v/>
      </c>
      <c r="AB62" s="100" t="str">
        <f t="shared" si="9"/>
        <v/>
      </c>
      <c r="AC62" s="95" t="str">
        <f t="shared" si="10"/>
        <v/>
      </c>
      <c r="AD62" s="96" t="str">
        <f>IFERROR(AB62*AC62*Assumptions!$B$15/3956,"")</f>
        <v/>
      </c>
      <c r="AE62" s="94" t="str">
        <f>IFERROR(
IF(P62&lt;=5,
(Assumptions!$W$8*(W62/P62)^2+(Assumptions!$X$8*(W62/P62))+Assumptions!$Y$8),
IF(P62&lt;=20,
(Assumptions!$W$9*(W62/P62)^2+(Assumptions!$X$9*(W62/P62))+Assumptions!$Y$9),
IF(P62&lt;=50,
(Assumptions!$W$10*(W62/P62)^2+(Assumptions!$X$10*(W62/P62))+Assumptions!$Y$10),
(Assumptions!$W$11*(W62/P62)^2+(Assumptions!$X$11+(W62/P62))+Assumptions!$Y$11)))),
"")</f>
        <v/>
      </c>
      <c r="AF62" s="99" t="str">
        <f t="shared" si="11"/>
        <v/>
      </c>
      <c r="AG62" s="95" t="str">
        <f>IFERROR(
IF(P62&lt;=5,
(Assumptions!$W$8*(AF62/P62)^2+(Assumptions!$X$8*(AF62/P62))+Assumptions!$Y$8),
IF(P62&lt;=20,
(Assumptions!$W$9*(AF62/P62)^2+(Assumptions!$X$9*(AF62/P62))+Assumptions!$Y$9),
IF(P62&lt;=50,
(Assumptions!$W$10*(AF62/P62)^2+(Assumptions!$X$10*(AF62/P62))+Assumptions!$Y$10),
(Assumptions!$W$11*(AF62/P62)^2+(Assumptions!$X$11+(AF62/P62))+Assumptions!$Y$11)))),
"")</f>
        <v/>
      </c>
      <c r="AH62" s="95" t="str">
        <f t="shared" si="12"/>
        <v/>
      </c>
      <c r="AI62" s="95" t="str">
        <f>IFERROR(
IF(P62&lt;=5,
(Assumptions!$W$8*(AH62/P62)^2+(Assumptions!$X$8*(AH62/P62))+Assumptions!$Y$8),
IF(P62&lt;=20,
(Assumptions!$W$9*(AH62/P62)^2+(Assumptions!$X$9*(AH62/P62))+Assumptions!$Y$9),
IF(P62&lt;=50,
(Assumptions!$W$10*(AH62/P62)^2+(Assumptions!$X$10*(AH62/P62))+Assumptions!$Y$10),
(Assumptions!$W$11*(AH62/P62)^2+(Assumptions!$X$11+(AH62/P62))+Assumptions!$Y$11)))),"")</f>
        <v/>
      </c>
      <c r="AJ62" s="95" t="str">
        <f t="shared" si="13"/>
        <v/>
      </c>
      <c r="AK62" s="96" t="str">
        <f>IFERROR(
IF(P62&lt;=5,
(Assumptions!$W$8*(AJ62/P62)^2+(Assumptions!$X$8*(AJ62/P62))+Assumptions!$Y$8),
IF(P62&lt;=20,
(Assumptions!$W$9*(AJ62/P62)^2+(Assumptions!$X$9*(AJ62/P62))+Assumptions!$Y$9),
IF(P62&lt;=50,
(Assumptions!$W$10*(AJ62/P62)^2+(Assumptions!$X$10*(AJ62/P62))+Assumptions!$Y$10),
(Assumptions!$W$11*(AJ62/P62)^2+(Assumptions!$X$11+(AJ62/P62))+Assumptions!$Y$11)))),
"")</f>
        <v/>
      </c>
      <c r="AL62" s="99" t="str">
        <f>IFERROR(
IF(C62="VTS",
IF(P62&gt;=AVERAGE(
INDEX(Assumptions!$I$38:$I$57,MATCH(P62,Assumptions!$I$38:$I$57,-1)),
INDEX(Assumptions!$I$38:$I$57,MATCH(P62,Assumptions!$I$38:$I$57,-1)+1)),
INDEX(Assumptions!$I$38:$I$57,MATCH(P62,Assumptions!$I$38:$I$57,-1)),
INDEX(Assumptions!$I$38:$I$57,MATCH(P62,Assumptions!$I$38:$I$57,-1)+1)),
IF(P62&gt;=AVERAGE(
INDEX(Assumptions!$I$13:$I$32,MATCH(P62,Assumptions!$I$13:$I$32,-1)),
INDEX(Assumptions!$I$13:$I$32,MATCH(P62,Assumptions!$I$13:$I$32,-1)+1)),
INDEX(Assumptions!$I$13:$I$32,MATCH(P62,Assumptions!$I$13:$I$32,-1)),
INDEX(Assumptions!$I$13:$I$32,MATCH(P62,Assumptions!$I$13:$I$32,-1)+1))),
"")</f>
        <v/>
      </c>
      <c r="AM62" s="95" t="str">
        <f>IFERROR(
IF(C62="VTS",
VLOOKUP(AL62,Assumptions!$I$38:$K$57,MATCH(R62,Assumptions!$I$37:$K$37,0),FALSE),
VLOOKUP(AL62,Assumptions!$I$13:$K$32,MATCH(R62,Assumptions!$I$12:$K$12,0),FALSE)),
"")</f>
        <v/>
      </c>
      <c r="AN62" s="95" t="str">
        <f t="shared" si="14"/>
        <v/>
      </c>
      <c r="AO62" s="95" t="str">
        <f>IFERROR(AN62*
(Assumptions!$S$7*(X62/(AR62*Assumptions!$AB$9/100)/P62)^3+
Assumptions!$S$8*(X62/(AR62*Assumptions!$AB$9/100)/P62)^2+
Assumptions!$S$9*(X62/(AR62*Assumptions!$AB$9/100)/P62)+
Assumptions!$S$10),"")</f>
        <v/>
      </c>
      <c r="AP62" s="95" t="str">
        <f>IFERROR(AN62*
(Assumptions!$S$7*(AA62/(AR62*Assumptions!$AB$8/100)/P62)^3+
Assumptions!$S$8*(AA62/(AR62*Assumptions!$AB$8/100)/P62)^2+
Assumptions!$S$9*(AA62/(AR62*Assumptions!$AB$8/100)/P62)+
Assumptions!$S$10),"")</f>
        <v/>
      </c>
      <c r="AQ62" s="95" t="str">
        <f>IFERROR(AN62*
(Assumptions!$S$7*(AD62/(AR62*Assumptions!$AB$10/100)/P62)^3+
Assumptions!$S$8*(AD62/(AR62*Assumptions!$AB$10/100)/P62)^2+
Assumptions!$S$9*(AD62/(AR62*Assumptions!$AB$10/100)/P62)+
Assumptions!$S$10),"")</f>
        <v/>
      </c>
      <c r="AR62" s="95" t="str">
        <f>IFERROR(
Assumptions!$AD$8*LN(U62)^2+
Assumptions!$AE$8*LN(T62)*LN(U62)+
Assumptions!$AF$8*LN(T62)^2+
Assumptions!$AG$8*LN(U62)+
Assumptions!$AH$8*LN(T62)-
(IF(S62=1800,
VLOOKUP(C62,Assumptions!$AA$13:$AC$17,3),
IF(S62=3600,
VLOOKUP(C62,Assumptions!$AA$18:$AC$22,3),
""))+Assumptions!$AI$8),
"")</f>
        <v/>
      </c>
      <c r="AS62" s="96" t="str">
        <f>IFERROR(
Assumptions!$D$11*(X62/(Assumptions!$AB$9*AR62/100)+AO62)+
Assumptions!$D$10*(AA62/(Assumptions!$AB$8*AR62/100)+AP62)+
Assumptions!$D$12*(AD62/(Assumptions!$AB$10*AR62/100)+AQ62),
"")</f>
        <v/>
      </c>
      <c r="AT62" s="76" t="str">
        <f>IFERROR(
(W62+AE62)*Assumptions!$F$11+
(AF62+AG62)*Assumptions!$F$8+
(AH62+AI62)*Assumptions!$F$9+
(AJ62+AK62)*Assumptions!$F$10,
"")</f>
        <v/>
      </c>
      <c r="AU62" s="77" t="str">
        <f t="shared" si="15"/>
        <v/>
      </c>
      <c r="AV62" s="68" t="str">
        <f t="shared" si="1"/>
        <v/>
      </c>
    </row>
    <row r="63" spans="1:48" x14ac:dyDescent="0.25">
      <c r="A63" s="264"/>
      <c r="B63" s="265"/>
      <c r="C63" s="265"/>
      <c r="D63" s="265"/>
      <c r="E63" s="266"/>
      <c r="F63" s="270"/>
      <c r="G63" s="271"/>
      <c r="H63" s="271"/>
      <c r="I63" s="272"/>
      <c r="J63" s="270"/>
      <c r="K63" s="271"/>
      <c r="L63" s="272"/>
      <c r="M63" s="270"/>
      <c r="N63" s="271"/>
      <c r="O63" s="272"/>
      <c r="P63" s="290"/>
      <c r="Q63" s="314"/>
      <c r="R63" s="51" t="str">
        <f t="shared" si="16"/>
        <v/>
      </c>
      <c r="S63" s="84" t="str">
        <f t="shared" si="2"/>
        <v/>
      </c>
      <c r="T63" s="93" t="str">
        <f t="shared" si="3"/>
        <v/>
      </c>
      <c r="U63" s="100" t="str">
        <f t="shared" si="4"/>
        <v/>
      </c>
      <c r="V63" s="95" t="str">
        <f t="shared" si="5"/>
        <v/>
      </c>
      <c r="W63" s="95" t="str">
        <f t="shared" si="6"/>
        <v/>
      </c>
      <c r="X63" s="96" t="str">
        <f>IFERROR(U63*V63*Assumptions!$B$15/3956,"")</f>
        <v/>
      </c>
      <c r="Y63" s="102" t="str">
        <f t="shared" si="7"/>
        <v/>
      </c>
      <c r="Z63" s="95" t="str">
        <f t="shared" si="8"/>
        <v/>
      </c>
      <c r="AA63" s="96" t="str">
        <f>IFERROR(Y63*Z63*Assumptions!$B$15/3956,"")</f>
        <v/>
      </c>
      <c r="AB63" s="100" t="str">
        <f t="shared" si="9"/>
        <v/>
      </c>
      <c r="AC63" s="95" t="str">
        <f t="shared" si="10"/>
        <v/>
      </c>
      <c r="AD63" s="96" t="str">
        <f>IFERROR(AB63*AC63*Assumptions!$B$15/3956,"")</f>
        <v/>
      </c>
      <c r="AE63" s="94" t="str">
        <f>IFERROR(
IF(P63&lt;=5,
(Assumptions!$W$8*(W63/P63)^2+(Assumptions!$X$8*(W63/P63))+Assumptions!$Y$8),
IF(P63&lt;=20,
(Assumptions!$W$9*(W63/P63)^2+(Assumptions!$X$9*(W63/P63))+Assumptions!$Y$9),
IF(P63&lt;=50,
(Assumptions!$W$10*(W63/P63)^2+(Assumptions!$X$10*(W63/P63))+Assumptions!$Y$10),
(Assumptions!$W$11*(W63/P63)^2+(Assumptions!$X$11+(W63/P63))+Assumptions!$Y$11)))),
"")</f>
        <v/>
      </c>
      <c r="AF63" s="99" t="str">
        <f t="shared" si="11"/>
        <v/>
      </c>
      <c r="AG63" s="95" t="str">
        <f>IFERROR(
IF(P63&lt;=5,
(Assumptions!$W$8*(AF63/P63)^2+(Assumptions!$X$8*(AF63/P63))+Assumptions!$Y$8),
IF(P63&lt;=20,
(Assumptions!$W$9*(AF63/P63)^2+(Assumptions!$X$9*(AF63/P63))+Assumptions!$Y$9),
IF(P63&lt;=50,
(Assumptions!$W$10*(AF63/P63)^2+(Assumptions!$X$10*(AF63/P63))+Assumptions!$Y$10),
(Assumptions!$W$11*(AF63/P63)^2+(Assumptions!$X$11+(AF63/P63))+Assumptions!$Y$11)))),
"")</f>
        <v/>
      </c>
      <c r="AH63" s="95" t="str">
        <f t="shared" si="12"/>
        <v/>
      </c>
      <c r="AI63" s="95" t="str">
        <f>IFERROR(
IF(P63&lt;=5,
(Assumptions!$W$8*(AH63/P63)^2+(Assumptions!$X$8*(AH63/P63))+Assumptions!$Y$8),
IF(P63&lt;=20,
(Assumptions!$W$9*(AH63/P63)^2+(Assumptions!$X$9*(AH63/P63))+Assumptions!$Y$9),
IF(P63&lt;=50,
(Assumptions!$W$10*(AH63/P63)^2+(Assumptions!$X$10*(AH63/P63))+Assumptions!$Y$10),
(Assumptions!$W$11*(AH63/P63)^2+(Assumptions!$X$11+(AH63/P63))+Assumptions!$Y$11)))),"")</f>
        <v/>
      </c>
      <c r="AJ63" s="95" t="str">
        <f t="shared" si="13"/>
        <v/>
      </c>
      <c r="AK63" s="96" t="str">
        <f>IFERROR(
IF(P63&lt;=5,
(Assumptions!$W$8*(AJ63/P63)^2+(Assumptions!$X$8*(AJ63/P63))+Assumptions!$Y$8),
IF(P63&lt;=20,
(Assumptions!$W$9*(AJ63/P63)^2+(Assumptions!$X$9*(AJ63/P63))+Assumptions!$Y$9),
IF(P63&lt;=50,
(Assumptions!$W$10*(AJ63/P63)^2+(Assumptions!$X$10*(AJ63/P63))+Assumptions!$Y$10),
(Assumptions!$W$11*(AJ63/P63)^2+(Assumptions!$X$11+(AJ63/P63))+Assumptions!$Y$11)))),
"")</f>
        <v/>
      </c>
      <c r="AL63" s="99" t="str">
        <f>IFERROR(
IF(C63="VTS",
IF(P63&gt;=AVERAGE(
INDEX(Assumptions!$I$38:$I$57,MATCH(P63,Assumptions!$I$38:$I$57,-1)),
INDEX(Assumptions!$I$38:$I$57,MATCH(P63,Assumptions!$I$38:$I$57,-1)+1)),
INDEX(Assumptions!$I$38:$I$57,MATCH(P63,Assumptions!$I$38:$I$57,-1)),
INDEX(Assumptions!$I$38:$I$57,MATCH(P63,Assumptions!$I$38:$I$57,-1)+1)),
IF(P63&gt;=AVERAGE(
INDEX(Assumptions!$I$13:$I$32,MATCH(P63,Assumptions!$I$13:$I$32,-1)),
INDEX(Assumptions!$I$13:$I$32,MATCH(P63,Assumptions!$I$13:$I$32,-1)+1)),
INDEX(Assumptions!$I$13:$I$32,MATCH(P63,Assumptions!$I$13:$I$32,-1)),
INDEX(Assumptions!$I$13:$I$32,MATCH(P63,Assumptions!$I$13:$I$32,-1)+1))),
"")</f>
        <v/>
      </c>
      <c r="AM63" s="95" t="str">
        <f>IFERROR(
IF(C63="VTS",
VLOOKUP(AL63,Assumptions!$I$38:$K$57,MATCH(R63,Assumptions!$I$37:$K$37,0),FALSE),
VLOOKUP(AL63,Assumptions!$I$13:$K$32,MATCH(R63,Assumptions!$I$12:$K$12,0),FALSE)),
"")</f>
        <v/>
      </c>
      <c r="AN63" s="95" t="str">
        <f t="shared" si="14"/>
        <v/>
      </c>
      <c r="AO63" s="95" t="str">
        <f>IFERROR(AN63*
(Assumptions!$S$7*(X63/(AR63*Assumptions!$AB$9/100)/P63)^3+
Assumptions!$S$8*(X63/(AR63*Assumptions!$AB$9/100)/P63)^2+
Assumptions!$S$9*(X63/(AR63*Assumptions!$AB$9/100)/P63)+
Assumptions!$S$10),"")</f>
        <v/>
      </c>
      <c r="AP63" s="95" t="str">
        <f>IFERROR(AN63*
(Assumptions!$S$7*(AA63/(AR63*Assumptions!$AB$8/100)/P63)^3+
Assumptions!$S$8*(AA63/(AR63*Assumptions!$AB$8/100)/P63)^2+
Assumptions!$S$9*(AA63/(AR63*Assumptions!$AB$8/100)/P63)+
Assumptions!$S$10),"")</f>
        <v/>
      </c>
      <c r="AQ63" s="95" t="str">
        <f>IFERROR(AN63*
(Assumptions!$S$7*(AD63/(AR63*Assumptions!$AB$10/100)/P63)^3+
Assumptions!$S$8*(AD63/(AR63*Assumptions!$AB$10/100)/P63)^2+
Assumptions!$S$9*(AD63/(AR63*Assumptions!$AB$10/100)/P63)+
Assumptions!$S$10),"")</f>
        <v/>
      </c>
      <c r="AR63" s="95" t="str">
        <f>IFERROR(
Assumptions!$AD$8*LN(U63)^2+
Assumptions!$AE$8*LN(T63)*LN(U63)+
Assumptions!$AF$8*LN(T63)^2+
Assumptions!$AG$8*LN(U63)+
Assumptions!$AH$8*LN(T63)-
(IF(S63=1800,
VLOOKUP(C63,Assumptions!$AA$13:$AC$17,3),
IF(S63=3600,
VLOOKUP(C63,Assumptions!$AA$18:$AC$22,3),
""))+Assumptions!$AI$8),
"")</f>
        <v/>
      </c>
      <c r="AS63" s="96" t="str">
        <f>IFERROR(
Assumptions!$D$11*(X63/(Assumptions!$AB$9*AR63/100)+AO63)+
Assumptions!$D$10*(AA63/(Assumptions!$AB$8*AR63/100)+AP63)+
Assumptions!$D$12*(AD63/(Assumptions!$AB$10*AR63/100)+AQ63),
"")</f>
        <v/>
      </c>
      <c r="AT63" s="76" t="str">
        <f>IFERROR(
(W63+AE63)*Assumptions!$F$11+
(AF63+AG63)*Assumptions!$F$8+
(AH63+AI63)*Assumptions!$F$9+
(AJ63+AK63)*Assumptions!$F$10,
"")</f>
        <v/>
      </c>
      <c r="AU63" s="77" t="str">
        <f t="shared" si="15"/>
        <v/>
      </c>
      <c r="AV63" s="68" t="str">
        <f t="shared" si="1"/>
        <v/>
      </c>
    </row>
    <row r="64" spans="1:48" x14ac:dyDescent="0.25">
      <c r="A64" s="264"/>
      <c r="B64" s="265"/>
      <c r="C64" s="265"/>
      <c r="D64" s="265"/>
      <c r="E64" s="266"/>
      <c r="F64" s="270"/>
      <c r="G64" s="271"/>
      <c r="H64" s="271"/>
      <c r="I64" s="272"/>
      <c r="J64" s="270"/>
      <c r="K64" s="271"/>
      <c r="L64" s="272"/>
      <c r="M64" s="270"/>
      <c r="N64" s="271"/>
      <c r="O64" s="272"/>
      <c r="P64" s="290"/>
      <c r="Q64" s="314"/>
      <c r="R64" s="51" t="str">
        <f t="shared" si="16"/>
        <v/>
      </c>
      <c r="S64" s="84" t="str">
        <f t="shared" si="2"/>
        <v/>
      </c>
      <c r="T64" s="93" t="str">
        <f t="shared" si="3"/>
        <v/>
      </c>
      <c r="U64" s="100" t="str">
        <f t="shared" si="4"/>
        <v/>
      </c>
      <c r="V64" s="95" t="str">
        <f t="shared" si="5"/>
        <v/>
      </c>
      <c r="W64" s="95" t="str">
        <f t="shared" si="6"/>
        <v/>
      </c>
      <c r="X64" s="96" t="str">
        <f>IFERROR(U64*V64*Assumptions!$B$15/3956,"")</f>
        <v/>
      </c>
      <c r="Y64" s="102" t="str">
        <f t="shared" si="7"/>
        <v/>
      </c>
      <c r="Z64" s="95" t="str">
        <f t="shared" si="8"/>
        <v/>
      </c>
      <c r="AA64" s="96" t="str">
        <f>IFERROR(Y64*Z64*Assumptions!$B$15/3956,"")</f>
        <v/>
      </c>
      <c r="AB64" s="100" t="str">
        <f t="shared" si="9"/>
        <v/>
      </c>
      <c r="AC64" s="95" t="str">
        <f t="shared" si="10"/>
        <v/>
      </c>
      <c r="AD64" s="96" t="str">
        <f>IFERROR(AB64*AC64*Assumptions!$B$15/3956,"")</f>
        <v/>
      </c>
      <c r="AE64" s="94" t="str">
        <f>IFERROR(
IF(P64&lt;=5,
(Assumptions!$W$8*(W64/P64)^2+(Assumptions!$X$8*(W64/P64))+Assumptions!$Y$8),
IF(P64&lt;=20,
(Assumptions!$W$9*(W64/P64)^2+(Assumptions!$X$9*(W64/P64))+Assumptions!$Y$9),
IF(P64&lt;=50,
(Assumptions!$W$10*(W64/P64)^2+(Assumptions!$X$10*(W64/P64))+Assumptions!$Y$10),
(Assumptions!$W$11*(W64/P64)^2+(Assumptions!$X$11+(W64/P64))+Assumptions!$Y$11)))),
"")</f>
        <v/>
      </c>
      <c r="AF64" s="99" t="str">
        <f t="shared" si="11"/>
        <v/>
      </c>
      <c r="AG64" s="95" t="str">
        <f>IFERROR(
IF(P64&lt;=5,
(Assumptions!$W$8*(AF64/P64)^2+(Assumptions!$X$8*(AF64/P64))+Assumptions!$Y$8),
IF(P64&lt;=20,
(Assumptions!$W$9*(AF64/P64)^2+(Assumptions!$X$9*(AF64/P64))+Assumptions!$Y$9),
IF(P64&lt;=50,
(Assumptions!$W$10*(AF64/P64)^2+(Assumptions!$X$10*(AF64/P64))+Assumptions!$Y$10),
(Assumptions!$W$11*(AF64/P64)^2+(Assumptions!$X$11+(AF64/P64))+Assumptions!$Y$11)))),
"")</f>
        <v/>
      </c>
      <c r="AH64" s="95" t="str">
        <f t="shared" si="12"/>
        <v/>
      </c>
      <c r="AI64" s="95" t="str">
        <f>IFERROR(
IF(P64&lt;=5,
(Assumptions!$W$8*(AH64/P64)^2+(Assumptions!$X$8*(AH64/P64))+Assumptions!$Y$8),
IF(P64&lt;=20,
(Assumptions!$W$9*(AH64/P64)^2+(Assumptions!$X$9*(AH64/P64))+Assumptions!$Y$9),
IF(P64&lt;=50,
(Assumptions!$W$10*(AH64/P64)^2+(Assumptions!$X$10*(AH64/P64))+Assumptions!$Y$10),
(Assumptions!$W$11*(AH64/P64)^2+(Assumptions!$X$11+(AH64/P64))+Assumptions!$Y$11)))),"")</f>
        <v/>
      </c>
      <c r="AJ64" s="95" t="str">
        <f t="shared" si="13"/>
        <v/>
      </c>
      <c r="AK64" s="96" t="str">
        <f>IFERROR(
IF(P64&lt;=5,
(Assumptions!$W$8*(AJ64/P64)^2+(Assumptions!$X$8*(AJ64/P64))+Assumptions!$Y$8),
IF(P64&lt;=20,
(Assumptions!$W$9*(AJ64/P64)^2+(Assumptions!$X$9*(AJ64/P64))+Assumptions!$Y$9),
IF(P64&lt;=50,
(Assumptions!$W$10*(AJ64/P64)^2+(Assumptions!$X$10*(AJ64/P64))+Assumptions!$Y$10),
(Assumptions!$W$11*(AJ64/P64)^2+(Assumptions!$X$11+(AJ64/P64))+Assumptions!$Y$11)))),
"")</f>
        <v/>
      </c>
      <c r="AL64" s="99" t="str">
        <f>IFERROR(
IF(C64="VTS",
IF(P64&gt;=AVERAGE(
INDEX(Assumptions!$I$38:$I$57,MATCH(P64,Assumptions!$I$38:$I$57,-1)),
INDEX(Assumptions!$I$38:$I$57,MATCH(P64,Assumptions!$I$38:$I$57,-1)+1)),
INDEX(Assumptions!$I$38:$I$57,MATCH(P64,Assumptions!$I$38:$I$57,-1)),
INDEX(Assumptions!$I$38:$I$57,MATCH(P64,Assumptions!$I$38:$I$57,-1)+1)),
IF(P64&gt;=AVERAGE(
INDEX(Assumptions!$I$13:$I$32,MATCH(P64,Assumptions!$I$13:$I$32,-1)),
INDEX(Assumptions!$I$13:$I$32,MATCH(P64,Assumptions!$I$13:$I$32,-1)+1)),
INDEX(Assumptions!$I$13:$I$32,MATCH(P64,Assumptions!$I$13:$I$32,-1)),
INDEX(Assumptions!$I$13:$I$32,MATCH(P64,Assumptions!$I$13:$I$32,-1)+1))),
"")</f>
        <v/>
      </c>
      <c r="AM64" s="95" t="str">
        <f>IFERROR(
IF(C64="VTS",
VLOOKUP(AL64,Assumptions!$I$38:$K$57,MATCH(R64,Assumptions!$I$37:$K$37,0),FALSE),
VLOOKUP(AL64,Assumptions!$I$13:$K$32,MATCH(R64,Assumptions!$I$12:$K$12,0),FALSE)),
"")</f>
        <v/>
      </c>
      <c r="AN64" s="95" t="str">
        <f t="shared" si="14"/>
        <v/>
      </c>
      <c r="AO64" s="95" t="str">
        <f>IFERROR(AN64*
(Assumptions!$S$7*(X64/(AR64*Assumptions!$AB$9/100)/P64)^3+
Assumptions!$S$8*(X64/(AR64*Assumptions!$AB$9/100)/P64)^2+
Assumptions!$S$9*(X64/(AR64*Assumptions!$AB$9/100)/P64)+
Assumptions!$S$10),"")</f>
        <v/>
      </c>
      <c r="AP64" s="95" t="str">
        <f>IFERROR(AN64*
(Assumptions!$S$7*(AA64/(AR64*Assumptions!$AB$8/100)/P64)^3+
Assumptions!$S$8*(AA64/(AR64*Assumptions!$AB$8/100)/P64)^2+
Assumptions!$S$9*(AA64/(AR64*Assumptions!$AB$8/100)/P64)+
Assumptions!$S$10),"")</f>
        <v/>
      </c>
      <c r="AQ64" s="95" t="str">
        <f>IFERROR(AN64*
(Assumptions!$S$7*(AD64/(AR64*Assumptions!$AB$10/100)/P64)^3+
Assumptions!$S$8*(AD64/(AR64*Assumptions!$AB$10/100)/P64)^2+
Assumptions!$S$9*(AD64/(AR64*Assumptions!$AB$10/100)/P64)+
Assumptions!$S$10),"")</f>
        <v/>
      </c>
      <c r="AR64" s="95" t="str">
        <f>IFERROR(
Assumptions!$AD$8*LN(U64)^2+
Assumptions!$AE$8*LN(T64)*LN(U64)+
Assumptions!$AF$8*LN(T64)^2+
Assumptions!$AG$8*LN(U64)+
Assumptions!$AH$8*LN(T64)-
(IF(S64=1800,
VLOOKUP(C64,Assumptions!$AA$13:$AC$17,3),
IF(S64=3600,
VLOOKUP(C64,Assumptions!$AA$18:$AC$22,3),
""))+Assumptions!$AI$8),
"")</f>
        <v/>
      </c>
      <c r="AS64" s="96" t="str">
        <f>IFERROR(
Assumptions!$D$11*(X64/(Assumptions!$AB$9*AR64/100)+AO64)+
Assumptions!$D$10*(AA64/(Assumptions!$AB$8*AR64/100)+AP64)+
Assumptions!$D$12*(AD64/(Assumptions!$AB$10*AR64/100)+AQ64),
"")</f>
        <v/>
      </c>
      <c r="AT64" s="76" t="str">
        <f>IFERROR(
(W64+AE64)*Assumptions!$F$11+
(AF64+AG64)*Assumptions!$F$8+
(AH64+AI64)*Assumptions!$F$9+
(AJ64+AK64)*Assumptions!$F$10,
"")</f>
        <v/>
      </c>
      <c r="AU64" s="77" t="str">
        <f t="shared" si="15"/>
        <v/>
      </c>
      <c r="AV64" s="68" t="str">
        <f t="shared" si="1"/>
        <v/>
      </c>
    </row>
    <row r="65" spans="1:48" x14ac:dyDescent="0.25">
      <c r="A65" s="264"/>
      <c r="B65" s="265"/>
      <c r="C65" s="265"/>
      <c r="D65" s="265"/>
      <c r="E65" s="266"/>
      <c r="F65" s="270"/>
      <c r="G65" s="271"/>
      <c r="H65" s="271"/>
      <c r="I65" s="272"/>
      <c r="J65" s="270"/>
      <c r="K65" s="271"/>
      <c r="L65" s="272"/>
      <c r="M65" s="270"/>
      <c r="N65" s="271"/>
      <c r="O65" s="272"/>
      <c r="P65" s="290"/>
      <c r="Q65" s="314"/>
      <c r="R65" s="51" t="str">
        <f t="shared" si="16"/>
        <v/>
      </c>
      <c r="S65" s="84" t="str">
        <f t="shared" si="2"/>
        <v/>
      </c>
      <c r="T65" s="93" t="str">
        <f t="shared" si="3"/>
        <v/>
      </c>
      <c r="U65" s="100" t="str">
        <f t="shared" si="4"/>
        <v/>
      </c>
      <c r="V65" s="95" t="str">
        <f t="shared" si="5"/>
        <v/>
      </c>
      <c r="W65" s="95" t="str">
        <f t="shared" si="6"/>
        <v/>
      </c>
      <c r="X65" s="96" t="str">
        <f>IFERROR(U65*V65*Assumptions!$B$15/3956,"")</f>
        <v/>
      </c>
      <c r="Y65" s="102" t="str">
        <f t="shared" si="7"/>
        <v/>
      </c>
      <c r="Z65" s="95" t="str">
        <f t="shared" si="8"/>
        <v/>
      </c>
      <c r="AA65" s="96" t="str">
        <f>IFERROR(Y65*Z65*Assumptions!$B$15/3956,"")</f>
        <v/>
      </c>
      <c r="AB65" s="100" t="str">
        <f t="shared" si="9"/>
        <v/>
      </c>
      <c r="AC65" s="95" t="str">
        <f t="shared" si="10"/>
        <v/>
      </c>
      <c r="AD65" s="96" t="str">
        <f>IFERROR(AB65*AC65*Assumptions!$B$15/3956,"")</f>
        <v/>
      </c>
      <c r="AE65" s="94" t="str">
        <f>IFERROR(
IF(P65&lt;=5,
(Assumptions!$W$8*(W65/P65)^2+(Assumptions!$X$8*(W65/P65))+Assumptions!$Y$8),
IF(P65&lt;=20,
(Assumptions!$W$9*(W65/P65)^2+(Assumptions!$X$9*(W65/P65))+Assumptions!$Y$9),
IF(P65&lt;=50,
(Assumptions!$W$10*(W65/P65)^2+(Assumptions!$X$10*(W65/P65))+Assumptions!$Y$10),
(Assumptions!$W$11*(W65/P65)^2+(Assumptions!$X$11+(W65/P65))+Assumptions!$Y$11)))),
"")</f>
        <v/>
      </c>
      <c r="AF65" s="99" t="str">
        <f t="shared" si="11"/>
        <v/>
      </c>
      <c r="AG65" s="95" t="str">
        <f>IFERROR(
IF(P65&lt;=5,
(Assumptions!$W$8*(AF65/P65)^2+(Assumptions!$X$8*(AF65/P65))+Assumptions!$Y$8),
IF(P65&lt;=20,
(Assumptions!$W$9*(AF65/P65)^2+(Assumptions!$X$9*(AF65/P65))+Assumptions!$Y$9),
IF(P65&lt;=50,
(Assumptions!$W$10*(AF65/P65)^2+(Assumptions!$X$10*(AF65/P65))+Assumptions!$Y$10),
(Assumptions!$W$11*(AF65/P65)^2+(Assumptions!$X$11+(AF65/P65))+Assumptions!$Y$11)))),
"")</f>
        <v/>
      </c>
      <c r="AH65" s="95" t="str">
        <f t="shared" si="12"/>
        <v/>
      </c>
      <c r="AI65" s="95" t="str">
        <f>IFERROR(
IF(P65&lt;=5,
(Assumptions!$W$8*(AH65/P65)^2+(Assumptions!$X$8*(AH65/P65))+Assumptions!$Y$8),
IF(P65&lt;=20,
(Assumptions!$W$9*(AH65/P65)^2+(Assumptions!$X$9*(AH65/P65))+Assumptions!$Y$9),
IF(P65&lt;=50,
(Assumptions!$W$10*(AH65/P65)^2+(Assumptions!$X$10*(AH65/P65))+Assumptions!$Y$10),
(Assumptions!$W$11*(AH65/P65)^2+(Assumptions!$X$11+(AH65/P65))+Assumptions!$Y$11)))),"")</f>
        <v/>
      </c>
      <c r="AJ65" s="95" t="str">
        <f t="shared" si="13"/>
        <v/>
      </c>
      <c r="AK65" s="96" t="str">
        <f>IFERROR(
IF(P65&lt;=5,
(Assumptions!$W$8*(AJ65/P65)^2+(Assumptions!$X$8*(AJ65/P65))+Assumptions!$Y$8),
IF(P65&lt;=20,
(Assumptions!$W$9*(AJ65/P65)^2+(Assumptions!$X$9*(AJ65/P65))+Assumptions!$Y$9),
IF(P65&lt;=50,
(Assumptions!$W$10*(AJ65/P65)^2+(Assumptions!$X$10*(AJ65/P65))+Assumptions!$Y$10),
(Assumptions!$W$11*(AJ65/P65)^2+(Assumptions!$X$11+(AJ65/P65))+Assumptions!$Y$11)))),
"")</f>
        <v/>
      </c>
      <c r="AL65" s="99" t="str">
        <f>IFERROR(
IF(C65="VTS",
IF(P65&gt;=AVERAGE(
INDEX(Assumptions!$I$38:$I$57,MATCH(P65,Assumptions!$I$38:$I$57,-1)),
INDEX(Assumptions!$I$38:$I$57,MATCH(P65,Assumptions!$I$38:$I$57,-1)+1)),
INDEX(Assumptions!$I$38:$I$57,MATCH(P65,Assumptions!$I$38:$I$57,-1)),
INDEX(Assumptions!$I$38:$I$57,MATCH(P65,Assumptions!$I$38:$I$57,-1)+1)),
IF(P65&gt;=AVERAGE(
INDEX(Assumptions!$I$13:$I$32,MATCH(P65,Assumptions!$I$13:$I$32,-1)),
INDEX(Assumptions!$I$13:$I$32,MATCH(P65,Assumptions!$I$13:$I$32,-1)+1)),
INDEX(Assumptions!$I$13:$I$32,MATCH(P65,Assumptions!$I$13:$I$32,-1)),
INDEX(Assumptions!$I$13:$I$32,MATCH(P65,Assumptions!$I$13:$I$32,-1)+1))),
"")</f>
        <v/>
      </c>
      <c r="AM65" s="95" t="str">
        <f>IFERROR(
IF(C65="VTS",
VLOOKUP(AL65,Assumptions!$I$38:$K$57,MATCH(R65,Assumptions!$I$37:$K$37,0),FALSE),
VLOOKUP(AL65,Assumptions!$I$13:$K$32,MATCH(R65,Assumptions!$I$12:$K$12,0),FALSE)),
"")</f>
        <v/>
      </c>
      <c r="AN65" s="95" t="str">
        <f t="shared" si="14"/>
        <v/>
      </c>
      <c r="AO65" s="95" t="str">
        <f>IFERROR(AN65*
(Assumptions!$S$7*(X65/(AR65*Assumptions!$AB$9/100)/P65)^3+
Assumptions!$S$8*(X65/(AR65*Assumptions!$AB$9/100)/P65)^2+
Assumptions!$S$9*(X65/(AR65*Assumptions!$AB$9/100)/P65)+
Assumptions!$S$10),"")</f>
        <v/>
      </c>
      <c r="AP65" s="95" t="str">
        <f>IFERROR(AN65*
(Assumptions!$S$7*(AA65/(AR65*Assumptions!$AB$8/100)/P65)^3+
Assumptions!$S$8*(AA65/(AR65*Assumptions!$AB$8/100)/P65)^2+
Assumptions!$S$9*(AA65/(AR65*Assumptions!$AB$8/100)/P65)+
Assumptions!$S$10),"")</f>
        <v/>
      </c>
      <c r="AQ65" s="95" t="str">
        <f>IFERROR(AN65*
(Assumptions!$S$7*(AD65/(AR65*Assumptions!$AB$10/100)/P65)^3+
Assumptions!$S$8*(AD65/(AR65*Assumptions!$AB$10/100)/P65)^2+
Assumptions!$S$9*(AD65/(AR65*Assumptions!$AB$10/100)/P65)+
Assumptions!$S$10),"")</f>
        <v/>
      </c>
      <c r="AR65" s="95" t="str">
        <f>IFERROR(
Assumptions!$AD$8*LN(U65)^2+
Assumptions!$AE$8*LN(T65)*LN(U65)+
Assumptions!$AF$8*LN(T65)^2+
Assumptions!$AG$8*LN(U65)+
Assumptions!$AH$8*LN(T65)-
(IF(S65=1800,
VLOOKUP(C65,Assumptions!$AA$13:$AC$17,3),
IF(S65=3600,
VLOOKUP(C65,Assumptions!$AA$18:$AC$22,3),
""))+Assumptions!$AI$8),
"")</f>
        <v/>
      </c>
      <c r="AS65" s="96" t="str">
        <f>IFERROR(
Assumptions!$D$11*(X65/(Assumptions!$AB$9*AR65/100)+AO65)+
Assumptions!$D$10*(AA65/(Assumptions!$AB$8*AR65/100)+AP65)+
Assumptions!$D$12*(AD65/(Assumptions!$AB$10*AR65/100)+AQ65),
"")</f>
        <v/>
      </c>
      <c r="AT65" s="76" t="str">
        <f>IFERROR(
(W65+AE65)*Assumptions!$F$11+
(AF65+AG65)*Assumptions!$F$8+
(AH65+AI65)*Assumptions!$F$9+
(AJ65+AK65)*Assumptions!$F$10,
"")</f>
        <v/>
      </c>
      <c r="AU65" s="77" t="str">
        <f t="shared" si="15"/>
        <v/>
      </c>
      <c r="AV65" s="68" t="str">
        <f t="shared" si="1"/>
        <v/>
      </c>
    </row>
    <row r="66" spans="1:48" x14ac:dyDescent="0.25">
      <c r="A66" s="264"/>
      <c r="B66" s="265"/>
      <c r="C66" s="265"/>
      <c r="D66" s="265"/>
      <c r="E66" s="266"/>
      <c r="F66" s="270"/>
      <c r="G66" s="271"/>
      <c r="H66" s="271"/>
      <c r="I66" s="272"/>
      <c r="J66" s="270"/>
      <c r="K66" s="271"/>
      <c r="L66" s="272"/>
      <c r="M66" s="270"/>
      <c r="N66" s="271"/>
      <c r="O66" s="272"/>
      <c r="P66" s="290"/>
      <c r="Q66" s="314"/>
      <c r="R66" s="51" t="str">
        <f t="shared" si="16"/>
        <v/>
      </c>
      <c r="S66" s="84" t="str">
        <f t="shared" si="2"/>
        <v/>
      </c>
      <c r="T66" s="93" t="str">
        <f t="shared" si="3"/>
        <v/>
      </c>
      <c r="U66" s="100" t="str">
        <f t="shared" si="4"/>
        <v/>
      </c>
      <c r="V66" s="95" t="str">
        <f t="shared" si="5"/>
        <v/>
      </c>
      <c r="W66" s="95" t="str">
        <f t="shared" si="6"/>
        <v/>
      </c>
      <c r="X66" s="96" t="str">
        <f>IFERROR(U66*V66*Assumptions!$B$15/3956,"")</f>
        <v/>
      </c>
      <c r="Y66" s="102" t="str">
        <f t="shared" si="7"/>
        <v/>
      </c>
      <c r="Z66" s="95" t="str">
        <f t="shared" si="8"/>
        <v/>
      </c>
      <c r="AA66" s="96" t="str">
        <f>IFERROR(Y66*Z66*Assumptions!$B$15/3956,"")</f>
        <v/>
      </c>
      <c r="AB66" s="100" t="str">
        <f t="shared" si="9"/>
        <v/>
      </c>
      <c r="AC66" s="95" t="str">
        <f t="shared" si="10"/>
        <v/>
      </c>
      <c r="AD66" s="96" t="str">
        <f>IFERROR(AB66*AC66*Assumptions!$B$15/3956,"")</f>
        <v/>
      </c>
      <c r="AE66" s="94" t="str">
        <f>IFERROR(
IF(P66&lt;=5,
(Assumptions!$W$8*(W66/P66)^2+(Assumptions!$X$8*(W66/P66))+Assumptions!$Y$8),
IF(P66&lt;=20,
(Assumptions!$W$9*(W66/P66)^2+(Assumptions!$X$9*(W66/P66))+Assumptions!$Y$9),
IF(P66&lt;=50,
(Assumptions!$W$10*(W66/P66)^2+(Assumptions!$X$10*(W66/P66))+Assumptions!$Y$10),
(Assumptions!$W$11*(W66/P66)^2+(Assumptions!$X$11+(W66/P66))+Assumptions!$Y$11)))),
"")</f>
        <v/>
      </c>
      <c r="AF66" s="99" t="str">
        <f t="shared" si="11"/>
        <v/>
      </c>
      <c r="AG66" s="95" t="str">
        <f>IFERROR(
IF(P66&lt;=5,
(Assumptions!$W$8*(AF66/P66)^2+(Assumptions!$X$8*(AF66/P66))+Assumptions!$Y$8),
IF(P66&lt;=20,
(Assumptions!$W$9*(AF66/P66)^2+(Assumptions!$X$9*(AF66/P66))+Assumptions!$Y$9),
IF(P66&lt;=50,
(Assumptions!$W$10*(AF66/P66)^2+(Assumptions!$X$10*(AF66/P66))+Assumptions!$Y$10),
(Assumptions!$W$11*(AF66/P66)^2+(Assumptions!$X$11+(AF66/P66))+Assumptions!$Y$11)))),
"")</f>
        <v/>
      </c>
      <c r="AH66" s="95" t="str">
        <f t="shared" si="12"/>
        <v/>
      </c>
      <c r="AI66" s="95" t="str">
        <f>IFERROR(
IF(P66&lt;=5,
(Assumptions!$W$8*(AH66/P66)^2+(Assumptions!$X$8*(AH66/P66))+Assumptions!$Y$8),
IF(P66&lt;=20,
(Assumptions!$W$9*(AH66/P66)^2+(Assumptions!$X$9*(AH66/P66))+Assumptions!$Y$9),
IF(P66&lt;=50,
(Assumptions!$W$10*(AH66/P66)^2+(Assumptions!$X$10*(AH66/P66))+Assumptions!$Y$10),
(Assumptions!$W$11*(AH66/P66)^2+(Assumptions!$X$11+(AH66/P66))+Assumptions!$Y$11)))),"")</f>
        <v/>
      </c>
      <c r="AJ66" s="95" t="str">
        <f t="shared" si="13"/>
        <v/>
      </c>
      <c r="AK66" s="96" t="str">
        <f>IFERROR(
IF(P66&lt;=5,
(Assumptions!$W$8*(AJ66/P66)^2+(Assumptions!$X$8*(AJ66/P66))+Assumptions!$Y$8),
IF(P66&lt;=20,
(Assumptions!$W$9*(AJ66/P66)^2+(Assumptions!$X$9*(AJ66/P66))+Assumptions!$Y$9),
IF(P66&lt;=50,
(Assumptions!$W$10*(AJ66/P66)^2+(Assumptions!$X$10*(AJ66/P66))+Assumptions!$Y$10),
(Assumptions!$W$11*(AJ66/P66)^2+(Assumptions!$X$11+(AJ66/P66))+Assumptions!$Y$11)))),
"")</f>
        <v/>
      </c>
      <c r="AL66" s="99" t="str">
        <f>IFERROR(
IF(C66="VTS",
IF(P66&gt;=AVERAGE(
INDEX(Assumptions!$I$38:$I$57,MATCH(P66,Assumptions!$I$38:$I$57,-1)),
INDEX(Assumptions!$I$38:$I$57,MATCH(P66,Assumptions!$I$38:$I$57,-1)+1)),
INDEX(Assumptions!$I$38:$I$57,MATCH(P66,Assumptions!$I$38:$I$57,-1)),
INDEX(Assumptions!$I$38:$I$57,MATCH(P66,Assumptions!$I$38:$I$57,-1)+1)),
IF(P66&gt;=AVERAGE(
INDEX(Assumptions!$I$13:$I$32,MATCH(P66,Assumptions!$I$13:$I$32,-1)),
INDEX(Assumptions!$I$13:$I$32,MATCH(P66,Assumptions!$I$13:$I$32,-1)+1)),
INDEX(Assumptions!$I$13:$I$32,MATCH(P66,Assumptions!$I$13:$I$32,-1)),
INDEX(Assumptions!$I$13:$I$32,MATCH(P66,Assumptions!$I$13:$I$32,-1)+1))),
"")</f>
        <v/>
      </c>
      <c r="AM66" s="95" t="str">
        <f>IFERROR(
IF(C66="VTS",
VLOOKUP(AL66,Assumptions!$I$38:$K$57,MATCH(R66,Assumptions!$I$37:$K$37,0),FALSE),
VLOOKUP(AL66,Assumptions!$I$13:$K$32,MATCH(R66,Assumptions!$I$12:$K$12,0),FALSE)),
"")</f>
        <v/>
      </c>
      <c r="AN66" s="95" t="str">
        <f t="shared" si="14"/>
        <v/>
      </c>
      <c r="AO66" s="95" t="str">
        <f>IFERROR(AN66*
(Assumptions!$S$7*(X66/(AR66*Assumptions!$AB$9/100)/P66)^3+
Assumptions!$S$8*(X66/(AR66*Assumptions!$AB$9/100)/P66)^2+
Assumptions!$S$9*(X66/(AR66*Assumptions!$AB$9/100)/P66)+
Assumptions!$S$10),"")</f>
        <v/>
      </c>
      <c r="AP66" s="95" t="str">
        <f>IFERROR(AN66*
(Assumptions!$S$7*(AA66/(AR66*Assumptions!$AB$8/100)/P66)^3+
Assumptions!$S$8*(AA66/(AR66*Assumptions!$AB$8/100)/P66)^2+
Assumptions!$S$9*(AA66/(AR66*Assumptions!$AB$8/100)/P66)+
Assumptions!$S$10),"")</f>
        <v/>
      </c>
      <c r="AQ66" s="95" t="str">
        <f>IFERROR(AN66*
(Assumptions!$S$7*(AD66/(AR66*Assumptions!$AB$10/100)/P66)^3+
Assumptions!$S$8*(AD66/(AR66*Assumptions!$AB$10/100)/P66)^2+
Assumptions!$S$9*(AD66/(AR66*Assumptions!$AB$10/100)/P66)+
Assumptions!$S$10),"")</f>
        <v/>
      </c>
      <c r="AR66" s="95" t="str">
        <f>IFERROR(
Assumptions!$AD$8*LN(U66)^2+
Assumptions!$AE$8*LN(T66)*LN(U66)+
Assumptions!$AF$8*LN(T66)^2+
Assumptions!$AG$8*LN(U66)+
Assumptions!$AH$8*LN(T66)-
(IF(S66=1800,
VLOOKUP(C66,Assumptions!$AA$13:$AC$17,3),
IF(S66=3600,
VLOOKUP(C66,Assumptions!$AA$18:$AC$22,3),
""))+Assumptions!$AI$8),
"")</f>
        <v/>
      </c>
      <c r="AS66" s="96" t="str">
        <f>IFERROR(
Assumptions!$D$11*(X66/(Assumptions!$AB$9*AR66/100)+AO66)+
Assumptions!$D$10*(AA66/(Assumptions!$AB$8*AR66/100)+AP66)+
Assumptions!$D$12*(AD66/(Assumptions!$AB$10*AR66/100)+AQ66),
"")</f>
        <v/>
      </c>
      <c r="AT66" s="76" t="str">
        <f>IFERROR(
(W66+AE66)*Assumptions!$F$11+
(AF66+AG66)*Assumptions!$F$8+
(AH66+AI66)*Assumptions!$F$9+
(AJ66+AK66)*Assumptions!$F$10,
"")</f>
        <v/>
      </c>
      <c r="AU66" s="77" t="str">
        <f t="shared" si="15"/>
        <v/>
      </c>
      <c r="AV66" s="68" t="str">
        <f t="shared" si="1"/>
        <v/>
      </c>
    </row>
    <row r="67" spans="1:48" x14ac:dyDescent="0.25">
      <c r="A67" s="264"/>
      <c r="B67" s="265"/>
      <c r="C67" s="265"/>
      <c r="D67" s="265"/>
      <c r="E67" s="266"/>
      <c r="F67" s="270"/>
      <c r="G67" s="271"/>
      <c r="H67" s="271"/>
      <c r="I67" s="272"/>
      <c r="J67" s="270"/>
      <c r="K67" s="271"/>
      <c r="L67" s="272"/>
      <c r="M67" s="270"/>
      <c r="N67" s="271"/>
      <c r="O67" s="272"/>
      <c r="P67" s="290"/>
      <c r="Q67" s="314"/>
      <c r="R67" s="51" t="str">
        <f t="shared" si="16"/>
        <v/>
      </c>
      <c r="S67" s="84" t="str">
        <f t="shared" si="2"/>
        <v/>
      </c>
      <c r="T67" s="93" t="str">
        <f t="shared" si="3"/>
        <v/>
      </c>
      <c r="U67" s="100" t="str">
        <f t="shared" si="4"/>
        <v/>
      </c>
      <c r="V67" s="95" t="str">
        <f t="shared" si="5"/>
        <v/>
      </c>
      <c r="W67" s="95" t="str">
        <f t="shared" si="6"/>
        <v/>
      </c>
      <c r="X67" s="96" t="str">
        <f>IFERROR(U67*V67*Assumptions!$B$15/3956,"")</f>
        <v/>
      </c>
      <c r="Y67" s="102" t="str">
        <f t="shared" si="7"/>
        <v/>
      </c>
      <c r="Z67" s="95" t="str">
        <f t="shared" si="8"/>
        <v/>
      </c>
      <c r="AA67" s="96" t="str">
        <f>IFERROR(Y67*Z67*Assumptions!$B$15/3956,"")</f>
        <v/>
      </c>
      <c r="AB67" s="100" t="str">
        <f t="shared" si="9"/>
        <v/>
      </c>
      <c r="AC67" s="95" t="str">
        <f t="shared" si="10"/>
        <v/>
      </c>
      <c r="AD67" s="96" t="str">
        <f>IFERROR(AB67*AC67*Assumptions!$B$15/3956,"")</f>
        <v/>
      </c>
      <c r="AE67" s="94" t="str">
        <f>IFERROR(
IF(P67&lt;=5,
(Assumptions!$W$8*(W67/P67)^2+(Assumptions!$X$8*(W67/P67))+Assumptions!$Y$8),
IF(P67&lt;=20,
(Assumptions!$W$9*(W67/P67)^2+(Assumptions!$X$9*(W67/P67))+Assumptions!$Y$9),
IF(P67&lt;=50,
(Assumptions!$W$10*(W67/P67)^2+(Assumptions!$X$10*(W67/P67))+Assumptions!$Y$10),
(Assumptions!$W$11*(W67/P67)^2+(Assumptions!$X$11+(W67/P67))+Assumptions!$Y$11)))),
"")</f>
        <v/>
      </c>
      <c r="AF67" s="99" t="str">
        <f t="shared" si="11"/>
        <v/>
      </c>
      <c r="AG67" s="95" t="str">
        <f>IFERROR(
IF(P67&lt;=5,
(Assumptions!$W$8*(AF67/P67)^2+(Assumptions!$X$8*(AF67/P67))+Assumptions!$Y$8),
IF(P67&lt;=20,
(Assumptions!$W$9*(AF67/P67)^2+(Assumptions!$X$9*(AF67/P67))+Assumptions!$Y$9),
IF(P67&lt;=50,
(Assumptions!$W$10*(AF67/P67)^2+(Assumptions!$X$10*(AF67/P67))+Assumptions!$Y$10),
(Assumptions!$W$11*(AF67/P67)^2+(Assumptions!$X$11+(AF67/P67))+Assumptions!$Y$11)))),
"")</f>
        <v/>
      </c>
      <c r="AH67" s="95" t="str">
        <f t="shared" si="12"/>
        <v/>
      </c>
      <c r="AI67" s="95" t="str">
        <f>IFERROR(
IF(P67&lt;=5,
(Assumptions!$W$8*(AH67/P67)^2+(Assumptions!$X$8*(AH67/P67))+Assumptions!$Y$8),
IF(P67&lt;=20,
(Assumptions!$W$9*(AH67/P67)^2+(Assumptions!$X$9*(AH67/P67))+Assumptions!$Y$9),
IF(P67&lt;=50,
(Assumptions!$W$10*(AH67/P67)^2+(Assumptions!$X$10*(AH67/P67))+Assumptions!$Y$10),
(Assumptions!$W$11*(AH67/P67)^2+(Assumptions!$X$11+(AH67/P67))+Assumptions!$Y$11)))),"")</f>
        <v/>
      </c>
      <c r="AJ67" s="95" t="str">
        <f t="shared" si="13"/>
        <v/>
      </c>
      <c r="AK67" s="96" t="str">
        <f>IFERROR(
IF(P67&lt;=5,
(Assumptions!$W$8*(AJ67/P67)^2+(Assumptions!$X$8*(AJ67/P67))+Assumptions!$Y$8),
IF(P67&lt;=20,
(Assumptions!$W$9*(AJ67/P67)^2+(Assumptions!$X$9*(AJ67/P67))+Assumptions!$Y$9),
IF(P67&lt;=50,
(Assumptions!$W$10*(AJ67/P67)^2+(Assumptions!$X$10*(AJ67/P67))+Assumptions!$Y$10),
(Assumptions!$W$11*(AJ67/P67)^2+(Assumptions!$X$11+(AJ67/P67))+Assumptions!$Y$11)))),
"")</f>
        <v/>
      </c>
      <c r="AL67" s="99" t="str">
        <f>IFERROR(
IF(C67="VTS",
IF(P67&gt;=AVERAGE(
INDEX(Assumptions!$I$38:$I$57,MATCH(P67,Assumptions!$I$38:$I$57,-1)),
INDEX(Assumptions!$I$38:$I$57,MATCH(P67,Assumptions!$I$38:$I$57,-1)+1)),
INDEX(Assumptions!$I$38:$I$57,MATCH(P67,Assumptions!$I$38:$I$57,-1)),
INDEX(Assumptions!$I$38:$I$57,MATCH(P67,Assumptions!$I$38:$I$57,-1)+1)),
IF(P67&gt;=AVERAGE(
INDEX(Assumptions!$I$13:$I$32,MATCH(P67,Assumptions!$I$13:$I$32,-1)),
INDEX(Assumptions!$I$13:$I$32,MATCH(P67,Assumptions!$I$13:$I$32,-1)+1)),
INDEX(Assumptions!$I$13:$I$32,MATCH(P67,Assumptions!$I$13:$I$32,-1)),
INDEX(Assumptions!$I$13:$I$32,MATCH(P67,Assumptions!$I$13:$I$32,-1)+1))),
"")</f>
        <v/>
      </c>
      <c r="AM67" s="95" t="str">
        <f>IFERROR(
IF(C67="VTS",
VLOOKUP(AL67,Assumptions!$I$38:$K$57,MATCH(R67,Assumptions!$I$37:$K$37,0),FALSE),
VLOOKUP(AL67,Assumptions!$I$13:$K$32,MATCH(R67,Assumptions!$I$12:$K$12,0),FALSE)),
"")</f>
        <v/>
      </c>
      <c r="AN67" s="95" t="str">
        <f t="shared" si="14"/>
        <v/>
      </c>
      <c r="AO67" s="95" t="str">
        <f>IFERROR(AN67*
(Assumptions!$S$7*(X67/(AR67*Assumptions!$AB$9/100)/P67)^3+
Assumptions!$S$8*(X67/(AR67*Assumptions!$AB$9/100)/P67)^2+
Assumptions!$S$9*(X67/(AR67*Assumptions!$AB$9/100)/P67)+
Assumptions!$S$10),"")</f>
        <v/>
      </c>
      <c r="AP67" s="95" t="str">
        <f>IFERROR(AN67*
(Assumptions!$S$7*(AA67/(AR67*Assumptions!$AB$8/100)/P67)^3+
Assumptions!$S$8*(AA67/(AR67*Assumptions!$AB$8/100)/P67)^2+
Assumptions!$S$9*(AA67/(AR67*Assumptions!$AB$8/100)/P67)+
Assumptions!$S$10),"")</f>
        <v/>
      </c>
      <c r="AQ67" s="95" t="str">
        <f>IFERROR(AN67*
(Assumptions!$S$7*(AD67/(AR67*Assumptions!$AB$10/100)/P67)^3+
Assumptions!$S$8*(AD67/(AR67*Assumptions!$AB$10/100)/P67)^2+
Assumptions!$S$9*(AD67/(AR67*Assumptions!$AB$10/100)/P67)+
Assumptions!$S$10),"")</f>
        <v/>
      </c>
      <c r="AR67" s="95" t="str">
        <f>IFERROR(
Assumptions!$AD$8*LN(U67)^2+
Assumptions!$AE$8*LN(T67)*LN(U67)+
Assumptions!$AF$8*LN(T67)^2+
Assumptions!$AG$8*LN(U67)+
Assumptions!$AH$8*LN(T67)-
(IF(S67=1800,
VLOOKUP(C67,Assumptions!$AA$13:$AC$17,3),
IF(S67=3600,
VLOOKUP(C67,Assumptions!$AA$18:$AC$22,3),
""))+Assumptions!$AI$8),
"")</f>
        <v/>
      </c>
      <c r="AS67" s="96" t="str">
        <f>IFERROR(
Assumptions!$D$11*(X67/(Assumptions!$AB$9*AR67/100)+AO67)+
Assumptions!$D$10*(AA67/(Assumptions!$AB$8*AR67/100)+AP67)+
Assumptions!$D$12*(AD67/(Assumptions!$AB$10*AR67/100)+AQ67),
"")</f>
        <v/>
      </c>
      <c r="AT67" s="76" t="str">
        <f>IFERROR(
(W67+AE67)*Assumptions!$F$11+
(AF67+AG67)*Assumptions!$F$8+
(AH67+AI67)*Assumptions!$F$9+
(AJ67+AK67)*Assumptions!$F$10,
"")</f>
        <v/>
      </c>
      <c r="AU67" s="77" t="str">
        <f t="shared" si="15"/>
        <v/>
      </c>
      <c r="AV67" s="68" t="str">
        <f t="shared" si="1"/>
        <v/>
      </c>
    </row>
    <row r="68" spans="1:48" x14ac:dyDescent="0.25">
      <c r="A68" s="264"/>
      <c r="B68" s="265"/>
      <c r="C68" s="265"/>
      <c r="D68" s="265"/>
      <c r="E68" s="266"/>
      <c r="F68" s="270"/>
      <c r="G68" s="271"/>
      <c r="H68" s="271"/>
      <c r="I68" s="272"/>
      <c r="J68" s="270"/>
      <c r="K68" s="271"/>
      <c r="L68" s="272"/>
      <c r="M68" s="270"/>
      <c r="N68" s="271"/>
      <c r="O68" s="272"/>
      <c r="P68" s="290"/>
      <c r="Q68" s="314"/>
      <c r="R68" s="51" t="str">
        <f t="shared" si="16"/>
        <v/>
      </c>
      <c r="S68" s="84" t="str">
        <f t="shared" si="2"/>
        <v/>
      </c>
      <c r="T68" s="93" t="str">
        <f t="shared" si="3"/>
        <v/>
      </c>
      <c r="U68" s="100" t="str">
        <f t="shared" si="4"/>
        <v/>
      </c>
      <c r="V68" s="95" t="str">
        <f t="shared" si="5"/>
        <v/>
      </c>
      <c r="W68" s="95" t="str">
        <f t="shared" si="6"/>
        <v/>
      </c>
      <c r="X68" s="96" t="str">
        <f>IFERROR(U68*V68*Assumptions!$B$15/3956,"")</f>
        <v/>
      </c>
      <c r="Y68" s="102" t="str">
        <f t="shared" si="7"/>
        <v/>
      </c>
      <c r="Z68" s="95" t="str">
        <f t="shared" si="8"/>
        <v/>
      </c>
      <c r="AA68" s="96" t="str">
        <f>IFERROR(Y68*Z68*Assumptions!$B$15/3956,"")</f>
        <v/>
      </c>
      <c r="AB68" s="100" t="str">
        <f t="shared" si="9"/>
        <v/>
      </c>
      <c r="AC68" s="95" t="str">
        <f t="shared" si="10"/>
        <v/>
      </c>
      <c r="AD68" s="96" t="str">
        <f>IFERROR(AB68*AC68*Assumptions!$B$15/3956,"")</f>
        <v/>
      </c>
      <c r="AE68" s="94" t="str">
        <f>IFERROR(
IF(P68&lt;=5,
(Assumptions!$W$8*(W68/P68)^2+(Assumptions!$X$8*(W68/P68))+Assumptions!$Y$8),
IF(P68&lt;=20,
(Assumptions!$W$9*(W68/P68)^2+(Assumptions!$X$9*(W68/P68))+Assumptions!$Y$9),
IF(P68&lt;=50,
(Assumptions!$W$10*(W68/P68)^2+(Assumptions!$X$10*(W68/P68))+Assumptions!$Y$10),
(Assumptions!$W$11*(W68/P68)^2+(Assumptions!$X$11+(W68/P68))+Assumptions!$Y$11)))),
"")</f>
        <v/>
      </c>
      <c r="AF68" s="99" t="str">
        <f t="shared" si="11"/>
        <v/>
      </c>
      <c r="AG68" s="95" t="str">
        <f>IFERROR(
IF(P68&lt;=5,
(Assumptions!$W$8*(AF68/P68)^2+(Assumptions!$X$8*(AF68/P68))+Assumptions!$Y$8),
IF(P68&lt;=20,
(Assumptions!$W$9*(AF68/P68)^2+(Assumptions!$X$9*(AF68/P68))+Assumptions!$Y$9),
IF(P68&lt;=50,
(Assumptions!$W$10*(AF68/P68)^2+(Assumptions!$X$10*(AF68/P68))+Assumptions!$Y$10),
(Assumptions!$W$11*(AF68/P68)^2+(Assumptions!$X$11+(AF68/P68))+Assumptions!$Y$11)))),
"")</f>
        <v/>
      </c>
      <c r="AH68" s="95" t="str">
        <f t="shared" si="12"/>
        <v/>
      </c>
      <c r="AI68" s="95" t="str">
        <f>IFERROR(
IF(P68&lt;=5,
(Assumptions!$W$8*(AH68/P68)^2+(Assumptions!$X$8*(AH68/P68))+Assumptions!$Y$8),
IF(P68&lt;=20,
(Assumptions!$W$9*(AH68/P68)^2+(Assumptions!$X$9*(AH68/P68))+Assumptions!$Y$9),
IF(P68&lt;=50,
(Assumptions!$W$10*(AH68/P68)^2+(Assumptions!$X$10*(AH68/P68))+Assumptions!$Y$10),
(Assumptions!$W$11*(AH68/P68)^2+(Assumptions!$X$11+(AH68/P68))+Assumptions!$Y$11)))),"")</f>
        <v/>
      </c>
      <c r="AJ68" s="95" t="str">
        <f t="shared" si="13"/>
        <v/>
      </c>
      <c r="AK68" s="96" t="str">
        <f>IFERROR(
IF(P68&lt;=5,
(Assumptions!$W$8*(AJ68/P68)^2+(Assumptions!$X$8*(AJ68/P68))+Assumptions!$Y$8),
IF(P68&lt;=20,
(Assumptions!$W$9*(AJ68/P68)^2+(Assumptions!$X$9*(AJ68/P68))+Assumptions!$Y$9),
IF(P68&lt;=50,
(Assumptions!$W$10*(AJ68/P68)^2+(Assumptions!$X$10*(AJ68/P68))+Assumptions!$Y$10),
(Assumptions!$W$11*(AJ68/P68)^2+(Assumptions!$X$11+(AJ68/P68))+Assumptions!$Y$11)))),
"")</f>
        <v/>
      </c>
      <c r="AL68" s="99" t="str">
        <f>IFERROR(
IF(C68="VTS",
IF(P68&gt;=AVERAGE(
INDEX(Assumptions!$I$38:$I$57,MATCH(P68,Assumptions!$I$38:$I$57,-1)),
INDEX(Assumptions!$I$38:$I$57,MATCH(P68,Assumptions!$I$38:$I$57,-1)+1)),
INDEX(Assumptions!$I$38:$I$57,MATCH(P68,Assumptions!$I$38:$I$57,-1)),
INDEX(Assumptions!$I$38:$I$57,MATCH(P68,Assumptions!$I$38:$I$57,-1)+1)),
IF(P68&gt;=AVERAGE(
INDEX(Assumptions!$I$13:$I$32,MATCH(P68,Assumptions!$I$13:$I$32,-1)),
INDEX(Assumptions!$I$13:$I$32,MATCH(P68,Assumptions!$I$13:$I$32,-1)+1)),
INDEX(Assumptions!$I$13:$I$32,MATCH(P68,Assumptions!$I$13:$I$32,-1)),
INDEX(Assumptions!$I$13:$I$32,MATCH(P68,Assumptions!$I$13:$I$32,-1)+1))),
"")</f>
        <v/>
      </c>
      <c r="AM68" s="95" t="str">
        <f>IFERROR(
IF(C68="VTS",
VLOOKUP(AL68,Assumptions!$I$38:$K$57,MATCH(R68,Assumptions!$I$37:$K$37,0),FALSE),
VLOOKUP(AL68,Assumptions!$I$13:$K$32,MATCH(R68,Assumptions!$I$12:$K$12,0),FALSE)),
"")</f>
        <v/>
      </c>
      <c r="AN68" s="95" t="str">
        <f t="shared" si="14"/>
        <v/>
      </c>
      <c r="AO68" s="95" t="str">
        <f>IFERROR(AN68*
(Assumptions!$S$7*(X68/(AR68*Assumptions!$AB$9/100)/P68)^3+
Assumptions!$S$8*(X68/(AR68*Assumptions!$AB$9/100)/P68)^2+
Assumptions!$S$9*(X68/(AR68*Assumptions!$AB$9/100)/P68)+
Assumptions!$S$10),"")</f>
        <v/>
      </c>
      <c r="AP68" s="95" t="str">
        <f>IFERROR(AN68*
(Assumptions!$S$7*(AA68/(AR68*Assumptions!$AB$8/100)/P68)^3+
Assumptions!$S$8*(AA68/(AR68*Assumptions!$AB$8/100)/P68)^2+
Assumptions!$S$9*(AA68/(AR68*Assumptions!$AB$8/100)/P68)+
Assumptions!$S$10),"")</f>
        <v/>
      </c>
      <c r="AQ68" s="95" t="str">
        <f>IFERROR(AN68*
(Assumptions!$S$7*(AD68/(AR68*Assumptions!$AB$10/100)/P68)^3+
Assumptions!$S$8*(AD68/(AR68*Assumptions!$AB$10/100)/P68)^2+
Assumptions!$S$9*(AD68/(AR68*Assumptions!$AB$10/100)/P68)+
Assumptions!$S$10),"")</f>
        <v/>
      </c>
      <c r="AR68" s="95" t="str">
        <f>IFERROR(
Assumptions!$AD$8*LN(U68)^2+
Assumptions!$AE$8*LN(T68)*LN(U68)+
Assumptions!$AF$8*LN(T68)^2+
Assumptions!$AG$8*LN(U68)+
Assumptions!$AH$8*LN(T68)-
(IF(S68=1800,
VLOOKUP(C68,Assumptions!$AA$13:$AC$17,3),
IF(S68=3600,
VLOOKUP(C68,Assumptions!$AA$18:$AC$22,3),
""))+Assumptions!$AI$8),
"")</f>
        <v/>
      </c>
      <c r="AS68" s="96" t="str">
        <f>IFERROR(
Assumptions!$D$11*(X68/(Assumptions!$AB$9*AR68/100)+AO68)+
Assumptions!$D$10*(AA68/(Assumptions!$AB$8*AR68/100)+AP68)+
Assumptions!$D$12*(AD68/(Assumptions!$AB$10*AR68/100)+AQ68),
"")</f>
        <v/>
      </c>
      <c r="AT68" s="76" t="str">
        <f>IFERROR(
(W68+AE68)*Assumptions!$F$11+
(AF68+AG68)*Assumptions!$F$8+
(AH68+AI68)*Assumptions!$F$9+
(AJ68+AK68)*Assumptions!$F$10,
"")</f>
        <v/>
      </c>
      <c r="AU68" s="77" t="str">
        <f t="shared" si="15"/>
        <v/>
      </c>
      <c r="AV68" s="68" t="str">
        <f t="shared" si="1"/>
        <v/>
      </c>
    </row>
    <row r="69" spans="1:48" x14ac:dyDescent="0.25">
      <c r="A69" s="264"/>
      <c r="B69" s="265"/>
      <c r="C69" s="265"/>
      <c r="D69" s="265"/>
      <c r="E69" s="266"/>
      <c r="F69" s="270"/>
      <c r="G69" s="271"/>
      <c r="H69" s="271"/>
      <c r="I69" s="272"/>
      <c r="J69" s="270"/>
      <c r="K69" s="271"/>
      <c r="L69" s="272"/>
      <c r="M69" s="270"/>
      <c r="N69" s="271"/>
      <c r="O69" s="272"/>
      <c r="P69" s="290"/>
      <c r="Q69" s="314"/>
      <c r="R69" s="51" t="str">
        <f t="shared" si="16"/>
        <v/>
      </c>
      <c r="S69" s="84" t="str">
        <f t="shared" si="2"/>
        <v/>
      </c>
      <c r="T69" s="93" t="str">
        <f t="shared" si="3"/>
        <v/>
      </c>
      <c r="U69" s="100" t="str">
        <f t="shared" si="4"/>
        <v/>
      </c>
      <c r="V69" s="95" t="str">
        <f t="shared" si="5"/>
        <v/>
      </c>
      <c r="W69" s="95" t="str">
        <f t="shared" si="6"/>
        <v/>
      </c>
      <c r="X69" s="96" t="str">
        <f>IFERROR(U69*V69*Assumptions!$B$15/3956,"")</f>
        <v/>
      </c>
      <c r="Y69" s="102" t="str">
        <f t="shared" si="7"/>
        <v/>
      </c>
      <c r="Z69" s="95" t="str">
        <f t="shared" si="8"/>
        <v/>
      </c>
      <c r="AA69" s="96" t="str">
        <f>IFERROR(Y69*Z69*Assumptions!$B$15/3956,"")</f>
        <v/>
      </c>
      <c r="AB69" s="100" t="str">
        <f t="shared" si="9"/>
        <v/>
      </c>
      <c r="AC69" s="95" t="str">
        <f t="shared" si="10"/>
        <v/>
      </c>
      <c r="AD69" s="96" t="str">
        <f>IFERROR(AB69*AC69*Assumptions!$B$15/3956,"")</f>
        <v/>
      </c>
      <c r="AE69" s="94" t="str">
        <f>IFERROR(
IF(P69&lt;=5,
(Assumptions!$W$8*(W69/P69)^2+(Assumptions!$X$8*(W69/P69))+Assumptions!$Y$8),
IF(P69&lt;=20,
(Assumptions!$W$9*(W69/P69)^2+(Assumptions!$X$9*(W69/P69))+Assumptions!$Y$9),
IF(P69&lt;=50,
(Assumptions!$W$10*(W69/P69)^2+(Assumptions!$X$10*(W69/P69))+Assumptions!$Y$10),
(Assumptions!$W$11*(W69/P69)^2+(Assumptions!$X$11+(W69/P69))+Assumptions!$Y$11)))),
"")</f>
        <v/>
      </c>
      <c r="AF69" s="99" t="str">
        <f t="shared" si="11"/>
        <v/>
      </c>
      <c r="AG69" s="95" t="str">
        <f>IFERROR(
IF(P69&lt;=5,
(Assumptions!$W$8*(AF69/P69)^2+(Assumptions!$X$8*(AF69/P69))+Assumptions!$Y$8),
IF(P69&lt;=20,
(Assumptions!$W$9*(AF69/P69)^2+(Assumptions!$X$9*(AF69/P69))+Assumptions!$Y$9),
IF(P69&lt;=50,
(Assumptions!$W$10*(AF69/P69)^2+(Assumptions!$X$10*(AF69/P69))+Assumptions!$Y$10),
(Assumptions!$W$11*(AF69/P69)^2+(Assumptions!$X$11+(AF69/P69))+Assumptions!$Y$11)))),
"")</f>
        <v/>
      </c>
      <c r="AH69" s="95" t="str">
        <f t="shared" si="12"/>
        <v/>
      </c>
      <c r="AI69" s="95" t="str">
        <f>IFERROR(
IF(P69&lt;=5,
(Assumptions!$W$8*(AH69/P69)^2+(Assumptions!$X$8*(AH69/P69))+Assumptions!$Y$8),
IF(P69&lt;=20,
(Assumptions!$W$9*(AH69/P69)^2+(Assumptions!$X$9*(AH69/P69))+Assumptions!$Y$9),
IF(P69&lt;=50,
(Assumptions!$W$10*(AH69/P69)^2+(Assumptions!$X$10*(AH69/P69))+Assumptions!$Y$10),
(Assumptions!$W$11*(AH69/P69)^2+(Assumptions!$X$11+(AH69/P69))+Assumptions!$Y$11)))),"")</f>
        <v/>
      </c>
      <c r="AJ69" s="95" t="str">
        <f t="shared" si="13"/>
        <v/>
      </c>
      <c r="AK69" s="96" t="str">
        <f>IFERROR(
IF(P69&lt;=5,
(Assumptions!$W$8*(AJ69/P69)^2+(Assumptions!$X$8*(AJ69/P69))+Assumptions!$Y$8),
IF(P69&lt;=20,
(Assumptions!$W$9*(AJ69/P69)^2+(Assumptions!$X$9*(AJ69/P69))+Assumptions!$Y$9),
IF(P69&lt;=50,
(Assumptions!$W$10*(AJ69/P69)^2+(Assumptions!$X$10*(AJ69/P69))+Assumptions!$Y$10),
(Assumptions!$W$11*(AJ69/P69)^2+(Assumptions!$X$11+(AJ69/P69))+Assumptions!$Y$11)))),
"")</f>
        <v/>
      </c>
      <c r="AL69" s="99" t="str">
        <f>IFERROR(
IF(C69="VTS",
IF(P69&gt;=AVERAGE(
INDEX(Assumptions!$I$38:$I$57,MATCH(P69,Assumptions!$I$38:$I$57,-1)),
INDEX(Assumptions!$I$38:$I$57,MATCH(P69,Assumptions!$I$38:$I$57,-1)+1)),
INDEX(Assumptions!$I$38:$I$57,MATCH(P69,Assumptions!$I$38:$I$57,-1)),
INDEX(Assumptions!$I$38:$I$57,MATCH(P69,Assumptions!$I$38:$I$57,-1)+1)),
IF(P69&gt;=AVERAGE(
INDEX(Assumptions!$I$13:$I$32,MATCH(P69,Assumptions!$I$13:$I$32,-1)),
INDEX(Assumptions!$I$13:$I$32,MATCH(P69,Assumptions!$I$13:$I$32,-1)+1)),
INDEX(Assumptions!$I$13:$I$32,MATCH(P69,Assumptions!$I$13:$I$32,-1)),
INDEX(Assumptions!$I$13:$I$32,MATCH(P69,Assumptions!$I$13:$I$32,-1)+1))),
"")</f>
        <v/>
      </c>
      <c r="AM69" s="95" t="str">
        <f>IFERROR(
IF(C69="VTS",
VLOOKUP(AL69,Assumptions!$I$38:$K$57,MATCH(R69,Assumptions!$I$37:$K$37,0),FALSE),
VLOOKUP(AL69,Assumptions!$I$13:$K$32,MATCH(R69,Assumptions!$I$12:$K$12,0),FALSE)),
"")</f>
        <v/>
      </c>
      <c r="AN69" s="95" t="str">
        <f t="shared" si="14"/>
        <v/>
      </c>
      <c r="AO69" s="95" t="str">
        <f>IFERROR(AN69*
(Assumptions!$S$7*(X69/(AR69*Assumptions!$AB$9/100)/P69)^3+
Assumptions!$S$8*(X69/(AR69*Assumptions!$AB$9/100)/P69)^2+
Assumptions!$S$9*(X69/(AR69*Assumptions!$AB$9/100)/P69)+
Assumptions!$S$10),"")</f>
        <v/>
      </c>
      <c r="AP69" s="95" t="str">
        <f>IFERROR(AN69*
(Assumptions!$S$7*(AA69/(AR69*Assumptions!$AB$8/100)/P69)^3+
Assumptions!$S$8*(AA69/(AR69*Assumptions!$AB$8/100)/P69)^2+
Assumptions!$S$9*(AA69/(AR69*Assumptions!$AB$8/100)/P69)+
Assumptions!$S$10),"")</f>
        <v/>
      </c>
      <c r="AQ69" s="95" t="str">
        <f>IFERROR(AN69*
(Assumptions!$S$7*(AD69/(AR69*Assumptions!$AB$10/100)/P69)^3+
Assumptions!$S$8*(AD69/(AR69*Assumptions!$AB$10/100)/P69)^2+
Assumptions!$S$9*(AD69/(AR69*Assumptions!$AB$10/100)/P69)+
Assumptions!$S$10),"")</f>
        <v/>
      </c>
      <c r="AR69" s="95" t="str">
        <f>IFERROR(
Assumptions!$AD$8*LN(U69)^2+
Assumptions!$AE$8*LN(T69)*LN(U69)+
Assumptions!$AF$8*LN(T69)^2+
Assumptions!$AG$8*LN(U69)+
Assumptions!$AH$8*LN(T69)-
(IF(S69=1800,
VLOOKUP(C69,Assumptions!$AA$13:$AC$17,3),
IF(S69=3600,
VLOOKUP(C69,Assumptions!$AA$18:$AC$22,3),
""))+Assumptions!$AI$8),
"")</f>
        <v/>
      </c>
      <c r="AS69" s="96" t="str">
        <f>IFERROR(
Assumptions!$D$11*(X69/(Assumptions!$AB$9*AR69/100)+AO69)+
Assumptions!$D$10*(AA69/(Assumptions!$AB$8*AR69/100)+AP69)+
Assumptions!$D$12*(AD69/(Assumptions!$AB$10*AR69/100)+AQ69),
"")</f>
        <v/>
      </c>
      <c r="AT69" s="76" t="str">
        <f>IFERROR(
(W69+AE69)*Assumptions!$F$11+
(AF69+AG69)*Assumptions!$F$8+
(AH69+AI69)*Assumptions!$F$9+
(AJ69+AK69)*Assumptions!$F$10,
"")</f>
        <v/>
      </c>
      <c r="AU69" s="77" t="str">
        <f t="shared" si="15"/>
        <v/>
      </c>
      <c r="AV69" s="68" t="str">
        <f t="shared" si="1"/>
        <v/>
      </c>
    </row>
    <row r="70" spans="1:48" x14ac:dyDescent="0.25">
      <c r="A70" s="264"/>
      <c r="B70" s="265"/>
      <c r="C70" s="265"/>
      <c r="D70" s="265"/>
      <c r="E70" s="266"/>
      <c r="F70" s="270"/>
      <c r="G70" s="271"/>
      <c r="H70" s="271"/>
      <c r="I70" s="272"/>
      <c r="J70" s="270"/>
      <c r="K70" s="271"/>
      <c r="L70" s="272"/>
      <c r="M70" s="270"/>
      <c r="N70" s="271"/>
      <c r="O70" s="272"/>
      <c r="P70" s="290"/>
      <c r="Q70" s="314"/>
      <c r="R70" s="51" t="str">
        <f t="shared" si="16"/>
        <v/>
      </c>
      <c r="S70" s="84" t="str">
        <f t="shared" si="2"/>
        <v/>
      </c>
      <c r="T70" s="93" t="str">
        <f t="shared" si="3"/>
        <v/>
      </c>
      <c r="U70" s="100" t="str">
        <f t="shared" si="4"/>
        <v/>
      </c>
      <c r="V70" s="95" t="str">
        <f t="shared" si="5"/>
        <v/>
      </c>
      <c r="W70" s="95" t="str">
        <f t="shared" si="6"/>
        <v/>
      </c>
      <c r="X70" s="96" t="str">
        <f>IFERROR(U70*V70*Assumptions!$B$15/3956,"")</f>
        <v/>
      </c>
      <c r="Y70" s="102" t="str">
        <f t="shared" si="7"/>
        <v/>
      </c>
      <c r="Z70" s="95" t="str">
        <f t="shared" si="8"/>
        <v/>
      </c>
      <c r="AA70" s="96" t="str">
        <f>IFERROR(Y70*Z70*Assumptions!$B$15/3956,"")</f>
        <v/>
      </c>
      <c r="AB70" s="100" t="str">
        <f t="shared" si="9"/>
        <v/>
      </c>
      <c r="AC70" s="95" t="str">
        <f t="shared" si="10"/>
        <v/>
      </c>
      <c r="AD70" s="96" t="str">
        <f>IFERROR(AB70*AC70*Assumptions!$B$15/3956,"")</f>
        <v/>
      </c>
      <c r="AE70" s="94" t="str">
        <f>IFERROR(
IF(P70&lt;=5,
(Assumptions!$W$8*(W70/P70)^2+(Assumptions!$X$8*(W70/P70))+Assumptions!$Y$8),
IF(P70&lt;=20,
(Assumptions!$W$9*(W70/P70)^2+(Assumptions!$X$9*(W70/P70))+Assumptions!$Y$9),
IF(P70&lt;=50,
(Assumptions!$W$10*(W70/P70)^2+(Assumptions!$X$10*(W70/P70))+Assumptions!$Y$10),
(Assumptions!$W$11*(W70/P70)^2+(Assumptions!$X$11+(W70/P70))+Assumptions!$Y$11)))),
"")</f>
        <v/>
      </c>
      <c r="AF70" s="99" t="str">
        <f t="shared" si="11"/>
        <v/>
      </c>
      <c r="AG70" s="95" t="str">
        <f>IFERROR(
IF(P70&lt;=5,
(Assumptions!$W$8*(AF70/P70)^2+(Assumptions!$X$8*(AF70/P70))+Assumptions!$Y$8),
IF(P70&lt;=20,
(Assumptions!$W$9*(AF70/P70)^2+(Assumptions!$X$9*(AF70/P70))+Assumptions!$Y$9),
IF(P70&lt;=50,
(Assumptions!$W$10*(AF70/P70)^2+(Assumptions!$X$10*(AF70/P70))+Assumptions!$Y$10),
(Assumptions!$W$11*(AF70/P70)^2+(Assumptions!$X$11+(AF70/P70))+Assumptions!$Y$11)))),
"")</f>
        <v/>
      </c>
      <c r="AH70" s="95" t="str">
        <f t="shared" si="12"/>
        <v/>
      </c>
      <c r="AI70" s="95" t="str">
        <f>IFERROR(
IF(P70&lt;=5,
(Assumptions!$W$8*(AH70/P70)^2+(Assumptions!$X$8*(AH70/P70))+Assumptions!$Y$8),
IF(P70&lt;=20,
(Assumptions!$W$9*(AH70/P70)^2+(Assumptions!$X$9*(AH70/P70))+Assumptions!$Y$9),
IF(P70&lt;=50,
(Assumptions!$W$10*(AH70/P70)^2+(Assumptions!$X$10*(AH70/P70))+Assumptions!$Y$10),
(Assumptions!$W$11*(AH70/P70)^2+(Assumptions!$X$11+(AH70/P70))+Assumptions!$Y$11)))),"")</f>
        <v/>
      </c>
      <c r="AJ70" s="95" t="str">
        <f t="shared" si="13"/>
        <v/>
      </c>
      <c r="AK70" s="96" t="str">
        <f>IFERROR(
IF(P70&lt;=5,
(Assumptions!$W$8*(AJ70/P70)^2+(Assumptions!$X$8*(AJ70/P70))+Assumptions!$Y$8),
IF(P70&lt;=20,
(Assumptions!$W$9*(AJ70/P70)^2+(Assumptions!$X$9*(AJ70/P70))+Assumptions!$Y$9),
IF(P70&lt;=50,
(Assumptions!$W$10*(AJ70/P70)^2+(Assumptions!$X$10*(AJ70/P70))+Assumptions!$Y$10),
(Assumptions!$W$11*(AJ70/P70)^2+(Assumptions!$X$11+(AJ70/P70))+Assumptions!$Y$11)))),
"")</f>
        <v/>
      </c>
      <c r="AL70" s="99" t="str">
        <f>IFERROR(
IF(C70="VTS",
IF(P70&gt;=AVERAGE(
INDEX(Assumptions!$I$38:$I$57,MATCH(P70,Assumptions!$I$38:$I$57,-1)),
INDEX(Assumptions!$I$38:$I$57,MATCH(P70,Assumptions!$I$38:$I$57,-1)+1)),
INDEX(Assumptions!$I$38:$I$57,MATCH(P70,Assumptions!$I$38:$I$57,-1)),
INDEX(Assumptions!$I$38:$I$57,MATCH(P70,Assumptions!$I$38:$I$57,-1)+1)),
IF(P70&gt;=AVERAGE(
INDEX(Assumptions!$I$13:$I$32,MATCH(P70,Assumptions!$I$13:$I$32,-1)),
INDEX(Assumptions!$I$13:$I$32,MATCH(P70,Assumptions!$I$13:$I$32,-1)+1)),
INDEX(Assumptions!$I$13:$I$32,MATCH(P70,Assumptions!$I$13:$I$32,-1)),
INDEX(Assumptions!$I$13:$I$32,MATCH(P70,Assumptions!$I$13:$I$32,-1)+1))),
"")</f>
        <v/>
      </c>
      <c r="AM70" s="95" t="str">
        <f>IFERROR(
IF(C70="VTS",
VLOOKUP(AL70,Assumptions!$I$38:$K$57,MATCH(R70,Assumptions!$I$37:$K$37,0),FALSE),
VLOOKUP(AL70,Assumptions!$I$13:$K$32,MATCH(R70,Assumptions!$I$12:$K$12,0),FALSE)),
"")</f>
        <v/>
      </c>
      <c r="AN70" s="95" t="str">
        <f t="shared" si="14"/>
        <v/>
      </c>
      <c r="AO70" s="95" t="str">
        <f>IFERROR(AN70*
(Assumptions!$S$7*(X70/(AR70*Assumptions!$AB$9/100)/P70)^3+
Assumptions!$S$8*(X70/(AR70*Assumptions!$AB$9/100)/P70)^2+
Assumptions!$S$9*(X70/(AR70*Assumptions!$AB$9/100)/P70)+
Assumptions!$S$10),"")</f>
        <v/>
      </c>
      <c r="AP70" s="95" t="str">
        <f>IFERROR(AN70*
(Assumptions!$S$7*(AA70/(AR70*Assumptions!$AB$8/100)/P70)^3+
Assumptions!$S$8*(AA70/(AR70*Assumptions!$AB$8/100)/P70)^2+
Assumptions!$S$9*(AA70/(AR70*Assumptions!$AB$8/100)/P70)+
Assumptions!$S$10),"")</f>
        <v/>
      </c>
      <c r="AQ70" s="95" t="str">
        <f>IFERROR(AN70*
(Assumptions!$S$7*(AD70/(AR70*Assumptions!$AB$10/100)/P70)^3+
Assumptions!$S$8*(AD70/(AR70*Assumptions!$AB$10/100)/P70)^2+
Assumptions!$S$9*(AD70/(AR70*Assumptions!$AB$10/100)/P70)+
Assumptions!$S$10),"")</f>
        <v/>
      </c>
      <c r="AR70" s="95" t="str">
        <f>IFERROR(
Assumptions!$AD$8*LN(U70)^2+
Assumptions!$AE$8*LN(T70)*LN(U70)+
Assumptions!$AF$8*LN(T70)^2+
Assumptions!$AG$8*LN(U70)+
Assumptions!$AH$8*LN(T70)-
(IF(S70=1800,
VLOOKUP(C70,Assumptions!$AA$13:$AC$17,3),
IF(S70=3600,
VLOOKUP(C70,Assumptions!$AA$18:$AC$22,3),
""))+Assumptions!$AI$8),
"")</f>
        <v/>
      </c>
      <c r="AS70" s="96" t="str">
        <f>IFERROR(
Assumptions!$D$11*(X70/(Assumptions!$AB$9*AR70/100)+AO70)+
Assumptions!$D$10*(AA70/(Assumptions!$AB$8*AR70/100)+AP70)+
Assumptions!$D$12*(AD70/(Assumptions!$AB$10*AR70/100)+AQ70),
"")</f>
        <v/>
      </c>
      <c r="AT70" s="76" t="str">
        <f>IFERROR(
(W70+AE70)*Assumptions!$F$11+
(AF70+AG70)*Assumptions!$F$8+
(AH70+AI70)*Assumptions!$F$9+
(AJ70+AK70)*Assumptions!$F$10,
"")</f>
        <v/>
      </c>
      <c r="AU70" s="77" t="str">
        <f t="shared" si="15"/>
        <v/>
      </c>
      <c r="AV70" s="68" t="str">
        <f t="shared" si="1"/>
        <v/>
      </c>
    </row>
    <row r="71" spans="1:48" x14ac:dyDescent="0.25">
      <c r="A71" s="264"/>
      <c r="B71" s="265"/>
      <c r="C71" s="265"/>
      <c r="D71" s="265"/>
      <c r="E71" s="266"/>
      <c r="F71" s="270"/>
      <c r="G71" s="271"/>
      <c r="H71" s="271"/>
      <c r="I71" s="272"/>
      <c r="J71" s="270"/>
      <c r="K71" s="271"/>
      <c r="L71" s="272"/>
      <c r="M71" s="270"/>
      <c r="N71" s="271"/>
      <c r="O71" s="272"/>
      <c r="P71" s="290"/>
      <c r="Q71" s="314"/>
      <c r="R71" s="51" t="str">
        <f t="shared" si="16"/>
        <v/>
      </c>
      <c r="S71" s="84" t="str">
        <f t="shared" si="2"/>
        <v/>
      </c>
      <c r="T71" s="93" t="str">
        <f t="shared" si="3"/>
        <v/>
      </c>
      <c r="U71" s="100" t="str">
        <f t="shared" si="4"/>
        <v/>
      </c>
      <c r="V71" s="95" t="str">
        <f t="shared" si="5"/>
        <v/>
      </c>
      <c r="W71" s="95" t="str">
        <f t="shared" si="6"/>
        <v/>
      </c>
      <c r="X71" s="96" t="str">
        <f>IFERROR(U71*V71*Assumptions!$B$15/3956,"")</f>
        <v/>
      </c>
      <c r="Y71" s="102" t="str">
        <f t="shared" si="7"/>
        <v/>
      </c>
      <c r="Z71" s="95" t="str">
        <f t="shared" si="8"/>
        <v/>
      </c>
      <c r="AA71" s="96" t="str">
        <f>IFERROR(Y71*Z71*Assumptions!$B$15/3956,"")</f>
        <v/>
      </c>
      <c r="AB71" s="100" t="str">
        <f t="shared" si="9"/>
        <v/>
      </c>
      <c r="AC71" s="95" t="str">
        <f t="shared" si="10"/>
        <v/>
      </c>
      <c r="AD71" s="96" t="str">
        <f>IFERROR(AB71*AC71*Assumptions!$B$15/3956,"")</f>
        <v/>
      </c>
      <c r="AE71" s="94" t="str">
        <f>IFERROR(
IF(P71&lt;=5,
(Assumptions!$W$8*(W71/P71)^2+(Assumptions!$X$8*(W71/P71))+Assumptions!$Y$8),
IF(P71&lt;=20,
(Assumptions!$W$9*(W71/P71)^2+(Assumptions!$X$9*(W71/P71))+Assumptions!$Y$9),
IF(P71&lt;=50,
(Assumptions!$W$10*(W71/P71)^2+(Assumptions!$X$10*(W71/P71))+Assumptions!$Y$10),
(Assumptions!$W$11*(W71/P71)^2+(Assumptions!$X$11+(W71/P71))+Assumptions!$Y$11)))),
"")</f>
        <v/>
      </c>
      <c r="AF71" s="99" t="str">
        <f t="shared" si="11"/>
        <v/>
      </c>
      <c r="AG71" s="95" t="str">
        <f>IFERROR(
IF(P71&lt;=5,
(Assumptions!$W$8*(AF71/P71)^2+(Assumptions!$X$8*(AF71/P71))+Assumptions!$Y$8),
IF(P71&lt;=20,
(Assumptions!$W$9*(AF71/P71)^2+(Assumptions!$X$9*(AF71/P71))+Assumptions!$Y$9),
IF(P71&lt;=50,
(Assumptions!$W$10*(AF71/P71)^2+(Assumptions!$X$10*(AF71/P71))+Assumptions!$Y$10),
(Assumptions!$W$11*(AF71/P71)^2+(Assumptions!$X$11+(AF71/P71))+Assumptions!$Y$11)))),
"")</f>
        <v/>
      </c>
      <c r="AH71" s="95" t="str">
        <f t="shared" si="12"/>
        <v/>
      </c>
      <c r="AI71" s="95" t="str">
        <f>IFERROR(
IF(P71&lt;=5,
(Assumptions!$W$8*(AH71/P71)^2+(Assumptions!$X$8*(AH71/P71))+Assumptions!$Y$8),
IF(P71&lt;=20,
(Assumptions!$W$9*(AH71/P71)^2+(Assumptions!$X$9*(AH71/P71))+Assumptions!$Y$9),
IF(P71&lt;=50,
(Assumptions!$W$10*(AH71/P71)^2+(Assumptions!$X$10*(AH71/P71))+Assumptions!$Y$10),
(Assumptions!$W$11*(AH71/P71)^2+(Assumptions!$X$11+(AH71/P71))+Assumptions!$Y$11)))),"")</f>
        <v/>
      </c>
      <c r="AJ71" s="95" t="str">
        <f t="shared" si="13"/>
        <v/>
      </c>
      <c r="AK71" s="96" t="str">
        <f>IFERROR(
IF(P71&lt;=5,
(Assumptions!$W$8*(AJ71/P71)^2+(Assumptions!$X$8*(AJ71/P71))+Assumptions!$Y$8),
IF(P71&lt;=20,
(Assumptions!$W$9*(AJ71/P71)^2+(Assumptions!$X$9*(AJ71/P71))+Assumptions!$Y$9),
IF(P71&lt;=50,
(Assumptions!$W$10*(AJ71/P71)^2+(Assumptions!$X$10*(AJ71/P71))+Assumptions!$Y$10),
(Assumptions!$W$11*(AJ71/P71)^2+(Assumptions!$X$11+(AJ71/P71))+Assumptions!$Y$11)))),
"")</f>
        <v/>
      </c>
      <c r="AL71" s="99" t="str">
        <f>IFERROR(
IF(C71="VTS",
IF(P71&gt;=AVERAGE(
INDEX(Assumptions!$I$38:$I$57,MATCH(P71,Assumptions!$I$38:$I$57,-1)),
INDEX(Assumptions!$I$38:$I$57,MATCH(P71,Assumptions!$I$38:$I$57,-1)+1)),
INDEX(Assumptions!$I$38:$I$57,MATCH(P71,Assumptions!$I$38:$I$57,-1)),
INDEX(Assumptions!$I$38:$I$57,MATCH(P71,Assumptions!$I$38:$I$57,-1)+1)),
IF(P71&gt;=AVERAGE(
INDEX(Assumptions!$I$13:$I$32,MATCH(P71,Assumptions!$I$13:$I$32,-1)),
INDEX(Assumptions!$I$13:$I$32,MATCH(P71,Assumptions!$I$13:$I$32,-1)+1)),
INDEX(Assumptions!$I$13:$I$32,MATCH(P71,Assumptions!$I$13:$I$32,-1)),
INDEX(Assumptions!$I$13:$I$32,MATCH(P71,Assumptions!$I$13:$I$32,-1)+1))),
"")</f>
        <v/>
      </c>
      <c r="AM71" s="95" t="str">
        <f>IFERROR(
IF(C71="VTS",
VLOOKUP(AL71,Assumptions!$I$38:$K$57,MATCH(R71,Assumptions!$I$37:$K$37,0),FALSE),
VLOOKUP(AL71,Assumptions!$I$13:$K$32,MATCH(R71,Assumptions!$I$12:$K$12,0),FALSE)),
"")</f>
        <v/>
      </c>
      <c r="AN71" s="95" t="str">
        <f t="shared" si="14"/>
        <v/>
      </c>
      <c r="AO71" s="95" t="str">
        <f>IFERROR(AN71*
(Assumptions!$S$7*(X71/(AR71*Assumptions!$AB$9/100)/P71)^3+
Assumptions!$S$8*(X71/(AR71*Assumptions!$AB$9/100)/P71)^2+
Assumptions!$S$9*(X71/(AR71*Assumptions!$AB$9/100)/P71)+
Assumptions!$S$10),"")</f>
        <v/>
      </c>
      <c r="AP71" s="95" t="str">
        <f>IFERROR(AN71*
(Assumptions!$S$7*(AA71/(AR71*Assumptions!$AB$8/100)/P71)^3+
Assumptions!$S$8*(AA71/(AR71*Assumptions!$AB$8/100)/P71)^2+
Assumptions!$S$9*(AA71/(AR71*Assumptions!$AB$8/100)/P71)+
Assumptions!$S$10),"")</f>
        <v/>
      </c>
      <c r="AQ71" s="95" t="str">
        <f>IFERROR(AN71*
(Assumptions!$S$7*(AD71/(AR71*Assumptions!$AB$10/100)/P71)^3+
Assumptions!$S$8*(AD71/(AR71*Assumptions!$AB$10/100)/P71)^2+
Assumptions!$S$9*(AD71/(AR71*Assumptions!$AB$10/100)/P71)+
Assumptions!$S$10),"")</f>
        <v/>
      </c>
      <c r="AR71" s="95" t="str">
        <f>IFERROR(
Assumptions!$AD$8*LN(U71)^2+
Assumptions!$AE$8*LN(T71)*LN(U71)+
Assumptions!$AF$8*LN(T71)^2+
Assumptions!$AG$8*LN(U71)+
Assumptions!$AH$8*LN(T71)-
(IF(S71=1800,
VLOOKUP(C71,Assumptions!$AA$13:$AC$17,3),
IF(S71=3600,
VLOOKUP(C71,Assumptions!$AA$18:$AC$22,3),
""))+Assumptions!$AI$8),
"")</f>
        <v/>
      </c>
      <c r="AS71" s="96" t="str">
        <f>IFERROR(
Assumptions!$D$11*(X71/(Assumptions!$AB$9*AR71/100)+AO71)+
Assumptions!$D$10*(AA71/(Assumptions!$AB$8*AR71/100)+AP71)+
Assumptions!$D$12*(AD71/(Assumptions!$AB$10*AR71/100)+AQ71),
"")</f>
        <v/>
      </c>
      <c r="AT71" s="76" t="str">
        <f>IFERROR(
(W71+AE71)*Assumptions!$F$11+
(AF71+AG71)*Assumptions!$F$8+
(AH71+AI71)*Assumptions!$F$9+
(AJ71+AK71)*Assumptions!$F$10,
"")</f>
        <v/>
      </c>
      <c r="AU71" s="77" t="str">
        <f t="shared" si="15"/>
        <v/>
      </c>
      <c r="AV71" s="68" t="str">
        <f t="shared" si="1"/>
        <v/>
      </c>
    </row>
    <row r="72" spans="1:48" x14ac:dyDescent="0.25">
      <c r="A72" s="264"/>
      <c r="B72" s="265"/>
      <c r="C72" s="265"/>
      <c r="D72" s="265"/>
      <c r="E72" s="266"/>
      <c r="F72" s="270"/>
      <c r="G72" s="271"/>
      <c r="H72" s="271"/>
      <c r="I72" s="272"/>
      <c r="J72" s="270"/>
      <c r="K72" s="271"/>
      <c r="L72" s="272"/>
      <c r="M72" s="270"/>
      <c r="N72" s="271"/>
      <c r="O72" s="272"/>
      <c r="P72" s="290"/>
      <c r="Q72" s="314"/>
      <c r="R72" s="51" t="str">
        <f t="shared" si="16"/>
        <v/>
      </c>
      <c r="S72" s="84" t="str">
        <f t="shared" si="2"/>
        <v/>
      </c>
      <c r="T72" s="93" t="str">
        <f t="shared" si="3"/>
        <v/>
      </c>
      <c r="U72" s="100" t="str">
        <f t="shared" si="4"/>
        <v/>
      </c>
      <c r="V72" s="95" t="str">
        <f t="shared" si="5"/>
        <v/>
      </c>
      <c r="W72" s="95" t="str">
        <f t="shared" si="6"/>
        <v/>
      </c>
      <c r="X72" s="96" t="str">
        <f>IFERROR(U72*V72*Assumptions!$B$15/3956,"")</f>
        <v/>
      </c>
      <c r="Y72" s="102" t="str">
        <f t="shared" si="7"/>
        <v/>
      </c>
      <c r="Z72" s="95" t="str">
        <f t="shared" si="8"/>
        <v/>
      </c>
      <c r="AA72" s="96" t="str">
        <f>IFERROR(Y72*Z72*Assumptions!$B$15/3956,"")</f>
        <v/>
      </c>
      <c r="AB72" s="100" t="str">
        <f t="shared" si="9"/>
        <v/>
      </c>
      <c r="AC72" s="95" t="str">
        <f t="shared" si="10"/>
        <v/>
      </c>
      <c r="AD72" s="96" t="str">
        <f>IFERROR(AB72*AC72*Assumptions!$B$15/3956,"")</f>
        <v/>
      </c>
      <c r="AE72" s="94" t="str">
        <f>IFERROR(
IF(P72&lt;=5,
(Assumptions!$W$8*(W72/P72)^2+(Assumptions!$X$8*(W72/P72))+Assumptions!$Y$8),
IF(P72&lt;=20,
(Assumptions!$W$9*(W72/P72)^2+(Assumptions!$X$9*(W72/P72))+Assumptions!$Y$9),
IF(P72&lt;=50,
(Assumptions!$W$10*(W72/P72)^2+(Assumptions!$X$10*(W72/P72))+Assumptions!$Y$10),
(Assumptions!$W$11*(W72/P72)^2+(Assumptions!$X$11+(W72/P72))+Assumptions!$Y$11)))),
"")</f>
        <v/>
      </c>
      <c r="AF72" s="99" t="str">
        <f t="shared" si="11"/>
        <v/>
      </c>
      <c r="AG72" s="95" t="str">
        <f>IFERROR(
IF(P72&lt;=5,
(Assumptions!$W$8*(AF72/P72)^2+(Assumptions!$X$8*(AF72/P72))+Assumptions!$Y$8),
IF(P72&lt;=20,
(Assumptions!$W$9*(AF72/P72)^2+(Assumptions!$X$9*(AF72/P72))+Assumptions!$Y$9),
IF(P72&lt;=50,
(Assumptions!$W$10*(AF72/P72)^2+(Assumptions!$X$10*(AF72/P72))+Assumptions!$Y$10),
(Assumptions!$W$11*(AF72/P72)^2+(Assumptions!$X$11+(AF72/P72))+Assumptions!$Y$11)))),
"")</f>
        <v/>
      </c>
      <c r="AH72" s="95" t="str">
        <f t="shared" si="12"/>
        <v/>
      </c>
      <c r="AI72" s="95" t="str">
        <f>IFERROR(
IF(P72&lt;=5,
(Assumptions!$W$8*(AH72/P72)^2+(Assumptions!$X$8*(AH72/P72))+Assumptions!$Y$8),
IF(P72&lt;=20,
(Assumptions!$W$9*(AH72/P72)^2+(Assumptions!$X$9*(AH72/P72))+Assumptions!$Y$9),
IF(P72&lt;=50,
(Assumptions!$W$10*(AH72/P72)^2+(Assumptions!$X$10*(AH72/P72))+Assumptions!$Y$10),
(Assumptions!$W$11*(AH72/P72)^2+(Assumptions!$X$11+(AH72/P72))+Assumptions!$Y$11)))),"")</f>
        <v/>
      </c>
      <c r="AJ72" s="95" t="str">
        <f t="shared" si="13"/>
        <v/>
      </c>
      <c r="AK72" s="96" t="str">
        <f>IFERROR(
IF(P72&lt;=5,
(Assumptions!$W$8*(AJ72/P72)^2+(Assumptions!$X$8*(AJ72/P72))+Assumptions!$Y$8),
IF(P72&lt;=20,
(Assumptions!$W$9*(AJ72/P72)^2+(Assumptions!$X$9*(AJ72/P72))+Assumptions!$Y$9),
IF(P72&lt;=50,
(Assumptions!$W$10*(AJ72/P72)^2+(Assumptions!$X$10*(AJ72/P72))+Assumptions!$Y$10),
(Assumptions!$W$11*(AJ72/P72)^2+(Assumptions!$X$11+(AJ72/P72))+Assumptions!$Y$11)))),
"")</f>
        <v/>
      </c>
      <c r="AL72" s="99" t="str">
        <f>IFERROR(
IF(C72="VTS",
IF(P72&gt;=AVERAGE(
INDEX(Assumptions!$I$38:$I$57,MATCH(P72,Assumptions!$I$38:$I$57,-1)),
INDEX(Assumptions!$I$38:$I$57,MATCH(P72,Assumptions!$I$38:$I$57,-1)+1)),
INDEX(Assumptions!$I$38:$I$57,MATCH(P72,Assumptions!$I$38:$I$57,-1)),
INDEX(Assumptions!$I$38:$I$57,MATCH(P72,Assumptions!$I$38:$I$57,-1)+1)),
IF(P72&gt;=AVERAGE(
INDEX(Assumptions!$I$13:$I$32,MATCH(P72,Assumptions!$I$13:$I$32,-1)),
INDEX(Assumptions!$I$13:$I$32,MATCH(P72,Assumptions!$I$13:$I$32,-1)+1)),
INDEX(Assumptions!$I$13:$I$32,MATCH(P72,Assumptions!$I$13:$I$32,-1)),
INDEX(Assumptions!$I$13:$I$32,MATCH(P72,Assumptions!$I$13:$I$32,-1)+1))),
"")</f>
        <v/>
      </c>
      <c r="AM72" s="95" t="str">
        <f>IFERROR(
IF(C72="VTS",
VLOOKUP(AL72,Assumptions!$I$38:$K$57,MATCH(R72,Assumptions!$I$37:$K$37,0),FALSE),
VLOOKUP(AL72,Assumptions!$I$13:$K$32,MATCH(R72,Assumptions!$I$12:$K$12,0),FALSE)),
"")</f>
        <v/>
      </c>
      <c r="AN72" s="95" t="str">
        <f t="shared" si="14"/>
        <v/>
      </c>
      <c r="AO72" s="95" t="str">
        <f>IFERROR(AN72*
(Assumptions!$S$7*(X72/(AR72*Assumptions!$AB$9/100)/P72)^3+
Assumptions!$S$8*(X72/(AR72*Assumptions!$AB$9/100)/P72)^2+
Assumptions!$S$9*(X72/(AR72*Assumptions!$AB$9/100)/P72)+
Assumptions!$S$10),"")</f>
        <v/>
      </c>
      <c r="AP72" s="95" t="str">
        <f>IFERROR(AN72*
(Assumptions!$S$7*(AA72/(AR72*Assumptions!$AB$8/100)/P72)^3+
Assumptions!$S$8*(AA72/(AR72*Assumptions!$AB$8/100)/P72)^2+
Assumptions!$S$9*(AA72/(AR72*Assumptions!$AB$8/100)/P72)+
Assumptions!$S$10),"")</f>
        <v/>
      </c>
      <c r="AQ72" s="95" t="str">
        <f>IFERROR(AN72*
(Assumptions!$S$7*(AD72/(AR72*Assumptions!$AB$10/100)/P72)^3+
Assumptions!$S$8*(AD72/(AR72*Assumptions!$AB$10/100)/P72)^2+
Assumptions!$S$9*(AD72/(AR72*Assumptions!$AB$10/100)/P72)+
Assumptions!$S$10),"")</f>
        <v/>
      </c>
      <c r="AR72" s="95" t="str">
        <f>IFERROR(
Assumptions!$AD$8*LN(U72)^2+
Assumptions!$AE$8*LN(T72)*LN(U72)+
Assumptions!$AF$8*LN(T72)^2+
Assumptions!$AG$8*LN(U72)+
Assumptions!$AH$8*LN(T72)-
(IF(S72=1800,
VLOOKUP(C72,Assumptions!$AA$13:$AC$17,3),
IF(S72=3600,
VLOOKUP(C72,Assumptions!$AA$18:$AC$22,3),
""))+Assumptions!$AI$8),
"")</f>
        <v/>
      </c>
      <c r="AS72" s="96" t="str">
        <f>IFERROR(
Assumptions!$D$11*(X72/(Assumptions!$AB$9*AR72/100)+AO72)+
Assumptions!$D$10*(AA72/(Assumptions!$AB$8*AR72/100)+AP72)+
Assumptions!$D$12*(AD72/(Assumptions!$AB$10*AR72/100)+AQ72),
"")</f>
        <v/>
      </c>
      <c r="AT72" s="76" t="str">
        <f>IFERROR(
(W72+AE72)*Assumptions!$F$11+
(AF72+AG72)*Assumptions!$F$8+
(AH72+AI72)*Assumptions!$F$9+
(AJ72+AK72)*Assumptions!$F$10,
"")</f>
        <v/>
      </c>
      <c r="AU72" s="77" t="str">
        <f t="shared" si="15"/>
        <v/>
      </c>
      <c r="AV72" s="68" t="str">
        <f t="shared" si="1"/>
        <v/>
      </c>
    </row>
    <row r="73" spans="1:48" x14ac:dyDescent="0.25">
      <c r="A73" s="264"/>
      <c r="B73" s="265"/>
      <c r="C73" s="265"/>
      <c r="D73" s="265"/>
      <c r="E73" s="266"/>
      <c r="F73" s="270"/>
      <c r="G73" s="271"/>
      <c r="H73" s="271"/>
      <c r="I73" s="272"/>
      <c r="J73" s="270"/>
      <c r="K73" s="271"/>
      <c r="L73" s="272"/>
      <c r="M73" s="270"/>
      <c r="N73" s="271"/>
      <c r="O73" s="272"/>
      <c r="P73" s="290"/>
      <c r="Q73" s="314"/>
      <c r="R73" s="51" t="str">
        <f t="shared" si="16"/>
        <v/>
      </c>
      <c r="S73" s="84" t="str">
        <f t="shared" si="2"/>
        <v/>
      </c>
      <c r="T73" s="93" t="str">
        <f t="shared" si="3"/>
        <v/>
      </c>
      <c r="U73" s="100" t="str">
        <f t="shared" si="4"/>
        <v/>
      </c>
      <c r="V73" s="95" t="str">
        <f t="shared" si="5"/>
        <v/>
      </c>
      <c r="W73" s="95" t="str">
        <f t="shared" si="6"/>
        <v/>
      </c>
      <c r="X73" s="96" t="str">
        <f>IFERROR(U73*V73*Assumptions!$B$15/3956,"")</f>
        <v/>
      </c>
      <c r="Y73" s="102" t="str">
        <f t="shared" si="7"/>
        <v/>
      </c>
      <c r="Z73" s="95" t="str">
        <f t="shared" si="8"/>
        <v/>
      </c>
      <c r="AA73" s="96" t="str">
        <f>IFERROR(Y73*Z73*Assumptions!$B$15/3956,"")</f>
        <v/>
      </c>
      <c r="AB73" s="100" t="str">
        <f t="shared" si="9"/>
        <v/>
      </c>
      <c r="AC73" s="95" t="str">
        <f t="shared" si="10"/>
        <v/>
      </c>
      <c r="AD73" s="96" t="str">
        <f>IFERROR(AB73*AC73*Assumptions!$B$15/3956,"")</f>
        <v/>
      </c>
      <c r="AE73" s="94" t="str">
        <f>IFERROR(
IF(P73&lt;=5,
(Assumptions!$W$8*(W73/P73)^2+(Assumptions!$X$8*(W73/P73))+Assumptions!$Y$8),
IF(P73&lt;=20,
(Assumptions!$W$9*(W73/P73)^2+(Assumptions!$X$9*(W73/P73))+Assumptions!$Y$9),
IF(P73&lt;=50,
(Assumptions!$W$10*(W73/P73)^2+(Assumptions!$X$10*(W73/P73))+Assumptions!$Y$10),
(Assumptions!$W$11*(W73/P73)^2+(Assumptions!$X$11+(W73/P73))+Assumptions!$Y$11)))),
"")</f>
        <v/>
      </c>
      <c r="AF73" s="99" t="str">
        <f t="shared" si="11"/>
        <v/>
      </c>
      <c r="AG73" s="95" t="str">
        <f>IFERROR(
IF(P73&lt;=5,
(Assumptions!$W$8*(AF73/P73)^2+(Assumptions!$X$8*(AF73/P73))+Assumptions!$Y$8),
IF(P73&lt;=20,
(Assumptions!$W$9*(AF73/P73)^2+(Assumptions!$X$9*(AF73/P73))+Assumptions!$Y$9),
IF(P73&lt;=50,
(Assumptions!$W$10*(AF73/P73)^2+(Assumptions!$X$10*(AF73/P73))+Assumptions!$Y$10),
(Assumptions!$W$11*(AF73/P73)^2+(Assumptions!$X$11+(AF73/P73))+Assumptions!$Y$11)))),
"")</f>
        <v/>
      </c>
      <c r="AH73" s="95" t="str">
        <f t="shared" si="12"/>
        <v/>
      </c>
      <c r="AI73" s="95" t="str">
        <f>IFERROR(
IF(P73&lt;=5,
(Assumptions!$W$8*(AH73/P73)^2+(Assumptions!$X$8*(AH73/P73))+Assumptions!$Y$8),
IF(P73&lt;=20,
(Assumptions!$W$9*(AH73/P73)^2+(Assumptions!$X$9*(AH73/P73))+Assumptions!$Y$9),
IF(P73&lt;=50,
(Assumptions!$W$10*(AH73/P73)^2+(Assumptions!$X$10*(AH73/P73))+Assumptions!$Y$10),
(Assumptions!$W$11*(AH73/P73)^2+(Assumptions!$X$11+(AH73/P73))+Assumptions!$Y$11)))),"")</f>
        <v/>
      </c>
      <c r="AJ73" s="95" t="str">
        <f t="shared" si="13"/>
        <v/>
      </c>
      <c r="AK73" s="96" t="str">
        <f>IFERROR(
IF(P73&lt;=5,
(Assumptions!$W$8*(AJ73/P73)^2+(Assumptions!$X$8*(AJ73/P73))+Assumptions!$Y$8),
IF(P73&lt;=20,
(Assumptions!$W$9*(AJ73/P73)^2+(Assumptions!$X$9*(AJ73/P73))+Assumptions!$Y$9),
IF(P73&lt;=50,
(Assumptions!$W$10*(AJ73/P73)^2+(Assumptions!$X$10*(AJ73/P73))+Assumptions!$Y$10),
(Assumptions!$W$11*(AJ73/P73)^2+(Assumptions!$X$11+(AJ73/P73))+Assumptions!$Y$11)))),
"")</f>
        <v/>
      </c>
      <c r="AL73" s="99" t="str">
        <f>IFERROR(
IF(C73="VTS",
IF(P73&gt;=AVERAGE(
INDEX(Assumptions!$I$38:$I$57,MATCH(P73,Assumptions!$I$38:$I$57,-1)),
INDEX(Assumptions!$I$38:$I$57,MATCH(P73,Assumptions!$I$38:$I$57,-1)+1)),
INDEX(Assumptions!$I$38:$I$57,MATCH(P73,Assumptions!$I$38:$I$57,-1)),
INDEX(Assumptions!$I$38:$I$57,MATCH(P73,Assumptions!$I$38:$I$57,-1)+1)),
IF(P73&gt;=AVERAGE(
INDEX(Assumptions!$I$13:$I$32,MATCH(P73,Assumptions!$I$13:$I$32,-1)),
INDEX(Assumptions!$I$13:$I$32,MATCH(P73,Assumptions!$I$13:$I$32,-1)+1)),
INDEX(Assumptions!$I$13:$I$32,MATCH(P73,Assumptions!$I$13:$I$32,-1)),
INDEX(Assumptions!$I$13:$I$32,MATCH(P73,Assumptions!$I$13:$I$32,-1)+1))),
"")</f>
        <v/>
      </c>
      <c r="AM73" s="95" t="str">
        <f>IFERROR(
IF(C73="VTS",
VLOOKUP(AL73,Assumptions!$I$38:$K$57,MATCH(R73,Assumptions!$I$37:$K$37,0),FALSE),
VLOOKUP(AL73,Assumptions!$I$13:$K$32,MATCH(R73,Assumptions!$I$12:$K$12,0),FALSE)),
"")</f>
        <v/>
      </c>
      <c r="AN73" s="95" t="str">
        <f t="shared" si="14"/>
        <v/>
      </c>
      <c r="AO73" s="95" t="str">
        <f>IFERROR(AN73*
(Assumptions!$S$7*(X73/(AR73*Assumptions!$AB$9/100)/P73)^3+
Assumptions!$S$8*(X73/(AR73*Assumptions!$AB$9/100)/P73)^2+
Assumptions!$S$9*(X73/(AR73*Assumptions!$AB$9/100)/P73)+
Assumptions!$S$10),"")</f>
        <v/>
      </c>
      <c r="AP73" s="95" t="str">
        <f>IFERROR(AN73*
(Assumptions!$S$7*(AA73/(AR73*Assumptions!$AB$8/100)/P73)^3+
Assumptions!$S$8*(AA73/(AR73*Assumptions!$AB$8/100)/P73)^2+
Assumptions!$S$9*(AA73/(AR73*Assumptions!$AB$8/100)/P73)+
Assumptions!$S$10),"")</f>
        <v/>
      </c>
      <c r="AQ73" s="95" t="str">
        <f>IFERROR(AN73*
(Assumptions!$S$7*(AD73/(AR73*Assumptions!$AB$10/100)/P73)^3+
Assumptions!$S$8*(AD73/(AR73*Assumptions!$AB$10/100)/P73)^2+
Assumptions!$S$9*(AD73/(AR73*Assumptions!$AB$10/100)/P73)+
Assumptions!$S$10),"")</f>
        <v/>
      </c>
      <c r="AR73" s="95" t="str">
        <f>IFERROR(
Assumptions!$AD$8*LN(U73)^2+
Assumptions!$AE$8*LN(T73)*LN(U73)+
Assumptions!$AF$8*LN(T73)^2+
Assumptions!$AG$8*LN(U73)+
Assumptions!$AH$8*LN(T73)-
(IF(S73=1800,
VLOOKUP(C73,Assumptions!$AA$13:$AC$17,3),
IF(S73=3600,
VLOOKUP(C73,Assumptions!$AA$18:$AC$22,3),
""))+Assumptions!$AI$8),
"")</f>
        <v/>
      </c>
      <c r="AS73" s="96" t="str">
        <f>IFERROR(
Assumptions!$D$11*(X73/(Assumptions!$AB$9*AR73/100)+AO73)+
Assumptions!$D$10*(AA73/(Assumptions!$AB$8*AR73/100)+AP73)+
Assumptions!$D$12*(AD73/(Assumptions!$AB$10*AR73/100)+AQ73),
"")</f>
        <v/>
      </c>
      <c r="AT73" s="76" t="str">
        <f>IFERROR(
(W73+AE73)*Assumptions!$F$11+
(AF73+AG73)*Assumptions!$F$8+
(AH73+AI73)*Assumptions!$F$9+
(AJ73+AK73)*Assumptions!$F$10,
"")</f>
        <v/>
      </c>
      <c r="AU73" s="77" t="str">
        <f t="shared" si="15"/>
        <v/>
      </c>
      <c r="AV73" s="68" t="str">
        <f t="shared" si="1"/>
        <v/>
      </c>
    </row>
    <row r="74" spans="1:48" x14ac:dyDescent="0.25">
      <c r="A74" s="264"/>
      <c r="B74" s="265"/>
      <c r="C74" s="265"/>
      <c r="D74" s="265"/>
      <c r="E74" s="266"/>
      <c r="F74" s="270"/>
      <c r="G74" s="271"/>
      <c r="H74" s="271"/>
      <c r="I74" s="272"/>
      <c r="J74" s="270"/>
      <c r="K74" s="271"/>
      <c r="L74" s="272"/>
      <c r="M74" s="270"/>
      <c r="N74" s="271"/>
      <c r="O74" s="272"/>
      <c r="P74" s="290"/>
      <c r="Q74" s="314"/>
      <c r="R74" s="51" t="str">
        <f t="shared" ref="R74:R107" si="17">IF(AND(E74&gt;=1440,E74&lt;=2160),4,IF(AND(E74&gt;=2880,E74&lt;=4320),2,""))</f>
        <v/>
      </c>
      <c r="S74" s="84" t="str">
        <f t="shared" si="2"/>
        <v/>
      </c>
      <c r="T74" s="93" t="str">
        <f t="shared" si="3"/>
        <v/>
      </c>
      <c r="U74" s="100" t="str">
        <f t="shared" si="4"/>
        <v/>
      </c>
      <c r="V74" s="95" t="str">
        <f t="shared" si="5"/>
        <v/>
      </c>
      <c r="W74" s="95" t="str">
        <f t="shared" si="6"/>
        <v/>
      </c>
      <c r="X74" s="96" t="str">
        <f>IFERROR(U74*V74*Assumptions!$B$15/3956,"")</f>
        <v/>
      </c>
      <c r="Y74" s="102" t="str">
        <f t="shared" si="7"/>
        <v/>
      </c>
      <c r="Z74" s="95" t="str">
        <f t="shared" si="8"/>
        <v/>
      </c>
      <c r="AA74" s="96" t="str">
        <f>IFERROR(Y74*Z74*Assumptions!$B$15/3956,"")</f>
        <v/>
      </c>
      <c r="AB74" s="100" t="str">
        <f t="shared" si="9"/>
        <v/>
      </c>
      <c r="AC74" s="95" t="str">
        <f t="shared" si="10"/>
        <v/>
      </c>
      <c r="AD74" s="96" t="str">
        <f>IFERROR(AB74*AC74*Assumptions!$B$15/3956,"")</f>
        <v/>
      </c>
      <c r="AE74" s="94" t="str">
        <f>IFERROR(
IF(P74&lt;=5,
(Assumptions!$W$8*(W74/P74)^2+(Assumptions!$X$8*(W74/P74))+Assumptions!$Y$8),
IF(P74&lt;=20,
(Assumptions!$W$9*(W74/P74)^2+(Assumptions!$X$9*(W74/P74))+Assumptions!$Y$9),
IF(P74&lt;=50,
(Assumptions!$W$10*(W74/P74)^2+(Assumptions!$X$10*(W74/P74))+Assumptions!$Y$10),
(Assumptions!$W$11*(W74/P74)^2+(Assumptions!$X$11+(W74/P74))+Assumptions!$Y$11)))),
"")</f>
        <v/>
      </c>
      <c r="AF74" s="99" t="str">
        <f t="shared" si="11"/>
        <v/>
      </c>
      <c r="AG74" s="95" t="str">
        <f>IFERROR(
IF(P74&lt;=5,
(Assumptions!$W$8*(AF74/P74)^2+(Assumptions!$X$8*(AF74/P74))+Assumptions!$Y$8),
IF(P74&lt;=20,
(Assumptions!$W$9*(AF74/P74)^2+(Assumptions!$X$9*(AF74/P74))+Assumptions!$Y$9),
IF(P74&lt;=50,
(Assumptions!$W$10*(AF74/P74)^2+(Assumptions!$X$10*(AF74/P74))+Assumptions!$Y$10),
(Assumptions!$W$11*(AF74/P74)^2+(Assumptions!$X$11+(AF74/P74))+Assumptions!$Y$11)))),
"")</f>
        <v/>
      </c>
      <c r="AH74" s="95" t="str">
        <f t="shared" si="12"/>
        <v/>
      </c>
      <c r="AI74" s="95" t="str">
        <f>IFERROR(
IF(P74&lt;=5,
(Assumptions!$W$8*(AH74/P74)^2+(Assumptions!$X$8*(AH74/P74))+Assumptions!$Y$8),
IF(P74&lt;=20,
(Assumptions!$W$9*(AH74/P74)^2+(Assumptions!$X$9*(AH74/P74))+Assumptions!$Y$9),
IF(P74&lt;=50,
(Assumptions!$W$10*(AH74/P74)^2+(Assumptions!$X$10*(AH74/P74))+Assumptions!$Y$10),
(Assumptions!$W$11*(AH74/P74)^2+(Assumptions!$X$11+(AH74/P74))+Assumptions!$Y$11)))),"")</f>
        <v/>
      </c>
      <c r="AJ74" s="95" t="str">
        <f t="shared" si="13"/>
        <v/>
      </c>
      <c r="AK74" s="96" t="str">
        <f>IFERROR(
IF(P74&lt;=5,
(Assumptions!$W$8*(AJ74/P74)^2+(Assumptions!$X$8*(AJ74/P74))+Assumptions!$Y$8),
IF(P74&lt;=20,
(Assumptions!$W$9*(AJ74/P74)^2+(Assumptions!$X$9*(AJ74/P74))+Assumptions!$Y$9),
IF(P74&lt;=50,
(Assumptions!$W$10*(AJ74/P74)^2+(Assumptions!$X$10*(AJ74/P74))+Assumptions!$Y$10),
(Assumptions!$W$11*(AJ74/P74)^2+(Assumptions!$X$11+(AJ74/P74))+Assumptions!$Y$11)))),
"")</f>
        <v/>
      </c>
      <c r="AL74" s="99" t="str">
        <f>IFERROR(
IF(C74="VTS",
IF(P74&gt;=AVERAGE(
INDEX(Assumptions!$I$38:$I$57,MATCH(P74,Assumptions!$I$38:$I$57,-1)),
INDEX(Assumptions!$I$38:$I$57,MATCH(P74,Assumptions!$I$38:$I$57,-1)+1)),
INDEX(Assumptions!$I$38:$I$57,MATCH(P74,Assumptions!$I$38:$I$57,-1)),
INDEX(Assumptions!$I$38:$I$57,MATCH(P74,Assumptions!$I$38:$I$57,-1)+1)),
IF(P74&gt;=AVERAGE(
INDEX(Assumptions!$I$13:$I$32,MATCH(P74,Assumptions!$I$13:$I$32,-1)),
INDEX(Assumptions!$I$13:$I$32,MATCH(P74,Assumptions!$I$13:$I$32,-1)+1)),
INDEX(Assumptions!$I$13:$I$32,MATCH(P74,Assumptions!$I$13:$I$32,-1)),
INDEX(Assumptions!$I$13:$I$32,MATCH(P74,Assumptions!$I$13:$I$32,-1)+1))),
"")</f>
        <v/>
      </c>
      <c r="AM74" s="95" t="str">
        <f>IFERROR(
IF(C74="VTS",
VLOOKUP(AL74,Assumptions!$I$38:$K$57,MATCH(R74,Assumptions!$I$37:$K$37,0),FALSE),
VLOOKUP(AL74,Assumptions!$I$13:$K$32,MATCH(R74,Assumptions!$I$12:$K$12,0),FALSE)),
"")</f>
        <v/>
      </c>
      <c r="AN74" s="95" t="str">
        <f t="shared" si="14"/>
        <v/>
      </c>
      <c r="AO74" s="95" t="str">
        <f>IFERROR(AN74*
(Assumptions!$S$7*(X74/(AR74*Assumptions!$AB$9/100)/P74)^3+
Assumptions!$S$8*(X74/(AR74*Assumptions!$AB$9/100)/P74)^2+
Assumptions!$S$9*(X74/(AR74*Assumptions!$AB$9/100)/P74)+
Assumptions!$S$10),"")</f>
        <v/>
      </c>
      <c r="AP74" s="95" t="str">
        <f>IFERROR(AN74*
(Assumptions!$S$7*(AA74/(AR74*Assumptions!$AB$8/100)/P74)^3+
Assumptions!$S$8*(AA74/(AR74*Assumptions!$AB$8/100)/P74)^2+
Assumptions!$S$9*(AA74/(AR74*Assumptions!$AB$8/100)/P74)+
Assumptions!$S$10),"")</f>
        <v/>
      </c>
      <c r="AQ74" s="95" t="str">
        <f>IFERROR(AN74*
(Assumptions!$S$7*(AD74/(AR74*Assumptions!$AB$10/100)/P74)^3+
Assumptions!$S$8*(AD74/(AR74*Assumptions!$AB$10/100)/P74)^2+
Assumptions!$S$9*(AD74/(AR74*Assumptions!$AB$10/100)/P74)+
Assumptions!$S$10),"")</f>
        <v/>
      </c>
      <c r="AR74" s="95" t="str">
        <f>IFERROR(
Assumptions!$AD$8*LN(U74)^2+
Assumptions!$AE$8*LN(T74)*LN(U74)+
Assumptions!$AF$8*LN(T74)^2+
Assumptions!$AG$8*LN(U74)+
Assumptions!$AH$8*LN(T74)-
(IF(S74=1800,
VLOOKUP(C74,Assumptions!$AA$13:$AC$17,3),
IF(S74=3600,
VLOOKUP(C74,Assumptions!$AA$18:$AC$22,3),
""))+Assumptions!$AI$8),
"")</f>
        <v/>
      </c>
      <c r="AS74" s="96" t="str">
        <f>IFERROR(
Assumptions!$D$11*(X74/(Assumptions!$AB$9*AR74/100)+AO74)+
Assumptions!$D$10*(AA74/(Assumptions!$AB$8*AR74/100)+AP74)+
Assumptions!$D$12*(AD74/(Assumptions!$AB$10*AR74/100)+AQ74),
"")</f>
        <v/>
      </c>
      <c r="AT74" s="76" t="str">
        <f>IFERROR(
(W74+AE74)*Assumptions!$F$11+
(AF74+AG74)*Assumptions!$F$8+
(AH74+AI74)*Assumptions!$F$9+
(AJ74+AK74)*Assumptions!$F$10,
"")</f>
        <v/>
      </c>
      <c r="AU74" s="77" t="str">
        <f t="shared" si="15"/>
        <v/>
      </c>
      <c r="AV74" s="68" t="str">
        <f t="shared" ref="AV74:AV107" si="18">IF(AU74="","",IF(AU74&gt;1,"FAIL","PASS"))</f>
        <v/>
      </c>
    </row>
    <row r="75" spans="1:48" x14ac:dyDescent="0.25">
      <c r="A75" s="264"/>
      <c r="B75" s="265"/>
      <c r="C75" s="265"/>
      <c r="D75" s="265"/>
      <c r="E75" s="266"/>
      <c r="F75" s="270"/>
      <c r="G75" s="271"/>
      <c r="H75" s="271"/>
      <c r="I75" s="272"/>
      <c r="J75" s="270"/>
      <c r="K75" s="271"/>
      <c r="L75" s="272"/>
      <c r="M75" s="270"/>
      <c r="N75" s="271"/>
      <c r="O75" s="272"/>
      <c r="P75" s="290"/>
      <c r="Q75" s="314"/>
      <c r="R75" s="51" t="str">
        <f t="shared" si="17"/>
        <v/>
      </c>
      <c r="S75" s="84" t="str">
        <f t="shared" ref="S75:S107" si="19">IF(R75=4,1800,IF(R75=2,3600,""))</f>
        <v/>
      </c>
      <c r="T75" s="93" t="str">
        <f t="shared" ref="T75:T107" si="20">IFERROR(S75*U75^0.5/(V75/D75)^0.75,"")</f>
        <v/>
      </c>
      <c r="U75" s="100" t="str">
        <f t="shared" ref="U75:U107" si="21">IFERROR(F75*(S75/E75),"")</f>
        <v/>
      </c>
      <c r="V75" s="95" t="str">
        <f t="shared" ref="V75:V107" si="22">IFERROR(G75*(S75/E75)^2,"")</f>
        <v/>
      </c>
      <c r="W75" s="95" t="str">
        <f t="shared" ref="W75:W107" si="23">IFERROR(I75*(S75/E75)^3,"")</f>
        <v/>
      </c>
      <c r="X75" s="96" t="str">
        <f>IFERROR(U75*V75*Assumptions!$B$15/3956,"")</f>
        <v/>
      </c>
      <c r="Y75" s="102" t="str">
        <f t="shared" ref="Y75:Y107" si="24">IFERROR(J75*(S75/E75),"")</f>
        <v/>
      </c>
      <c r="Z75" s="95" t="str">
        <f t="shared" ref="Z75:Z107" si="25">IFERROR(K75*(S75/E75)^2,"")</f>
        <v/>
      </c>
      <c r="AA75" s="96" t="str">
        <f>IFERROR(Y75*Z75*Assumptions!$B$15/3956,"")</f>
        <v/>
      </c>
      <c r="AB75" s="100" t="str">
        <f t="shared" ref="AB75:AB107" si="26">IFERROR(M75*(S75/E75),"")</f>
        <v/>
      </c>
      <c r="AC75" s="95" t="str">
        <f t="shared" ref="AC75:AC107" si="27">IFERROR(N75*(S75/E75)^2,"")</f>
        <v/>
      </c>
      <c r="AD75" s="96" t="str">
        <f>IFERROR(AB75*AC75*Assumptions!$B$15/3956,"")</f>
        <v/>
      </c>
      <c r="AE75" s="94" t="str">
        <f>IFERROR(
IF(P75&lt;=5,
(Assumptions!$W$8*(W75/P75)^2+(Assumptions!$X$8*(W75/P75))+Assumptions!$Y$8),
IF(P75&lt;=20,
(Assumptions!$W$9*(W75/P75)^2+(Assumptions!$X$9*(W75/P75))+Assumptions!$Y$9),
IF(P75&lt;=50,
(Assumptions!$W$10*(W75/P75)^2+(Assumptions!$X$10*(W75/P75))+Assumptions!$Y$10),
(Assumptions!$W$11*(W75/P75)^2+(Assumptions!$X$11+(W75/P75))+Assumptions!$Y$11)))),
"")</f>
        <v/>
      </c>
      <c r="AF75" s="99" t="str">
        <f t="shared" ref="AF75:AF107" si="28">IFERROR((0.8*(0.25*U75/U75)^3+0.2*(0.25*U75/U75))*W75,"")</f>
        <v/>
      </c>
      <c r="AG75" s="95" t="str">
        <f>IFERROR(
IF(P75&lt;=5,
(Assumptions!$W$8*(AF75/P75)^2+(Assumptions!$X$8*(AF75/P75))+Assumptions!$Y$8),
IF(P75&lt;=20,
(Assumptions!$W$9*(AF75/P75)^2+(Assumptions!$X$9*(AF75/P75))+Assumptions!$Y$9),
IF(P75&lt;=50,
(Assumptions!$W$10*(AF75/P75)^2+(Assumptions!$X$10*(AF75/P75))+Assumptions!$Y$10),
(Assumptions!$W$11*(AF75/P75)^2+(Assumptions!$X$11+(AF75/P75))+Assumptions!$Y$11)))),
"")</f>
        <v/>
      </c>
      <c r="AH75" s="95" t="str">
        <f t="shared" ref="AH75:AH107" si="29">IFERROR((0.8*(0.5*U75/U75)^3+0.2*(0.5*U75/U75))*W75,"")</f>
        <v/>
      </c>
      <c r="AI75" s="95" t="str">
        <f>IFERROR(
IF(P75&lt;=5,
(Assumptions!$W$8*(AH75/P75)^2+(Assumptions!$X$8*(AH75/P75))+Assumptions!$Y$8),
IF(P75&lt;=20,
(Assumptions!$W$9*(AH75/P75)^2+(Assumptions!$X$9*(AH75/P75))+Assumptions!$Y$9),
IF(P75&lt;=50,
(Assumptions!$W$10*(AH75/P75)^2+(Assumptions!$X$10*(AH75/P75))+Assumptions!$Y$10),
(Assumptions!$W$11*(AH75/P75)^2+(Assumptions!$X$11+(AH75/P75))+Assumptions!$Y$11)))),"")</f>
        <v/>
      </c>
      <c r="AJ75" s="95" t="str">
        <f t="shared" ref="AJ75:AJ107" si="30">IFERROR((0.8*(0.75*U75/U75)^3+0.2*(0.75*U75/U75))*W75,"")</f>
        <v/>
      </c>
      <c r="AK75" s="96" t="str">
        <f>IFERROR(
IF(P75&lt;=5,
(Assumptions!$W$8*(AJ75/P75)^2+(Assumptions!$X$8*(AJ75/P75))+Assumptions!$Y$8),
IF(P75&lt;=20,
(Assumptions!$W$9*(AJ75/P75)^2+(Assumptions!$X$9*(AJ75/P75))+Assumptions!$Y$9),
IF(P75&lt;=50,
(Assumptions!$W$10*(AJ75/P75)^2+(Assumptions!$X$10*(AJ75/P75))+Assumptions!$Y$10),
(Assumptions!$W$11*(AJ75/P75)^2+(Assumptions!$X$11+(AJ75/P75))+Assumptions!$Y$11)))),
"")</f>
        <v/>
      </c>
      <c r="AL75" s="99" t="str">
        <f>IFERROR(
IF(C75="VTS",
IF(P75&gt;=AVERAGE(
INDEX(Assumptions!$I$38:$I$57,MATCH(P75,Assumptions!$I$38:$I$57,-1)),
INDEX(Assumptions!$I$38:$I$57,MATCH(P75,Assumptions!$I$38:$I$57,-1)+1)),
INDEX(Assumptions!$I$38:$I$57,MATCH(P75,Assumptions!$I$38:$I$57,-1)),
INDEX(Assumptions!$I$38:$I$57,MATCH(P75,Assumptions!$I$38:$I$57,-1)+1)),
IF(P75&gt;=AVERAGE(
INDEX(Assumptions!$I$13:$I$32,MATCH(P75,Assumptions!$I$13:$I$32,-1)),
INDEX(Assumptions!$I$13:$I$32,MATCH(P75,Assumptions!$I$13:$I$32,-1)+1)),
INDEX(Assumptions!$I$13:$I$32,MATCH(P75,Assumptions!$I$13:$I$32,-1)),
INDEX(Assumptions!$I$13:$I$32,MATCH(P75,Assumptions!$I$13:$I$32,-1)+1))),
"")</f>
        <v/>
      </c>
      <c r="AM75" s="95" t="str">
        <f>IFERROR(
IF(C75="VTS",
VLOOKUP(AL75,Assumptions!$I$38:$K$57,MATCH(R75,Assumptions!$I$37:$K$37,0),FALSE),
VLOOKUP(AL75,Assumptions!$I$13:$K$32,MATCH(R75,Assumptions!$I$12:$K$12,0),FALSE)),
"")</f>
        <v/>
      </c>
      <c r="AN75" s="95" t="str">
        <f t="shared" ref="AN75:AN107" si="31">IFERROR(P75/(AM75/100)-P75,"")</f>
        <v/>
      </c>
      <c r="AO75" s="95" t="str">
        <f>IFERROR(AN75*
(Assumptions!$S$7*(X75/(AR75*Assumptions!$AB$9/100)/P75)^3+
Assumptions!$S$8*(X75/(AR75*Assumptions!$AB$9/100)/P75)^2+
Assumptions!$S$9*(X75/(AR75*Assumptions!$AB$9/100)/P75)+
Assumptions!$S$10),"")</f>
        <v/>
      </c>
      <c r="AP75" s="95" t="str">
        <f>IFERROR(AN75*
(Assumptions!$S$7*(AA75/(AR75*Assumptions!$AB$8/100)/P75)^3+
Assumptions!$S$8*(AA75/(AR75*Assumptions!$AB$8/100)/P75)^2+
Assumptions!$S$9*(AA75/(AR75*Assumptions!$AB$8/100)/P75)+
Assumptions!$S$10),"")</f>
        <v/>
      </c>
      <c r="AQ75" s="95" t="str">
        <f>IFERROR(AN75*
(Assumptions!$S$7*(AD75/(AR75*Assumptions!$AB$10/100)/P75)^3+
Assumptions!$S$8*(AD75/(AR75*Assumptions!$AB$10/100)/P75)^2+
Assumptions!$S$9*(AD75/(AR75*Assumptions!$AB$10/100)/P75)+
Assumptions!$S$10),"")</f>
        <v/>
      </c>
      <c r="AR75" s="95" t="str">
        <f>IFERROR(
Assumptions!$AD$8*LN(U75)^2+
Assumptions!$AE$8*LN(T75)*LN(U75)+
Assumptions!$AF$8*LN(T75)^2+
Assumptions!$AG$8*LN(U75)+
Assumptions!$AH$8*LN(T75)-
(IF(S75=1800,
VLOOKUP(C75,Assumptions!$AA$13:$AC$17,3),
IF(S75=3600,
VLOOKUP(C75,Assumptions!$AA$18:$AC$22,3),
""))+Assumptions!$AI$8),
"")</f>
        <v/>
      </c>
      <c r="AS75" s="96" t="str">
        <f>IFERROR(
Assumptions!$D$11*(X75/(Assumptions!$AB$9*AR75/100)+AO75)+
Assumptions!$D$10*(AA75/(Assumptions!$AB$8*AR75/100)+AP75)+
Assumptions!$D$12*(AD75/(Assumptions!$AB$10*AR75/100)+AQ75),
"")</f>
        <v/>
      </c>
      <c r="AT75" s="76" t="str">
        <f>IFERROR(
(W75+AE75)*Assumptions!$F$11+
(AF75+AG75)*Assumptions!$F$8+
(AH75+AI75)*Assumptions!$F$9+
(AJ75+AK75)*Assumptions!$F$10,
"")</f>
        <v/>
      </c>
      <c r="AU75" s="77" t="str">
        <f t="shared" ref="AU75:AU107" si="32">IFERROR(AT75/AS75,"")</f>
        <v/>
      </c>
      <c r="AV75" s="68" t="str">
        <f t="shared" si="18"/>
        <v/>
      </c>
    </row>
    <row r="76" spans="1:48" x14ac:dyDescent="0.25">
      <c r="A76" s="264"/>
      <c r="B76" s="265"/>
      <c r="C76" s="265"/>
      <c r="D76" s="265"/>
      <c r="E76" s="266"/>
      <c r="F76" s="270"/>
      <c r="G76" s="271"/>
      <c r="H76" s="271"/>
      <c r="I76" s="272"/>
      <c r="J76" s="270"/>
      <c r="K76" s="271"/>
      <c r="L76" s="272"/>
      <c r="M76" s="270"/>
      <c r="N76" s="271"/>
      <c r="O76" s="272"/>
      <c r="P76" s="290"/>
      <c r="Q76" s="314"/>
      <c r="R76" s="51" t="str">
        <f t="shared" si="17"/>
        <v/>
      </c>
      <c r="S76" s="84" t="str">
        <f t="shared" si="19"/>
        <v/>
      </c>
      <c r="T76" s="93" t="str">
        <f t="shared" si="20"/>
        <v/>
      </c>
      <c r="U76" s="100" t="str">
        <f t="shared" si="21"/>
        <v/>
      </c>
      <c r="V76" s="95" t="str">
        <f t="shared" si="22"/>
        <v/>
      </c>
      <c r="W76" s="95" t="str">
        <f t="shared" si="23"/>
        <v/>
      </c>
      <c r="X76" s="96" t="str">
        <f>IFERROR(U76*V76*Assumptions!$B$15/3956,"")</f>
        <v/>
      </c>
      <c r="Y76" s="102" t="str">
        <f t="shared" si="24"/>
        <v/>
      </c>
      <c r="Z76" s="95" t="str">
        <f t="shared" si="25"/>
        <v/>
      </c>
      <c r="AA76" s="96" t="str">
        <f>IFERROR(Y76*Z76*Assumptions!$B$15/3956,"")</f>
        <v/>
      </c>
      <c r="AB76" s="100" t="str">
        <f t="shared" si="26"/>
        <v/>
      </c>
      <c r="AC76" s="95" t="str">
        <f t="shared" si="27"/>
        <v/>
      </c>
      <c r="AD76" s="96" t="str">
        <f>IFERROR(AB76*AC76*Assumptions!$B$15/3956,"")</f>
        <v/>
      </c>
      <c r="AE76" s="94" t="str">
        <f>IFERROR(
IF(P76&lt;=5,
(Assumptions!$W$8*(W76/P76)^2+(Assumptions!$X$8*(W76/P76))+Assumptions!$Y$8),
IF(P76&lt;=20,
(Assumptions!$W$9*(W76/P76)^2+(Assumptions!$X$9*(W76/P76))+Assumptions!$Y$9),
IF(P76&lt;=50,
(Assumptions!$W$10*(W76/P76)^2+(Assumptions!$X$10*(W76/P76))+Assumptions!$Y$10),
(Assumptions!$W$11*(W76/P76)^2+(Assumptions!$X$11+(W76/P76))+Assumptions!$Y$11)))),
"")</f>
        <v/>
      </c>
      <c r="AF76" s="99" t="str">
        <f t="shared" si="28"/>
        <v/>
      </c>
      <c r="AG76" s="95" t="str">
        <f>IFERROR(
IF(P76&lt;=5,
(Assumptions!$W$8*(AF76/P76)^2+(Assumptions!$X$8*(AF76/P76))+Assumptions!$Y$8),
IF(P76&lt;=20,
(Assumptions!$W$9*(AF76/P76)^2+(Assumptions!$X$9*(AF76/P76))+Assumptions!$Y$9),
IF(P76&lt;=50,
(Assumptions!$W$10*(AF76/P76)^2+(Assumptions!$X$10*(AF76/P76))+Assumptions!$Y$10),
(Assumptions!$W$11*(AF76/P76)^2+(Assumptions!$X$11+(AF76/P76))+Assumptions!$Y$11)))),
"")</f>
        <v/>
      </c>
      <c r="AH76" s="95" t="str">
        <f t="shared" si="29"/>
        <v/>
      </c>
      <c r="AI76" s="95" t="str">
        <f>IFERROR(
IF(P76&lt;=5,
(Assumptions!$W$8*(AH76/P76)^2+(Assumptions!$X$8*(AH76/P76))+Assumptions!$Y$8),
IF(P76&lt;=20,
(Assumptions!$W$9*(AH76/P76)^2+(Assumptions!$X$9*(AH76/P76))+Assumptions!$Y$9),
IF(P76&lt;=50,
(Assumptions!$W$10*(AH76/P76)^2+(Assumptions!$X$10*(AH76/P76))+Assumptions!$Y$10),
(Assumptions!$W$11*(AH76/P76)^2+(Assumptions!$X$11+(AH76/P76))+Assumptions!$Y$11)))),"")</f>
        <v/>
      </c>
      <c r="AJ76" s="95" t="str">
        <f t="shared" si="30"/>
        <v/>
      </c>
      <c r="AK76" s="96" t="str">
        <f>IFERROR(
IF(P76&lt;=5,
(Assumptions!$W$8*(AJ76/P76)^2+(Assumptions!$X$8*(AJ76/P76))+Assumptions!$Y$8),
IF(P76&lt;=20,
(Assumptions!$W$9*(AJ76/P76)^2+(Assumptions!$X$9*(AJ76/P76))+Assumptions!$Y$9),
IF(P76&lt;=50,
(Assumptions!$W$10*(AJ76/P76)^2+(Assumptions!$X$10*(AJ76/P76))+Assumptions!$Y$10),
(Assumptions!$W$11*(AJ76/P76)^2+(Assumptions!$X$11+(AJ76/P76))+Assumptions!$Y$11)))),
"")</f>
        <v/>
      </c>
      <c r="AL76" s="99" t="str">
        <f>IFERROR(
IF(C76="VTS",
IF(P76&gt;=AVERAGE(
INDEX(Assumptions!$I$38:$I$57,MATCH(P76,Assumptions!$I$38:$I$57,-1)),
INDEX(Assumptions!$I$38:$I$57,MATCH(P76,Assumptions!$I$38:$I$57,-1)+1)),
INDEX(Assumptions!$I$38:$I$57,MATCH(P76,Assumptions!$I$38:$I$57,-1)),
INDEX(Assumptions!$I$38:$I$57,MATCH(P76,Assumptions!$I$38:$I$57,-1)+1)),
IF(P76&gt;=AVERAGE(
INDEX(Assumptions!$I$13:$I$32,MATCH(P76,Assumptions!$I$13:$I$32,-1)),
INDEX(Assumptions!$I$13:$I$32,MATCH(P76,Assumptions!$I$13:$I$32,-1)+1)),
INDEX(Assumptions!$I$13:$I$32,MATCH(P76,Assumptions!$I$13:$I$32,-1)),
INDEX(Assumptions!$I$13:$I$32,MATCH(P76,Assumptions!$I$13:$I$32,-1)+1))),
"")</f>
        <v/>
      </c>
      <c r="AM76" s="95" t="str">
        <f>IFERROR(
IF(C76="VTS",
VLOOKUP(AL76,Assumptions!$I$38:$K$57,MATCH(R76,Assumptions!$I$37:$K$37,0),FALSE),
VLOOKUP(AL76,Assumptions!$I$13:$K$32,MATCH(R76,Assumptions!$I$12:$K$12,0),FALSE)),
"")</f>
        <v/>
      </c>
      <c r="AN76" s="95" t="str">
        <f t="shared" si="31"/>
        <v/>
      </c>
      <c r="AO76" s="95" t="str">
        <f>IFERROR(AN76*
(Assumptions!$S$7*(X76/(AR76*Assumptions!$AB$9/100)/P76)^3+
Assumptions!$S$8*(X76/(AR76*Assumptions!$AB$9/100)/P76)^2+
Assumptions!$S$9*(X76/(AR76*Assumptions!$AB$9/100)/P76)+
Assumptions!$S$10),"")</f>
        <v/>
      </c>
      <c r="AP76" s="95" t="str">
        <f>IFERROR(AN76*
(Assumptions!$S$7*(AA76/(AR76*Assumptions!$AB$8/100)/P76)^3+
Assumptions!$S$8*(AA76/(AR76*Assumptions!$AB$8/100)/P76)^2+
Assumptions!$S$9*(AA76/(AR76*Assumptions!$AB$8/100)/P76)+
Assumptions!$S$10),"")</f>
        <v/>
      </c>
      <c r="AQ76" s="95" t="str">
        <f>IFERROR(AN76*
(Assumptions!$S$7*(AD76/(AR76*Assumptions!$AB$10/100)/P76)^3+
Assumptions!$S$8*(AD76/(AR76*Assumptions!$AB$10/100)/P76)^2+
Assumptions!$S$9*(AD76/(AR76*Assumptions!$AB$10/100)/P76)+
Assumptions!$S$10),"")</f>
        <v/>
      </c>
      <c r="AR76" s="95" t="str">
        <f>IFERROR(
Assumptions!$AD$8*LN(U76)^2+
Assumptions!$AE$8*LN(T76)*LN(U76)+
Assumptions!$AF$8*LN(T76)^2+
Assumptions!$AG$8*LN(U76)+
Assumptions!$AH$8*LN(T76)-
(IF(S76=1800,
VLOOKUP(C76,Assumptions!$AA$13:$AC$17,3),
IF(S76=3600,
VLOOKUP(C76,Assumptions!$AA$18:$AC$22,3),
""))+Assumptions!$AI$8),
"")</f>
        <v/>
      </c>
      <c r="AS76" s="96" t="str">
        <f>IFERROR(
Assumptions!$D$11*(X76/(Assumptions!$AB$9*AR76/100)+AO76)+
Assumptions!$D$10*(AA76/(Assumptions!$AB$8*AR76/100)+AP76)+
Assumptions!$D$12*(AD76/(Assumptions!$AB$10*AR76/100)+AQ76),
"")</f>
        <v/>
      </c>
      <c r="AT76" s="76" t="str">
        <f>IFERROR(
(W76+AE76)*Assumptions!$F$11+
(AF76+AG76)*Assumptions!$F$8+
(AH76+AI76)*Assumptions!$F$9+
(AJ76+AK76)*Assumptions!$F$10,
"")</f>
        <v/>
      </c>
      <c r="AU76" s="77" t="str">
        <f t="shared" si="32"/>
        <v/>
      </c>
      <c r="AV76" s="68" t="str">
        <f t="shared" si="18"/>
        <v/>
      </c>
    </row>
    <row r="77" spans="1:48" x14ac:dyDescent="0.25">
      <c r="A77" s="264"/>
      <c r="B77" s="265"/>
      <c r="C77" s="265"/>
      <c r="D77" s="265"/>
      <c r="E77" s="266"/>
      <c r="F77" s="270"/>
      <c r="G77" s="271"/>
      <c r="H77" s="271"/>
      <c r="I77" s="272"/>
      <c r="J77" s="270"/>
      <c r="K77" s="271"/>
      <c r="L77" s="272"/>
      <c r="M77" s="270"/>
      <c r="N77" s="271"/>
      <c r="O77" s="272"/>
      <c r="P77" s="290"/>
      <c r="Q77" s="314"/>
      <c r="R77" s="51" t="str">
        <f t="shared" si="17"/>
        <v/>
      </c>
      <c r="S77" s="84" t="str">
        <f t="shared" si="19"/>
        <v/>
      </c>
      <c r="T77" s="93" t="str">
        <f t="shared" si="20"/>
        <v/>
      </c>
      <c r="U77" s="100" t="str">
        <f t="shared" si="21"/>
        <v/>
      </c>
      <c r="V77" s="95" t="str">
        <f t="shared" si="22"/>
        <v/>
      </c>
      <c r="W77" s="95" t="str">
        <f t="shared" si="23"/>
        <v/>
      </c>
      <c r="X77" s="96" t="str">
        <f>IFERROR(U77*V77*Assumptions!$B$15/3956,"")</f>
        <v/>
      </c>
      <c r="Y77" s="102" t="str">
        <f t="shared" si="24"/>
        <v/>
      </c>
      <c r="Z77" s="95" t="str">
        <f t="shared" si="25"/>
        <v/>
      </c>
      <c r="AA77" s="96" t="str">
        <f>IFERROR(Y77*Z77*Assumptions!$B$15/3956,"")</f>
        <v/>
      </c>
      <c r="AB77" s="100" t="str">
        <f t="shared" si="26"/>
        <v/>
      </c>
      <c r="AC77" s="95" t="str">
        <f t="shared" si="27"/>
        <v/>
      </c>
      <c r="AD77" s="96" t="str">
        <f>IFERROR(AB77*AC77*Assumptions!$B$15/3956,"")</f>
        <v/>
      </c>
      <c r="AE77" s="94" t="str">
        <f>IFERROR(
IF(P77&lt;=5,
(Assumptions!$W$8*(W77/P77)^2+(Assumptions!$X$8*(W77/P77))+Assumptions!$Y$8),
IF(P77&lt;=20,
(Assumptions!$W$9*(W77/P77)^2+(Assumptions!$X$9*(W77/P77))+Assumptions!$Y$9),
IF(P77&lt;=50,
(Assumptions!$W$10*(W77/P77)^2+(Assumptions!$X$10*(W77/P77))+Assumptions!$Y$10),
(Assumptions!$W$11*(W77/P77)^2+(Assumptions!$X$11+(W77/P77))+Assumptions!$Y$11)))),
"")</f>
        <v/>
      </c>
      <c r="AF77" s="99" t="str">
        <f t="shared" si="28"/>
        <v/>
      </c>
      <c r="AG77" s="95" t="str">
        <f>IFERROR(
IF(P77&lt;=5,
(Assumptions!$W$8*(AF77/P77)^2+(Assumptions!$X$8*(AF77/P77))+Assumptions!$Y$8),
IF(P77&lt;=20,
(Assumptions!$W$9*(AF77/P77)^2+(Assumptions!$X$9*(AF77/P77))+Assumptions!$Y$9),
IF(P77&lt;=50,
(Assumptions!$W$10*(AF77/P77)^2+(Assumptions!$X$10*(AF77/P77))+Assumptions!$Y$10),
(Assumptions!$W$11*(AF77/P77)^2+(Assumptions!$X$11+(AF77/P77))+Assumptions!$Y$11)))),
"")</f>
        <v/>
      </c>
      <c r="AH77" s="95" t="str">
        <f t="shared" si="29"/>
        <v/>
      </c>
      <c r="AI77" s="95" t="str">
        <f>IFERROR(
IF(P77&lt;=5,
(Assumptions!$W$8*(AH77/P77)^2+(Assumptions!$X$8*(AH77/P77))+Assumptions!$Y$8),
IF(P77&lt;=20,
(Assumptions!$W$9*(AH77/P77)^2+(Assumptions!$X$9*(AH77/P77))+Assumptions!$Y$9),
IF(P77&lt;=50,
(Assumptions!$W$10*(AH77/P77)^2+(Assumptions!$X$10*(AH77/P77))+Assumptions!$Y$10),
(Assumptions!$W$11*(AH77/P77)^2+(Assumptions!$X$11+(AH77/P77))+Assumptions!$Y$11)))),"")</f>
        <v/>
      </c>
      <c r="AJ77" s="95" t="str">
        <f t="shared" si="30"/>
        <v/>
      </c>
      <c r="AK77" s="96" t="str">
        <f>IFERROR(
IF(P77&lt;=5,
(Assumptions!$W$8*(AJ77/P77)^2+(Assumptions!$X$8*(AJ77/P77))+Assumptions!$Y$8),
IF(P77&lt;=20,
(Assumptions!$W$9*(AJ77/P77)^2+(Assumptions!$X$9*(AJ77/P77))+Assumptions!$Y$9),
IF(P77&lt;=50,
(Assumptions!$W$10*(AJ77/P77)^2+(Assumptions!$X$10*(AJ77/P77))+Assumptions!$Y$10),
(Assumptions!$W$11*(AJ77/P77)^2+(Assumptions!$X$11+(AJ77/P77))+Assumptions!$Y$11)))),
"")</f>
        <v/>
      </c>
      <c r="AL77" s="99" t="str">
        <f>IFERROR(
IF(C77="VTS",
IF(P77&gt;=AVERAGE(
INDEX(Assumptions!$I$38:$I$57,MATCH(P77,Assumptions!$I$38:$I$57,-1)),
INDEX(Assumptions!$I$38:$I$57,MATCH(P77,Assumptions!$I$38:$I$57,-1)+1)),
INDEX(Assumptions!$I$38:$I$57,MATCH(P77,Assumptions!$I$38:$I$57,-1)),
INDEX(Assumptions!$I$38:$I$57,MATCH(P77,Assumptions!$I$38:$I$57,-1)+1)),
IF(P77&gt;=AVERAGE(
INDEX(Assumptions!$I$13:$I$32,MATCH(P77,Assumptions!$I$13:$I$32,-1)),
INDEX(Assumptions!$I$13:$I$32,MATCH(P77,Assumptions!$I$13:$I$32,-1)+1)),
INDEX(Assumptions!$I$13:$I$32,MATCH(P77,Assumptions!$I$13:$I$32,-1)),
INDEX(Assumptions!$I$13:$I$32,MATCH(P77,Assumptions!$I$13:$I$32,-1)+1))),
"")</f>
        <v/>
      </c>
      <c r="AM77" s="95" t="str">
        <f>IFERROR(
IF(C77="VTS",
VLOOKUP(AL77,Assumptions!$I$38:$K$57,MATCH(R77,Assumptions!$I$37:$K$37,0),FALSE),
VLOOKUP(AL77,Assumptions!$I$13:$K$32,MATCH(R77,Assumptions!$I$12:$K$12,0),FALSE)),
"")</f>
        <v/>
      </c>
      <c r="AN77" s="95" t="str">
        <f t="shared" si="31"/>
        <v/>
      </c>
      <c r="AO77" s="95" t="str">
        <f>IFERROR(AN77*
(Assumptions!$S$7*(X77/(AR77*Assumptions!$AB$9/100)/P77)^3+
Assumptions!$S$8*(X77/(AR77*Assumptions!$AB$9/100)/P77)^2+
Assumptions!$S$9*(X77/(AR77*Assumptions!$AB$9/100)/P77)+
Assumptions!$S$10),"")</f>
        <v/>
      </c>
      <c r="AP77" s="95" t="str">
        <f>IFERROR(AN77*
(Assumptions!$S$7*(AA77/(AR77*Assumptions!$AB$8/100)/P77)^3+
Assumptions!$S$8*(AA77/(AR77*Assumptions!$AB$8/100)/P77)^2+
Assumptions!$S$9*(AA77/(AR77*Assumptions!$AB$8/100)/P77)+
Assumptions!$S$10),"")</f>
        <v/>
      </c>
      <c r="AQ77" s="95" t="str">
        <f>IFERROR(AN77*
(Assumptions!$S$7*(AD77/(AR77*Assumptions!$AB$10/100)/P77)^3+
Assumptions!$S$8*(AD77/(AR77*Assumptions!$AB$10/100)/P77)^2+
Assumptions!$S$9*(AD77/(AR77*Assumptions!$AB$10/100)/P77)+
Assumptions!$S$10),"")</f>
        <v/>
      </c>
      <c r="AR77" s="95" t="str">
        <f>IFERROR(
Assumptions!$AD$8*LN(U77)^2+
Assumptions!$AE$8*LN(T77)*LN(U77)+
Assumptions!$AF$8*LN(T77)^2+
Assumptions!$AG$8*LN(U77)+
Assumptions!$AH$8*LN(T77)-
(IF(S77=1800,
VLOOKUP(C77,Assumptions!$AA$13:$AC$17,3),
IF(S77=3600,
VLOOKUP(C77,Assumptions!$AA$18:$AC$22,3),
""))+Assumptions!$AI$8),
"")</f>
        <v/>
      </c>
      <c r="AS77" s="96" t="str">
        <f>IFERROR(
Assumptions!$D$11*(X77/(Assumptions!$AB$9*AR77/100)+AO77)+
Assumptions!$D$10*(AA77/(Assumptions!$AB$8*AR77/100)+AP77)+
Assumptions!$D$12*(AD77/(Assumptions!$AB$10*AR77/100)+AQ77),
"")</f>
        <v/>
      </c>
      <c r="AT77" s="76" t="str">
        <f>IFERROR(
(W77+AE77)*Assumptions!$F$11+
(AF77+AG77)*Assumptions!$F$8+
(AH77+AI77)*Assumptions!$F$9+
(AJ77+AK77)*Assumptions!$F$10,
"")</f>
        <v/>
      </c>
      <c r="AU77" s="77" t="str">
        <f t="shared" si="32"/>
        <v/>
      </c>
      <c r="AV77" s="68" t="str">
        <f t="shared" si="18"/>
        <v/>
      </c>
    </row>
    <row r="78" spans="1:48" x14ac:dyDescent="0.25">
      <c r="A78" s="264"/>
      <c r="B78" s="265"/>
      <c r="C78" s="265"/>
      <c r="D78" s="265"/>
      <c r="E78" s="266"/>
      <c r="F78" s="270"/>
      <c r="G78" s="271"/>
      <c r="H78" s="271"/>
      <c r="I78" s="272"/>
      <c r="J78" s="270"/>
      <c r="K78" s="271"/>
      <c r="L78" s="272"/>
      <c r="M78" s="270"/>
      <c r="N78" s="271"/>
      <c r="O78" s="272"/>
      <c r="P78" s="290"/>
      <c r="Q78" s="314"/>
      <c r="R78" s="51" t="str">
        <f t="shared" si="17"/>
        <v/>
      </c>
      <c r="S78" s="84" t="str">
        <f t="shared" si="19"/>
        <v/>
      </c>
      <c r="T78" s="93" t="str">
        <f t="shared" si="20"/>
        <v/>
      </c>
      <c r="U78" s="100" t="str">
        <f t="shared" si="21"/>
        <v/>
      </c>
      <c r="V78" s="95" t="str">
        <f t="shared" si="22"/>
        <v/>
      </c>
      <c r="W78" s="95" t="str">
        <f t="shared" si="23"/>
        <v/>
      </c>
      <c r="X78" s="96" t="str">
        <f>IFERROR(U78*V78*Assumptions!$B$15/3956,"")</f>
        <v/>
      </c>
      <c r="Y78" s="102" t="str">
        <f t="shared" si="24"/>
        <v/>
      </c>
      <c r="Z78" s="95" t="str">
        <f t="shared" si="25"/>
        <v/>
      </c>
      <c r="AA78" s="96" t="str">
        <f>IFERROR(Y78*Z78*Assumptions!$B$15/3956,"")</f>
        <v/>
      </c>
      <c r="AB78" s="100" t="str">
        <f t="shared" si="26"/>
        <v/>
      </c>
      <c r="AC78" s="95" t="str">
        <f t="shared" si="27"/>
        <v/>
      </c>
      <c r="AD78" s="96" t="str">
        <f>IFERROR(AB78*AC78*Assumptions!$B$15/3956,"")</f>
        <v/>
      </c>
      <c r="AE78" s="94" t="str">
        <f>IFERROR(
IF(P78&lt;=5,
(Assumptions!$W$8*(W78/P78)^2+(Assumptions!$X$8*(W78/P78))+Assumptions!$Y$8),
IF(P78&lt;=20,
(Assumptions!$W$9*(W78/P78)^2+(Assumptions!$X$9*(W78/P78))+Assumptions!$Y$9),
IF(P78&lt;=50,
(Assumptions!$W$10*(W78/P78)^2+(Assumptions!$X$10*(W78/P78))+Assumptions!$Y$10),
(Assumptions!$W$11*(W78/P78)^2+(Assumptions!$X$11+(W78/P78))+Assumptions!$Y$11)))),
"")</f>
        <v/>
      </c>
      <c r="AF78" s="99" t="str">
        <f t="shared" si="28"/>
        <v/>
      </c>
      <c r="AG78" s="95" t="str">
        <f>IFERROR(
IF(P78&lt;=5,
(Assumptions!$W$8*(AF78/P78)^2+(Assumptions!$X$8*(AF78/P78))+Assumptions!$Y$8),
IF(P78&lt;=20,
(Assumptions!$W$9*(AF78/P78)^2+(Assumptions!$X$9*(AF78/P78))+Assumptions!$Y$9),
IF(P78&lt;=50,
(Assumptions!$W$10*(AF78/P78)^2+(Assumptions!$X$10*(AF78/P78))+Assumptions!$Y$10),
(Assumptions!$W$11*(AF78/P78)^2+(Assumptions!$X$11+(AF78/P78))+Assumptions!$Y$11)))),
"")</f>
        <v/>
      </c>
      <c r="AH78" s="95" t="str">
        <f t="shared" si="29"/>
        <v/>
      </c>
      <c r="AI78" s="95" t="str">
        <f>IFERROR(
IF(P78&lt;=5,
(Assumptions!$W$8*(AH78/P78)^2+(Assumptions!$X$8*(AH78/P78))+Assumptions!$Y$8),
IF(P78&lt;=20,
(Assumptions!$W$9*(AH78/P78)^2+(Assumptions!$X$9*(AH78/P78))+Assumptions!$Y$9),
IF(P78&lt;=50,
(Assumptions!$W$10*(AH78/P78)^2+(Assumptions!$X$10*(AH78/P78))+Assumptions!$Y$10),
(Assumptions!$W$11*(AH78/P78)^2+(Assumptions!$X$11+(AH78/P78))+Assumptions!$Y$11)))),"")</f>
        <v/>
      </c>
      <c r="AJ78" s="95" t="str">
        <f t="shared" si="30"/>
        <v/>
      </c>
      <c r="AK78" s="96" t="str">
        <f>IFERROR(
IF(P78&lt;=5,
(Assumptions!$W$8*(AJ78/P78)^2+(Assumptions!$X$8*(AJ78/P78))+Assumptions!$Y$8),
IF(P78&lt;=20,
(Assumptions!$W$9*(AJ78/P78)^2+(Assumptions!$X$9*(AJ78/P78))+Assumptions!$Y$9),
IF(P78&lt;=50,
(Assumptions!$W$10*(AJ78/P78)^2+(Assumptions!$X$10*(AJ78/P78))+Assumptions!$Y$10),
(Assumptions!$W$11*(AJ78/P78)^2+(Assumptions!$X$11+(AJ78/P78))+Assumptions!$Y$11)))),
"")</f>
        <v/>
      </c>
      <c r="AL78" s="99" t="str">
        <f>IFERROR(
IF(C78="VTS",
IF(P78&gt;=AVERAGE(
INDEX(Assumptions!$I$38:$I$57,MATCH(P78,Assumptions!$I$38:$I$57,-1)),
INDEX(Assumptions!$I$38:$I$57,MATCH(P78,Assumptions!$I$38:$I$57,-1)+1)),
INDEX(Assumptions!$I$38:$I$57,MATCH(P78,Assumptions!$I$38:$I$57,-1)),
INDEX(Assumptions!$I$38:$I$57,MATCH(P78,Assumptions!$I$38:$I$57,-1)+1)),
IF(P78&gt;=AVERAGE(
INDEX(Assumptions!$I$13:$I$32,MATCH(P78,Assumptions!$I$13:$I$32,-1)),
INDEX(Assumptions!$I$13:$I$32,MATCH(P78,Assumptions!$I$13:$I$32,-1)+1)),
INDEX(Assumptions!$I$13:$I$32,MATCH(P78,Assumptions!$I$13:$I$32,-1)),
INDEX(Assumptions!$I$13:$I$32,MATCH(P78,Assumptions!$I$13:$I$32,-1)+1))),
"")</f>
        <v/>
      </c>
      <c r="AM78" s="95" t="str">
        <f>IFERROR(
IF(C78="VTS",
VLOOKUP(AL78,Assumptions!$I$38:$K$57,MATCH(R78,Assumptions!$I$37:$K$37,0),FALSE),
VLOOKUP(AL78,Assumptions!$I$13:$K$32,MATCH(R78,Assumptions!$I$12:$K$12,0),FALSE)),
"")</f>
        <v/>
      </c>
      <c r="AN78" s="95" t="str">
        <f t="shared" si="31"/>
        <v/>
      </c>
      <c r="AO78" s="95" t="str">
        <f>IFERROR(AN78*
(Assumptions!$S$7*(X78/(AR78*Assumptions!$AB$9/100)/P78)^3+
Assumptions!$S$8*(X78/(AR78*Assumptions!$AB$9/100)/P78)^2+
Assumptions!$S$9*(X78/(AR78*Assumptions!$AB$9/100)/P78)+
Assumptions!$S$10),"")</f>
        <v/>
      </c>
      <c r="AP78" s="95" t="str">
        <f>IFERROR(AN78*
(Assumptions!$S$7*(AA78/(AR78*Assumptions!$AB$8/100)/P78)^3+
Assumptions!$S$8*(AA78/(AR78*Assumptions!$AB$8/100)/P78)^2+
Assumptions!$S$9*(AA78/(AR78*Assumptions!$AB$8/100)/P78)+
Assumptions!$S$10),"")</f>
        <v/>
      </c>
      <c r="AQ78" s="95" t="str">
        <f>IFERROR(AN78*
(Assumptions!$S$7*(AD78/(AR78*Assumptions!$AB$10/100)/P78)^3+
Assumptions!$S$8*(AD78/(AR78*Assumptions!$AB$10/100)/P78)^2+
Assumptions!$S$9*(AD78/(AR78*Assumptions!$AB$10/100)/P78)+
Assumptions!$S$10),"")</f>
        <v/>
      </c>
      <c r="AR78" s="95" t="str">
        <f>IFERROR(
Assumptions!$AD$8*LN(U78)^2+
Assumptions!$AE$8*LN(T78)*LN(U78)+
Assumptions!$AF$8*LN(T78)^2+
Assumptions!$AG$8*LN(U78)+
Assumptions!$AH$8*LN(T78)-
(IF(S78=1800,
VLOOKUP(C78,Assumptions!$AA$13:$AC$17,3),
IF(S78=3600,
VLOOKUP(C78,Assumptions!$AA$18:$AC$22,3),
""))+Assumptions!$AI$8),
"")</f>
        <v/>
      </c>
      <c r="AS78" s="96" t="str">
        <f>IFERROR(
Assumptions!$D$11*(X78/(Assumptions!$AB$9*AR78/100)+AO78)+
Assumptions!$D$10*(AA78/(Assumptions!$AB$8*AR78/100)+AP78)+
Assumptions!$D$12*(AD78/(Assumptions!$AB$10*AR78/100)+AQ78),
"")</f>
        <v/>
      </c>
      <c r="AT78" s="76" t="str">
        <f>IFERROR(
(W78+AE78)*Assumptions!$F$11+
(AF78+AG78)*Assumptions!$F$8+
(AH78+AI78)*Assumptions!$F$9+
(AJ78+AK78)*Assumptions!$F$10,
"")</f>
        <v/>
      </c>
      <c r="AU78" s="77" t="str">
        <f t="shared" si="32"/>
        <v/>
      </c>
      <c r="AV78" s="68" t="str">
        <f t="shared" si="18"/>
        <v/>
      </c>
    </row>
    <row r="79" spans="1:48" x14ac:dyDescent="0.25">
      <c r="A79" s="264"/>
      <c r="B79" s="265"/>
      <c r="C79" s="265"/>
      <c r="D79" s="265"/>
      <c r="E79" s="266"/>
      <c r="F79" s="270"/>
      <c r="G79" s="271"/>
      <c r="H79" s="271"/>
      <c r="I79" s="272"/>
      <c r="J79" s="270"/>
      <c r="K79" s="271"/>
      <c r="L79" s="272"/>
      <c r="M79" s="270"/>
      <c r="N79" s="271"/>
      <c r="O79" s="272"/>
      <c r="P79" s="290"/>
      <c r="Q79" s="314"/>
      <c r="R79" s="51" t="str">
        <f t="shared" si="17"/>
        <v/>
      </c>
      <c r="S79" s="84" t="str">
        <f t="shared" si="19"/>
        <v/>
      </c>
      <c r="T79" s="93" t="str">
        <f t="shared" si="20"/>
        <v/>
      </c>
      <c r="U79" s="100" t="str">
        <f t="shared" si="21"/>
        <v/>
      </c>
      <c r="V79" s="95" t="str">
        <f t="shared" si="22"/>
        <v/>
      </c>
      <c r="W79" s="95" t="str">
        <f t="shared" si="23"/>
        <v/>
      </c>
      <c r="X79" s="96" t="str">
        <f>IFERROR(U79*V79*Assumptions!$B$15/3956,"")</f>
        <v/>
      </c>
      <c r="Y79" s="102" t="str">
        <f t="shared" si="24"/>
        <v/>
      </c>
      <c r="Z79" s="95" t="str">
        <f t="shared" si="25"/>
        <v/>
      </c>
      <c r="AA79" s="96" t="str">
        <f>IFERROR(Y79*Z79*Assumptions!$B$15/3956,"")</f>
        <v/>
      </c>
      <c r="AB79" s="100" t="str">
        <f t="shared" si="26"/>
        <v/>
      </c>
      <c r="AC79" s="95" t="str">
        <f t="shared" si="27"/>
        <v/>
      </c>
      <c r="AD79" s="96" t="str">
        <f>IFERROR(AB79*AC79*Assumptions!$B$15/3956,"")</f>
        <v/>
      </c>
      <c r="AE79" s="94" t="str">
        <f>IFERROR(
IF(P79&lt;=5,
(Assumptions!$W$8*(W79/P79)^2+(Assumptions!$X$8*(W79/P79))+Assumptions!$Y$8),
IF(P79&lt;=20,
(Assumptions!$W$9*(W79/P79)^2+(Assumptions!$X$9*(W79/P79))+Assumptions!$Y$9),
IF(P79&lt;=50,
(Assumptions!$W$10*(W79/P79)^2+(Assumptions!$X$10*(W79/P79))+Assumptions!$Y$10),
(Assumptions!$W$11*(W79/P79)^2+(Assumptions!$X$11+(W79/P79))+Assumptions!$Y$11)))),
"")</f>
        <v/>
      </c>
      <c r="AF79" s="99" t="str">
        <f t="shared" si="28"/>
        <v/>
      </c>
      <c r="AG79" s="95" t="str">
        <f>IFERROR(
IF(P79&lt;=5,
(Assumptions!$W$8*(AF79/P79)^2+(Assumptions!$X$8*(AF79/P79))+Assumptions!$Y$8),
IF(P79&lt;=20,
(Assumptions!$W$9*(AF79/P79)^2+(Assumptions!$X$9*(AF79/P79))+Assumptions!$Y$9),
IF(P79&lt;=50,
(Assumptions!$W$10*(AF79/P79)^2+(Assumptions!$X$10*(AF79/P79))+Assumptions!$Y$10),
(Assumptions!$W$11*(AF79/P79)^2+(Assumptions!$X$11+(AF79/P79))+Assumptions!$Y$11)))),
"")</f>
        <v/>
      </c>
      <c r="AH79" s="95" t="str">
        <f t="shared" si="29"/>
        <v/>
      </c>
      <c r="AI79" s="95" t="str">
        <f>IFERROR(
IF(P79&lt;=5,
(Assumptions!$W$8*(AH79/P79)^2+(Assumptions!$X$8*(AH79/P79))+Assumptions!$Y$8),
IF(P79&lt;=20,
(Assumptions!$W$9*(AH79/P79)^2+(Assumptions!$X$9*(AH79/P79))+Assumptions!$Y$9),
IF(P79&lt;=50,
(Assumptions!$W$10*(AH79/P79)^2+(Assumptions!$X$10*(AH79/P79))+Assumptions!$Y$10),
(Assumptions!$W$11*(AH79/P79)^2+(Assumptions!$X$11+(AH79/P79))+Assumptions!$Y$11)))),"")</f>
        <v/>
      </c>
      <c r="AJ79" s="95" t="str">
        <f t="shared" si="30"/>
        <v/>
      </c>
      <c r="AK79" s="96" t="str">
        <f>IFERROR(
IF(P79&lt;=5,
(Assumptions!$W$8*(AJ79/P79)^2+(Assumptions!$X$8*(AJ79/P79))+Assumptions!$Y$8),
IF(P79&lt;=20,
(Assumptions!$W$9*(AJ79/P79)^2+(Assumptions!$X$9*(AJ79/P79))+Assumptions!$Y$9),
IF(P79&lt;=50,
(Assumptions!$W$10*(AJ79/P79)^2+(Assumptions!$X$10*(AJ79/P79))+Assumptions!$Y$10),
(Assumptions!$W$11*(AJ79/P79)^2+(Assumptions!$X$11+(AJ79/P79))+Assumptions!$Y$11)))),
"")</f>
        <v/>
      </c>
      <c r="AL79" s="99" t="str">
        <f>IFERROR(
IF(C79="VTS",
IF(P79&gt;=AVERAGE(
INDEX(Assumptions!$I$38:$I$57,MATCH(P79,Assumptions!$I$38:$I$57,-1)),
INDEX(Assumptions!$I$38:$I$57,MATCH(P79,Assumptions!$I$38:$I$57,-1)+1)),
INDEX(Assumptions!$I$38:$I$57,MATCH(P79,Assumptions!$I$38:$I$57,-1)),
INDEX(Assumptions!$I$38:$I$57,MATCH(P79,Assumptions!$I$38:$I$57,-1)+1)),
IF(P79&gt;=AVERAGE(
INDEX(Assumptions!$I$13:$I$32,MATCH(P79,Assumptions!$I$13:$I$32,-1)),
INDEX(Assumptions!$I$13:$I$32,MATCH(P79,Assumptions!$I$13:$I$32,-1)+1)),
INDEX(Assumptions!$I$13:$I$32,MATCH(P79,Assumptions!$I$13:$I$32,-1)),
INDEX(Assumptions!$I$13:$I$32,MATCH(P79,Assumptions!$I$13:$I$32,-1)+1))),
"")</f>
        <v/>
      </c>
      <c r="AM79" s="95" t="str">
        <f>IFERROR(
IF(C79="VTS",
VLOOKUP(AL79,Assumptions!$I$38:$K$57,MATCH(R79,Assumptions!$I$37:$K$37,0),FALSE),
VLOOKUP(AL79,Assumptions!$I$13:$K$32,MATCH(R79,Assumptions!$I$12:$K$12,0),FALSE)),
"")</f>
        <v/>
      </c>
      <c r="AN79" s="95" t="str">
        <f t="shared" si="31"/>
        <v/>
      </c>
      <c r="AO79" s="95" t="str">
        <f>IFERROR(AN79*
(Assumptions!$S$7*(X79/(AR79*Assumptions!$AB$9/100)/P79)^3+
Assumptions!$S$8*(X79/(AR79*Assumptions!$AB$9/100)/P79)^2+
Assumptions!$S$9*(X79/(AR79*Assumptions!$AB$9/100)/P79)+
Assumptions!$S$10),"")</f>
        <v/>
      </c>
      <c r="AP79" s="95" t="str">
        <f>IFERROR(AN79*
(Assumptions!$S$7*(AA79/(AR79*Assumptions!$AB$8/100)/P79)^3+
Assumptions!$S$8*(AA79/(AR79*Assumptions!$AB$8/100)/P79)^2+
Assumptions!$S$9*(AA79/(AR79*Assumptions!$AB$8/100)/P79)+
Assumptions!$S$10),"")</f>
        <v/>
      </c>
      <c r="AQ79" s="95" t="str">
        <f>IFERROR(AN79*
(Assumptions!$S$7*(AD79/(AR79*Assumptions!$AB$10/100)/P79)^3+
Assumptions!$S$8*(AD79/(AR79*Assumptions!$AB$10/100)/P79)^2+
Assumptions!$S$9*(AD79/(AR79*Assumptions!$AB$10/100)/P79)+
Assumptions!$S$10),"")</f>
        <v/>
      </c>
      <c r="AR79" s="95" t="str">
        <f>IFERROR(
Assumptions!$AD$8*LN(U79)^2+
Assumptions!$AE$8*LN(T79)*LN(U79)+
Assumptions!$AF$8*LN(T79)^2+
Assumptions!$AG$8*LN(U79)+
Assumptions!$AH$8*LN(T79)-
(IF(S79=1800,
VLOOKUP(C79,Assumptions!$AA$13:$AC$17,3),
IF(S79=3600,
VLOOKUP(C79,Assumptions!$AA$18:$AC$22,3),
""))+Assumptions!$AI$8),
"")</f>
        <v/>
      </c>
      <c r="AS79" s="96" t="str">
        <f>IFERROR(
Assumptions!$D$11*(X79/(Assumptions!$AB$9*AR79/100)+AO79)+
Assumptions!$D$10*(AA79/(Assumptions!$AB$8*AR79/100)+AP79)+
Assumptions!$D$12*(AD79/(Assumptions!$AB$10*AR79/100)+AQ79),
"")</f>
        <v/>
      </c>
      <c r="AT79" s="76" t="str">
        <f>IFERROR(
(W79+AE79)*Assumptions!$F$11+
(AF79+AG79)*Assumptions!$F$8+
(AH79+AI79)*Assumptions!$F$9+
(AJ79+AK79)*Assumptions!$F$10,
"")</f>
        <v/>
      </c>
      <c r="AU79" s="77" t="str">
        <f t="shared" si="32"/>
        <v/>
      </c>
      <c r="AV79" s="68" t="str">
        <f t="shared" si="18"/>
        <v/>
      </c>
    </row>
    <row r="80" spans="1:48" x14ac:dyDescent="0.25">
      <c r="A80" s="264"/>
      <c r="B80" s="265"/>
      <c r="C80" s="265"/>
      <c r="D80" s="265"/>
      <c r="E80" s="266"/>
      <c r="F80" s="270"/>
      <c r="G80" s="271"/>
      <c r="H80" s="271"/>
      <c r="I80" s="272"/>
      <c r="J80" s="270"/>
      <c r="K80" s="271"/>
      <c r="L80" s="272"/>
      <c r="M80" s="270"/>
      <c r="N80" s="271"/>
      <c r="O80" s="272"/>
      <c r="P80" s="290"/>
      <c r="Q80" s="314"/>
      <c r="R80" s="51" t="str">
        <f t="shared" si="17"/>
        <v/>
      </c>
      <c r="S80" s="84" t="str">
        <f t="shared" si="19"/>
        <v/>
      </c>
      <c r="T80" s="93" t="str">
        <f t="shared" si="20"/>
        <v/>
      </c>
      <c r="U80" s="100" t="str">
        <f t="shared" si="21"/>
        <v/>
      </c>
      <c r="V80" s="95" t="str">
        <f t="shared" si="22"/>
        <v/>
      </c>
      <c r="W80" s="95" t="str">
        <f t="shared" si="23"/>
        <v/>
      </c>
      <c r="X80" s="96" t="str">
        <f>IFERROR(U80*V80*Assumptions!$B$15/3956,"")</f>
        <v/>
      </c>
      <c r="Y80" s="102" t="str">
        <f t="shared" si="24"/>
        <v/>
      </c>
      <c r="Z80" s="95" t="str">
        <f t="shared" si="25"/>
        <v/>
      </c>
      <c r="AA80" s="96" t="str">
        <f>IFERROR(Y80*Z80*Assumptions!$B$15/3956,"")</f>
        <v/>
      </c>
      <c r="AB80" s="100" t="str">
        <f t="shared" si="26"/>
        <v/>
      </c>
      <c r="AC80" s="95" t="str">
        <f t="shared" si="27"/>
        <v/>
      </c>
      <c r="AD80" s="96" t="str">
        <f>IFERROR(AB80*AC80*Assumptions!$B$15/3956,"")</f>
        <v/>
      </c>
      <c r="AE80" s="94" t="str">
        <f>IFERROR(
IF(P80&lt;=5,
(Assumptions!$W$8*(W80/P80)^2+(Assumptions!$X$8*(W80/P80))+Assumptions!$Y$8),
IF(P80&lt;=20,
(Assumptions!$W$9*(W80/P80)^2+(Assumptions!$X$9*(W80/P80))+Assumptions!$Y$9),
IF(P80&lt;=50,
(Assumptions!$W$10*(W80/P80)^2+(Assumptions!$X$10*(W80/P80))+Assumptions!$Y$10),
(Assumptions!$W$11*(W80/P80)^2+(Assumptions!$X$11+(W80/P80))+Assumptions!$Y$11)))),
"")</f>
        <v/>
      </c>
      <c r="AF80" s="99" t="str">
        <f t="shared" si="28"/>
        <v/>
      </c>
      <c r="AG80" s="95" t="str">
        <f>IFERROR(
IF(P80&lt;=5,
(Assumptions!$W$8*(AF80/P80)^2+(Assumptions!$X$8*(AF80/P80))+Assumptions!$Y$8),
IF(P80&lt;=20,
(Assumptions!$W$9*(AF80/P80)^2+(Assumptions!$X$9*(AF80/P80))+Assumptions!$Y$9),
IF(P80&lt;=50,
(Assumptions!$W$10*(AF80/P80)^2+(Assumptions!$X$10*(AF80/P80))+Assumptions!$Y$10),
(Assumptions!$W$11*(AF80/P80)^2+(Assumptions!$X$11+(AF80/P80))+Assumptions!$Y$11)))),
"")</f>
        <v/>
      </c>
      <c r="AH80" s="95" t="str">
        <f t="shared" si="29"/>
        <v/>
      </c>
      <c r="AI80" s="95" t="str">
        <f>IFERROR(
IF(P80&lt;=5,
(Assumptions!$W$8*(AH80/P80)^2+(Assumptions!$X$8*(AH80/P80))+Assumptions!$Y$8),
IF(P80&lt;=20,
(Assumptions!$W$9*(AH80/P80)^2+(Assumptions!$X$9*(AH80/P80))+Assumptions!$Y$9),
IF(P80&lt;=50,
(Assumptions!$W$10*(AH80/P80)^2+(Assumptions!$X$10*(AH80/P80))+Assumptions!$Y$10),
(Assumptions!$W$11*(AH80/P80)^2+(Assumptions!$X$11+(AH80/P80))+Assumptions!$Y$11)))),"")</f>
        <v/>
      </c>
      <c r="AJ80" s="95" t="str">
        <f t="shared" si="30"/>
        <v/>
      </c>
      <c r="AK80" s="96" t="str">
        <f>IFERROR(
IF(P80&lt;=5,
(Assumptions!$W$8*(AJ80/P80)^2+(Assumptions!$X$8*(AJ80/P80))+Assumptions!$Y$8),
IF(P80&lt;=20,
(Assumptions!$W$9*(AJ80/P80)^2+(Assumptions!$X$9*(AJ80/P80))+Assumptions!$Y$9),
IF(P80&lt;=50,
(Assumptions!$W$10*(AJ80/P80)^2+(Assumptions!$X$10*(AJ80/P80))+Assumptions!$Y$10),
(Assumptions!$W$11*(AJ80/P80)^2+(Assumptions!$X$11+(AJ80/P80))+Assumptions!$Y$11)))),
"")</f>
        <v/>
      </c>
      <c r="AL80" s="99" t="str">
        <f>IFERROR(
IF(C80="VTS",
IF(P80&gt;=AVERAGE(
INDEX(Assumptions!$I$38:$I$57,MATCH(P80,Assumptions!$I$38:$I$57,-1)),
INDEX(Assumptions!$I$38:$I$57,MATCH(P80,Assumptions!$I$38:$I$57,-1)+1)),
INDEX(Assumptions!$I$38:$I$57,MATCH(P80,Assumptions!$I$38:$I$57,-1)),
INDEX(Assumptions!$I$38:$I$57,MATCH(P80,Assumptions!$I$38:$I$57,-1)+1)),
IF(P80&gt;=AVERAGE(
INDEX(Assumptions!$I$13:$I$32,MATCH(P80,Assumptions!$I$13:$I$32,-1)),
INDEX(Assumptions!$I$13:$I$32,MATCH(P80,Assumptions!$I$13:$I$32,-1)+1)),
INDEX(Assumptions!$I$13:$I$32,MATCH(P80,Assumptions!$I$13:$I$32,-1)),
INDEX(Assumptions!$I$13:$I$32,MATCH(P80,Assumptions!$I$13:$I$32,-1)+1))),
"")</f>
        <v/>
      </c>
      <c r="AM80" s="95" t="str">
        <f>IFERROR(
IF(C80="VTS",
VLOOKUP(AL80,Assumptions!$I$38:$K$57,MATCH(R80,Assumptions!$I$37:$K$37,0),FALSE),
VLOOKUP(AL80,Assumptions!$I$13:$K$32,MATCH(R80,Assumptions!$I$12:$K$12,0),FALSE)),
"")</f>
        <v/>
      </c>
      <c r="AN80" s="95" t="str">
        <f t="shared" si="31"/>
        <v/>
      </c>
      <c r="AO80" s="95" t="str">
        <f>IFERROR(AN80*
(Assumptions!$S$7*(X80/(AR80*Assumptions!$AB$9/100)/P80)^3+
Assumptions!$S$8*(X80/(AR80*Assumptions!$AB$9/100)/P80)^2+
Assumptions!$S$9*(X80/(AR80*Assumptions!$AB$9/100)/P80)+
Assumptions!$S$10),"")</f>
        <v/>
      </c>
      <c r="AP80" s="95" t="str">
        <f>IFERROR(AN80*
(Assumptions!$S$7*(AA80/(AR80*Assumptions!$AB$8/100)/P80)^3+
Assumptions!$S$8*(AA80/(AR80*Assumptions!$AB$8/100)/P80)^2+
Assumptions!$S$9*(AA80/(AR80*Assumptions!$AB$8/100)/P80)+
Assumptions!$S$10),"")</f>
        <v/>
      </c>
      <c r="AQ80" s="95" t="str">
        <f>IFERROR(AN80*
(Assumptions!$S$7*(AD80/(AR80*Assumptions!$AB$10/100)/P80)^3+
Assumptions!$S$8*(AD80/(AR80*Assumptions!$AB$10/100)/P80)^2+
Assumptions!$S$9*(AD80/(AR80*Assumptions!$AB$10/100)/P80)+
Assumptions!$S$10),"")</f>
        <v/>
      </c>
      <c r="AR80" s="95" t="str">
        <f>IFERROR(
Assumptions!$AD$8*LN(U80)^2+
Assumptions!$AE$8*LN(T80)*LN(U80)+
Assumptions!$AF$8*LN(T80)^2+
Assumptions!$AG$8*LN(U80)+
Assumptions!$AH$8*LN(T80)-
(IF(S80=1800,
VLOOKUP(C80,Assumptions!$AA$13:$AC$17,3),
IF(S80=3600,
VLOOKUP(C80,Assumptions!$AA$18:$AC$22,3),
""))+Assumptions!$AI$8),
"")</f>
        <v/>
      </c>
      <c r="AS80" s="96" t="str">
        <f>IFERROR(
Assumptions!$D$11*(X80/(Assumptions!$AB$9*AR80/100)+AO80)+
Assumptions!$D$10*(AA80/(Assumptions!$AB$8*AR80/100)+AP80)+
Assumptions!$D$12*(AD80/(Assumptions!$AB$10*AR80/100)+AQ80),
"")</f>
        <v/>
      </c>
      <c r="AT80" s="76" t="str">
        <f>IFERROR(
(W80+AE80)*Assumptions!$F$11+
(AF80+AG80)*Assumptions!$F$8+
(AH80+AI80)*Assumptions!$F$9+
(AJ80+AK80)*Assumptions!$F$10,
"")</f>
        <v/>
      </c>
      <c r="AU80" s="77" t="str">
        <f t="shared" si="32"/>
        <v/>
      </c>
      <c r="AV80" s="68" t="str">
        <f t="shared" si="18"/>
        <v/>
      </c>
    </row>
    <row r="81" spans="1:48" x14ac:dyDescent="0.25">
      <c r="A81" s="264"/>
      <c r="B81" s="265"/>
      <c r="C81" s="265"/>
      <c r="D81" s="265"/>
      <c r="E81" s="266"/>
      <c r="F81" s="270"/>
      <c r="G81" s="271"/>
      <c r="H81" s="271"/>
      <c r="I81" s="272"/>
      <c r="J81" s="270"/>
      <c r="K81" s="271"/>
      <c r="L81" s="272"/>
      <c r="M81" s="270"/>
      <c r="N81" s="271"/>
      <c r="O81" s="272"/>
      <c r="P81" s="290"/>
      <c r="Q81" s="314"/>
      <c r="R81" s="51" t="str">
        <f t="shared" si="17"/>
        <v/>
      </c>
      <c r="S81" s="84" t="str">
        <f t="shared" si="19"/>
        <v/>
      </c>
      <c r="T81" s="93" t="str">
        <f t="shared" si="20"/>
        <v/>
      </c>
      <c r="U81" s="100" t="str">
        <f t="shared" si="21"/>
        <v/>
      </c>
      <c r="V81" s="95" t="str">
        <f t="shared" si="22"/>
        <v/>
      </c>
      <c r="W81" s="95" t="str">
        <f t="shared" si="23"/>
        <v/>
      </c>
      <c r="X81" s="96" t="str">
        <f>IFERROR(U81*V81*Assumptions!$B$15/3956,"")</f>
        <v/>
      </c>
      <c r="Y81" s="102" t="str">
        <f t="shared" si="24"/>
        <v/>
      </c>
      <c r="Z81" s="95" t="str">
        <f t="shared" si="25"/>
        <v/>
      </c>
      <c r="AA81" s="96" t="str">
        <f>IFERROR(Y81*Z81*Assumptions!$B$15/3956,"")</f>
        <v/>
      </c>
      <c r="AB81" s="100" t="str">
        <f t="shared" si="26"/>
        <v/>
      </c>
      <c r="AC81" s="95" t="str">
        <f t="shared" si="27"/>
        <v/>
      </c>
      <c r="AD81" s="96" t="str">
        <f>IFERROR(AB81*AC81*Assumptions!$B$15/3956,"")</f>
        <v/>
      </c>
      <c r="AE81" s="94" t="str">
        <f>IFERROR(
IF(P81&lt;=5,
(Assumptions!$W$8*(W81/P81)^2+(Assumptions!$X$8*(W81/P81))+Assumptions!$Y$8),
IF(P81&lt;=20,
(Assumptions!$W$9*(W81/P81)^2+(Assumptions!$X$9*(W81/P81))+Assumptions!$Y$9),
IF(P81&lt;=50,
(Assumptions!$W$10*(W81/P81)^2+(Assumptions!$X$10*(W81/P81))+Assumptions!$Y$10),
(Assumptions!$W$11*(W81/P81)^2+(Assumptions!$X$11+(W81/P81))+Assumptions!$Y$11)))),
"")</f>
        <v/>
      </c>
      <c r="AF81" s="99" t="str">
        <f t="shared" si="28"/>
        <v/>
      </c>
      <c r="AG81" s="95" t="str">
        <f>IFERROR(
IF(P81&lt;=5,
(Assumptions!$W$8*(AF81/P81)^2+(Assumptions!$X$8*(AF81/P81))+Assumptions!$Y$8),
IF(P81&lt;=20,
(Assumptions!$W$9*(AF81/P81)^2+(Assumptions!$X$9*(AF81/P81))+Assumptions!$Y$9),
IF(P81&lt;=50,
(Assumptions!$W$10*(AF81/P81)^2+(Assumptions!$X$10*(AF81/P81))+Assumptions!$Y$10),
(Assumptions!$W$11*(AF81/P81)^2+(Assumptions!$X$11+(AF81/P81))+Assumptions!$Y$11)))),
"")</f>
        <v/>
      </c>
      <c r="AH81" s="95" t="str">
        <f t="shared" si="29"/>
        <v/>
      </c>
      <c r="AI81" s="95" t="str">
        <f>IFERROR(
IF(P81&lt;=5,
(Assumptions!$W$8*(AH81/P81)^2+(Assumptions!$X$8*(AH81/P81))+Assumptions!$Y$8),
IF(P81&lt;=20,
(Assumptions!$W$9*(AH81/P81)^2+(Assumptions!$X$9*(AH81/P81))+Assumptions!$Y$9),
IF(P81&lt;=50,
(Assumptions!$W$10*(AH81/P81)^2+(Assumptions!$X$10*(AH81/P81))+Assumptions!$Y$10),
(Assumptions!$W$11*(AH81/P81)^2+(Assumptions!$X$11+(AH81/P81))+Assumptions!$Y$11)))),"")</f>
        <v/>
      </c>
      <c r="AJ81" s="95" t="str">
        <f t="shared" si="30"/>
        <v/>
      </c>
      <c r="AK81" s="96" t="str">
        <f>IFERROR(
IF(P81&lt;=5,
(Assumptions!$W$8*(AJ81/P81)^2+(Assumptions!$X$8*(AJ81/P81))+Assumptions!$Y$8),
IF(P81&lt;=20,
(Assumptions!$W$9*(AJ81/P81)^2+(Assumptions!$X$9*(AJ81/P81))+Assumptions!$Y$9),
IF(P81&lt;=50,
(Assumptions!$W$10*(AJ81/P81)^2+(Assumptions!$X$10*(AJ81/P81))+Assumptions!$Y$10),
(Assumptions!$W$11*(AJ81/P81)^2+(Assumptions!$X$11+(AJ81/P81))+Assumptions!$Y$11)))),
"")</f>
        <v/>
      </c>
      <c r="AL81" s="99" t="str">
        <f>IFERROR(
IF(C81="VTS",
IF(P81&gt;=AVERAGE(
INDEX(Assumptions!$I$38:$I$57,MATCH(P81,Assumptions!$I$38:$I$57,-1)),
INDEX(Assumptions!$I$38:$I$57,MATCH(P81,Assumptions!$I$38:$I$57,-1)+1)),
INDEX(Assumptions!$I$38:$I$57,MATCH(P81,Assumptions!$I$38:$I$57,-1)),
INDEX(Assumptions!$I$38:$I$57,MATCH(P81,Assumptions!$I$38:$I$57,-1)+1)),
IF(P81&gt;=AVERAGE(
INDEX(Assumptions!$I$13:$I$32,MATCH(P81,Assumptions!$I$13:$I$32,-1)),
INDEX(Assumptions!$I$13:$I$32,MATCH(P81,Assumptions!$I$13:$I$32,-1)+1)),
INDEX(Assumptions!$I$13:$I$32,MATCH(P81,Assumptions!$I$13:$I$32,-1)),
INDEX(Assumptions!$I$13:$I$32,MATCH(P81,Assumptions!$I$13:$I$32,-1)+1))),
"")</f>
        <v/>
      </c>
      <c r="AM81" s="95" t="str">
        <f>IFERROR(
IF(C81="VTS",
VLOOKUP(AL81,Assumptions!$I$38:$K$57,MATCH(R81,Assumptions!$I$37:$K$37,0),FALSE),
VLOOKUP(AL81,Assumptions!$I$13:$K$32,MATCH(R81,Assumptions!$I$12:$K$12,0),FALSE)),
"")</f>
        <v/>
      </c>
      <c r="AN81" s="95" t="str">
        <f t="shared" si="31"/>
        <v/>
      </c>
      <c r="AO81" s="95" t="str">
        <f>IFERROR(AN81*
(Assumptions!$S$7*(X81/(AR81*Assumptions!$AB$9/100)/P81)^3+
Assumptions!$S$8*(X81/(AR81*Assumptions!$AB$9/100)/P81)^2+
Assumptions!$S$9*(X81/(AR81*Assumptions!$AB$9/100)/P81)+
Assumptions!$S$10),"")</f>
        <v/>
      </c>
      <c r="AP81" s="95" t="str">
        <f>IFERROR(AN81*
(Assumptions!$S$7*(AA81/(AR81*Assumptions!$AB$8/100)/P81)^3+
Assumptions!$S$8*(AA81/(AR81*Assumptions!$AB$8/100)/P81)^2+
Assumptions!$S$9*(AA81/(AR81*Assumptions!$AB$8/100)/P81)+
Assumptions!$S$10),"")</f>
        <v/>
      </c>
      <c r="AQ81" s="95" t="str">
        <f>IFERROR(AN81*
(Assumptions!$S$7*(AD81/(AR81*Assumptions!$AB$10/100)/P81)^3+
Assumptions!$S$8*(AD81/(AR81*Assumptions!$AB$10/100)/P81)^2+
Assumptions!$S$9*(AD81/(AR81*Assumptions!$AB$10/100)/P81)+
Assumptions!$S$10),"")</f>
        <v/>
      </c>
      <c r="AR81" s="95" t="str">
        <f>IFERROR(
Assumptions!$AD$8*LN(U81)^2+
Assumptions!$AE$8*LN(T81)*LN(U81)+
Assumptions!$AF$8*LN(T81)^2+
Assumptions!$AG$8*LN(U81)+
Assumptions!$AH$8*LN(T81)-
(IF(S81=1800,
VLOOKUP(C81,Assumptions!$AA$13:$AC$17,3),
IF(S81=3600,
VLOOKUP(C81,Assumptions!$AA$18:$AC$22,3),
""))+Assumptions!$AI$8),
"")</f>
        <v/>
      </c>
      <c r="AS81" s="96" t="str">
        <f>IFERROR(
Assumptions!$D$11*(X81/(Assumptions!$AB$9*AR81/100)+AO81)+
Assumptions!$D$10*(AA81/(Assumptions!$AB$8*AR81/100)+AP81)+
Assumptions!$D$12*(AD81/(Assumptions!$AB$10*AR81/100)+AQ81),
"")</f>
        <v/>
      </c>
      <c r="AT81" s="76" t="str">
        <f>IFERROR(
(W81+AE81)*Assumptions!$F$11+
(AF81+AG81)*Assumptions!$F$8+
(AH81+AI81)*Assumptions!$F$9+
(AJ81+AK81)*Assumptions!$F$10,
"")</f>
        <v/>
      </c>
      <c r="AU81" s="77" t="str">
        <f t="shared" si="32"/>
        <v/>
      </c>
      <c r="AV81" s="68" t="str">
        <f t="shared" si="18"/>
        <v/>
      </c>
    </row>
    <row r="82" spans="1:48" x14ac:dyDescent="0.25">
      <c r="A82" s="264"/>
      <c r="B82" s="265"/>
      <c r="C82" s="265"/>
      <c r="D82" s="265"/>
      <c r="E82" s="266"/>
      <c r="F82" s="270"/>
      <c r="G82" s="271"/>
      <c r="H82" s="271"/>
      <c r="I82" s="272"/>
      <c r="J82" s="270"/>
      <c r="K82" s="271"/>
      <c r="L82" s="272"/>
      <c r="M82" s="270"/>
      <c r="N82" s="271"/>
      <c r="O82" s="272"/>
      <c r="P82" s="290"/>
      <c r="Q82" s="314"/>
      <c r="R82" s="51" t="str">
        <f t="shared" si="17"/>
        <v/>
      </c>
      <c r="S82" s="84" t="str">
        <f t="shared" si="19"/>
        <v/>
      </c>
      <c r="T82" s="93" t="str">
        <f t="shared" si="20"/>
        <v/>
      </c>
      <c r="U82" s="100" t="str">
        <f t="shared" si="21"/>
        <v/>
      </c>
      <c r="V82" s="95" t="str">
        <f t="shared" si="22"/>
        <v/>
      </c>
      <c r="W82" s="95" t="str">
        <f t="shared" si="23"/>
        <v/>
      </c>
      <c r="X82" s="96" t="str">
        <f>IFERROR(U82*V82*Assumptions!$B$15/3956,"")</f>
        <v/>
      </c>
      <c r="Y82" s="102" t="str">
        <f t="shared" si="24"/>
        <v/>
      </c>
      <c r="Z82" s="95" t="str">
        <f t="shared" si="25"/>
        <v/>
      </c>
      <c r="AA82" s="96" t="str">
        <f>IFERROR(Y82*Z82*Assumptions!$B$15/3956,"")</f>
        <v/>
      </c>
      <c r="AB82" s="100" t="str">
        <f t="shared" si="26"/>
        <v/>
      </c>
      <c r="AC82" s="95" t="str">
        <f t="shared" si="27"/>
        <v/>
      </c>
      <c r="AD82" s="96" t="str">
        <f>IFERROR(AB82*AC82*Assumptions!$B$15/3956,"")</f>
        <v/>
      </c>
      <c r="AE82" s="94" t="str">
        <f>IFERROR(
IF(P82&lt;=5,
(Assumptions!$W$8*(W82/P82)^2+(Assumptions!$X$8*(W82/P82))+Assumptions!$Y$8),
IF(P82&lt;=20,
(Assumptions!$W$9*(W82/P82)^2+(Assumptions!$X$9*(W82/P82))+Assumptions!$Y$9),
IF(P82&lt;=50,
(Assumptions!$W$10*(W82/P82)^2+(Assumptions!$X$10*(W82/P82))+Assumptions!$Y$10),
(Assumptions!$W$11*(W82/P82)^2+(Assumptions!$X$11+(W82/P82))+Assumptions!$Y$11)))),
"")</f>
        <v/>
      </c>
      <c r="AF82" s="99" t="str">
        <f t="shared" si="28"/>
        <v/>
      </c>
      <c r="AG82" s="95" t="str">
        <f>IFERROR(
IF(P82&lt;=5,
(Assumptions!$W$8*(AF82/P82)^2+(Assumptions!$X$8*(AF82/P82))+Assumptions!$Y$8),
IF(P82&lt;=20,
(Assumptions!$W$9*(AF82/P82)^2+(Assumptions!$X$9*(AF82/P82))+Assumptions!$Y$9),
IF(P82&lt;=50,
(Assumptions!$W$10*(AF82/P82)^2+(Assumptions!$X$10*(AF82/P82))+Assumptions!$Y$10),
(Assumptions!$W$11*(AF82/P82)^2+(Assumptions!$X$11+(AF82/P82))+Assumptions!$Y$11)))),
"")</f>
        <v/>
      </c>
      <c r="AH82" s="95" t="str">
        <f t="shared" si="29"/>
        <v/>
      </c>
      <c r="AI82" s="95" t="str">
        <f>IFERROR(
IF(P82&lt;=5,
(Assumptions!$W$8*(AH82/P82)^2+(Assumptions!$X$8*(AH82/P82))+Assumptions!$Y$8),
IF(P82&lt;=20,
(Assumptions!$W$9*(AH82/P82)^2+(Assumptions!$X$9*(AH82/P82))+Assumptions!$Y$9),
IF(P82&lt;=50,
(Assumptions!$W$10*(AH82/P82)^2+(Assumptions!$X$10*(AH82/P82))+Assumptions!$Y$10),
(Assumptions!$W$11*(AH82/P82)^2+(Assumptions!$X$11+(AH82/P82))+Assumptions!$Y$11)))),"")</f>
        <v/>
      </c>
      <c r="AJ82" s="95" t="str">
        <f t="shared" si="30"/>
        <v/>
      </c>
      <c r="AK82" s="96" t="str">
        <f>IFERROR(
IF(P82&lt;=5,
(Assumptions!$W$8*(AJ82/P82)^2+(Assumptions!$X$8*(AJ82/P82))+Assumptions!$Y$8),
IF(P82&lt;=20,
(Assumptions!$W$9*(AJ82/P82)^2+(Assumptions!$X$9*(AJ82/P82))+Assumptions!$Y$9),
IF(P82&lt;=50,
(Assumptions!$W$10*(AJ82/P82)^2+(Assumptions!$X$10*(AJ82/P82))+Assumptions!$Y$10),
(Assumptions!$W$11*(AJ82/P82)^2+(Assumptions!$X$11+(AJ82/P82))+Assumptions!$Y$11)))),
"")</f>
        <v/>
      </c>
      <c r="AL82" s="99" t="str">
        <f>IFERROR(
IF(C82="VTS",
IF(P82&gt;=AVERAGE(
INDEX(Assumptions!$I$38:$I$57,MATCH(P82,Assumptions!$I$38:$I$57,-1)),
INDEX(Assumptions!$I$38:$I$57,MATCH(P82,Assumptions!$I$38:$I$57,-1)+1)),
INDEX(Assumptions!$I$38:$I$57,MATCH(P82,Assumptions!$I$38:$I$57,-1)),
INDEX(Assumptions!$I$38:$I$57,MATCH(P82,Assumptions!$I$38:$I$57,-1)+1)),
IF(P82&gt;=AVERAGE(
INDEX(Assumptions!$I$13:$I$32,MATCH(P82,Assumptions!$I$13:$I$32,-1)),
INDEX(Assumptions!$I$13:$I$32,MATCH(P82,Assumptions!$I$13:$I$32,-1)+1)),
INDEX(Assumptions!$I$13:$I$32,MATCH(P82,Assumptions!$I$13:$I$32,-1)),
INDEX(Assumptions!$I$13:$I$32,MATCH(P82,Assumptions!$I$13:$I$32,-1)+1))),
"")</f>
        <v/>
      </c>
      <c r="AM82" s="95" t="str">
        <f>IFERROR(
IF(C82="VTS",
VLOOKUP(AL82,Assumptions!$I$38:$K$57,MATCH(R82,Assumptions!$I$37:$K$37,0),FALSE),
VLOOKUP(AL82,Assumptions!$I$13:$K$32,MATCH(R82,Assumptions!$I$12:$K$12,0),FALSE)),
"")</f>
        <v/>
      </c>
      <c r="AN82" s="95" t="str">
        <f t="shared" si="31"/>
        <v/>
      </c>
      <c r="AO82" s="95" t="str">
        <f>IFERROR(AN82*
(Assumptions!$S$7*(X82/(AR82*Assumptions!$AB$9/100)/P82)^3+
Assumptions!$S$8*(X82/(AR82*Assumptions!$AB$9/100)/P82)^2+
Assumptions!$S$9*(X82/(AR82*Assumptions!$AB$9/100)/P82)+
Assumptions!$S$10),"")</f>
        <v/>
      </c>
      <c r="AP82" s="95" t="str">
        <f>IFERROR(AN82*
(Assumptions!$S$7*(AA82/(AR82*Assumptions!$AB$8/100)/P82)^3+
Assumptions!$S$8*(AA82/(AR82*Assumptions!$AB$8/100)/P82)^2+
Assumptions!$S$9*(AA82/(AR82*Assumptions!$AB$8/100)/P82)+
Assumptions!$S$10),"")</f>
        <v/>
      </c>
      <c r="AQ82" s="95" t="str">
        <f>IFERROR(AN82*
(Assumptions!$S$7*(AD82/(AR82*Assumptions!$AB$10/100)/P82)^3+
Assumptions!$S$8*(AD82/(AR82*Assumptions!$AB$10/100)/P82)^2+
Assumptions!$S$9*(AD82/(AR82*Assumptions!$AB$10/100)/P82)+
Assumptions!$S$10),"")</f>
        <v/>
      </c>
      <c r="AR82" s="95" t="str">
        <f>IFERROR(
Assumptions!$AD$8*LN(U82)^2+
Assumptions!$AE$8*LN(T82)*LN(U82)+
Assumptions!$AF$8*LN(T82)^2+
Assumptions!$AG$8*LN(U82)+
Assumptions!$AH$8*LN(T82)-
(IF(S82=1800,
VLOOKUP(C82,Assumptions!$AA$13:$AC$17,3),
IF(S82=3600,
VLOOKUP(C82,Assumptions!$AA$18:$AC$22,3),
""))+Assumptions!$AI$8),
"")</f>
        <v/>
      </c>
      <c r="AS82" s="96" t="str">
        <f>IFERROR(
Assumptions!$D$11*(X82/(Assumptions!$AB$9*AR82/100)+AO82)+
Assumptions!$D$10*(AA82/(Assumptions!$AB$8*AR82/100)+AP82)+
Assumptions!$D$12*(AD82/(Assumptions!$AB$10*AR82/100)+AQ82),
"")</f>
        <v/>
      </c>
      <c r="AT82" s="76" t="str">
        <f>IFERROR(
(W82+AE82)*Assumptions!$F$11+
(AF82+AG82)*Assumptions!$F$8+
(AH82+AI82)*Assumptions!$F$9+
(AJ82+AK82)*Assumptions!$F$10,
"")</f>
        <v/>
      </c>
      <c r="AU82" s="77" t="str">
        <f t="shared" si="32"/>
        <v/>
      </c>
      <c r="AV82" s="68" t="str">
        <f t="shared" si="18"/>
        <v/>
      </c>
    </row>
    <row r="83" spans="1:48" x14ac:dyDescent="0.25">
      <c r="A83" s="264"/>
      <c r="B83" s="265"/>
      <c r="C83" s="265"/>
      <c r="D83" s="265"/>
      <c r="E83" s="266"/>
      <c r="F83" s="270"/>
      <c r="G83" s="271"/>
      <c r="H83" s="271"/>
      <c r="I83" s="272"/>
      <c r="J83" s="270"/>
      <c r="K83" s="271"/>
      <c r="L83" s="272"/>
      <c r="M83" s="270"/>
      <c r="N83" s="271"/>
      <c r="O83" s="272"/>
      <c r="P83" s="290"/>
      <c r="Q83" s="314"/>
      <c r="R83" s="51" t="str">
        <f t="shared" si="17"/>
        <v/>
      </c>
      <c r="S83" s="84" t="str">
        <f t="shared" si="19"/>
        <v/>
      </c>
      <c r="T83" s="93" t="str">
        <f t="shared" si="20"/>
        <v/>
      </c>
      <c r="U83" s="100" t="str">
        <f t="shared" si="21"/>
        <v/>
      </c>
      <c r="V83" s="95" t="str">
        <f t="shared" si="22"/>
        <v/>
      </c>
      <c r="W83" s="95" t="str">
        <f t="shared" si="23"/>
        <v/>
      </c>
      <c r="X83" s="96" t="str">
        <f>IFERROR(U83*V83*Assumptions!$B$15/3956,"")</f>
        <v/>
      </c>
      <c r="Y83" s="102" t="str">
        <f t="shared" si="24"/>
        <v/>
      </c>
      <c r="Z83" s="95" t="str">
        <f t="shared" si="25"/>
        <v/>
      </c>
      <c r="AA83" s="96" t="str">
        <f>IFERROR(Y83*Z83*Assumptions!$B$15/3956,"")</f>
        <v/>
      </c>
      <c r="AB83" s="100" t="str">
        <f t="shared" si="26"/>
        <v/>
      </c>
      <c r="AC83" s="95" t="str">
        <f t="shared" si="27"/>
        <v/>
      </c>
      <c r="AD83" s="96" t="str">
        <f>IFERROR(AB83*AC83*Assumptions!$B$15/3956,"")</f>
        <v/>
      </c>
      <c r="AE83" s="94" t="str">
        <f>IFERROR(
IF(P83&lt;=5,
(Assumptions!$W$8*(W83/P83)^2+(Assumptions!$X$8*(W83/P83))+Assumptions!$Y$8),
IF(P83&lt;=20,
(Assumptions!$W$9*(W83/P83)^2+(Assumptions!$X$9*(W83/P83))+Assumptions!$Y$9),
IF(P83&lt;=50,
(Assumptions!$W$10*(W83/P83)^2+(Assumptions!$X$10*(W83/P83))+Assumptions!$Y$10),
(Assumptions!$W$11*(W83/P83)^2+(Assumptions!$X$11+(W83/P83))+Assumptions!$Y$11)))),
"")</f>
        <v/>
      </c>
      <c r="AF83" s="99" t="str">
        <f t="shared" si="28"/>
        <v/>
      </c>
      <c r="AG83" s="95" t="str">
        <f>IFERROR(
IF(P83&lt;=5,
(Assumptions!$W$8*(AF83/P83)^2+(Assumptions!$X$8*(AF83/P83))+Assumptions!$Y$8),
IF(P83&lt;=20,
(Assumptions!$W$9*(AF83/P83)^2+(Assumptions!$X$9*(AF83/P83))+Assumptions!$Y$9),
IF(P83&lt;=50,
(Assumptions!$W$10*(AF83/P83)^2+(Assumptions!$X$10*(AF83/P83))+Assumptions!$Y$10),
(Assumptions!$W$11*(AF83/P83)^2+(Assumptions!$X$11+(AF83/P83))+Assumptions!$Y$11)))),
"")</f>
        <v/>
      </c>
      <c r="AH83" s="95" t="str">
        <f t="shared" si="29"/>
        <v/>
      </c>
      <c r="AI83" s="95" t="str">
        <f>IFERROR(
IF(P83&lt;=5,
(Assumptions!$W$8*(AH83/P83)^2+(Assumptions!$X$8*(AH83/P83))+Assumptions!$Y$8),
IF(P83&lt;=20,
(Assumptions!$W$9*(AH83/P83)^2+(Assumptions!$X$9*(AH83/P83))+Assumptions!$Y$9),
IF(P83&lt;=50,
(Assumptions!$W$10*(AH83/P83)^2+(Assumptions!$X$10*(AH83/P83))+Assumptions!$Y$10),
(Assumptions!$W$11*(AH83/P83)^2+(Assumptions!$X$11+(AH83/P83))+Assumptions!$Y$11)))),"")</f>
        <v/>
      </c>
      <c r="AJ83" s="95" t="str">
        <f t="shared" si="30"/>
        <v/>
      </c>
      <c r="AK83" s="96" t="str">
        <f>IFERROR(
IF(P83&lt;=5,
(Assumptions!$W$8*(AJ83/P83)^2+(Assumptions!$X$8*(AJ83/P83))+Assumptions!$Y$8),
IF(P83&lt;=20,
(Assumptions!$W$9*(AJ83/P83)^2+(Assumptions!$X$9*(AJ83/P83))+Assumptions!$Y$9),
IF(P83&lt;=50,
(Assumptions!$W$10*(AJ83/P83)^2+(Assumptions!$X$10*(AJ83/P83))+Assumptions!$Y$10),
(Assumptions!$W$11*(AJ83/P83)^2+(Assumptions!$X$11+(AJ83/P83))+Assumptions!$Y$11)))),
"")</f>
        <v/>
      </c>
      <c r="AL83" s="99" t="str">
        <f>IFERROR(
IF(C83="VTS",
IF(P83&gt;=AVERAGE(
INDEX(Assumptions!$I$38:$I$57,MATCH(P83,Assumptions!$I$38:$I$57,-1)),
INDEX(Assumptions!$I$38:$I$57,MATCH(P83,Assumptions!$I$38:$I$57,-1)+1)),
INDEX(Assumptions!$I$38:$I$57,MATCH(P83,Assumptions!$I$38:$I$57,-1)),
INDEX(Assumptions!$I$38:$I$57,MATCH(P83,Assumptions!$I$38:$I$57,-1)+1)),
IF(P83&gt;=AVERAGE(
INDEX(Assumptions!$I$13:$I$32,MATCH(P83,Assumptions!$I$13:$I$32,-1)),
INDEX(Assumptions!$I$13:$I$32,MATCH(P83,Assumptions!$I$13:$I$32,-1)+1)),
INDEX(Assumptions!$I$13:$I$32,MATCH(P83,Assumptions!$I$13:$I$32,-1)),
INDEX(Assumptions!$I$13:$I$32,MATCH(P83,Assumptions!$I$13:$I$32,-1)+1))),
"")</f>
        <v/>
      </c>
      <c r="AM83" s="95" t="str">
        <f>IFERROR(
IF(C83="VTS",
VLOOKUP(AL83,Assumptions!$I$38:$K$57,MATCH(R83,Assumptions!$I$37:$K$37,0),FALSE),
VLOOKUP(AL83,Assumptions!$I$13:$K$32,MATCH(R83,Assumptions!$I$12:$K$12,0),FALSE)),
"")</f>
        <v/>
      </c>
      <c r="AN83" s="95" t="str">
        <f t="shared" si="31"/>
        <v/>
      </c>
      <c r="AO83" s="95" t="str">
        <f>IFERROR(AN83*
(Assumptions!$S$7*(X83/(AR83*Assumptions!$AB$9/100)/P83)^3+
Assumptions!$S$8*(X83/(AR83*Assumptions!$AB$9/100)/P83)^2+
Assumptions!$S$9*(X83/(AR83*Assumptions!$AB$9/100)/P83)+
Assumptions!$S$10),"")</f>
        <v/>
      </c>
      <c r="AP83" s="95" t="str">
        <f>IFERROR(AN83*
(Assumptions!$S$7*(AA83/(AR83*Assumptions!$AB$8/100)/P83)^3+
Assumptions!$S$8*(AA83/(AR83*Assumptions!$AB$8/100)/P83)^2+
Assumptions!$S$9*(AA83/(AR83*Assumptions!$AB$8/100)/P83)+
Assumptions!$S$10),"")</f>
        <v/>
      </c>
      <c r="AQ83" s="95" t="str">
        <f>IFERROR(AN83*
(Assumptions!$S$7*(AD83/(AR83*Assumptions!$AB$10/100)/P83)^3+
Assumptions!$S$8*(AD83/(AR83*Assumptions!$AB$10/100)/P83)^2+
Assumptions!$S$9*(AD83/(AR83*Assumptions!$AB$10/100)/P83)+
Assumptions!$S$10),"")</f>
        <v/>
      </c>
      <c r="AR83" s="95" t="str">
        <f>IFERROR(
Assumptions!$AD$8*LN(U83)^2+
Assumptions!$AE$8*LN(T83)*LN(U83)+
Assumptions!$AF$8*LN(T83)^2+
Assumptions!$AG$8*LN(U83)+
Assumptions!$AH$8*LN(T83)-
(IF(S83=1800,
VLOOKUP(C83,Assumptions!$AA$13:$AC$17,3),
IF(S83=3600,
VLOOKUP(C83,Assumptions!$AA$18:$AC$22,3),
""))+Assumptions!$AI$8),
"")</f>
        <v/>
      </c>
      <c r="AS83" s="96" t="str">
        <f>IFERROR(
Assumptions!$D$11*(X83/(Assumptions!$AB$9*AR83/100)+AO83)+
Assumptions!$D$10*(AA83/(Assumptions!$AB$8*AR83/100)+AP83)+
Assumptions!$D$12*(AD83/(Assumptions!$AB$10*AR83/100)+AQ83),
"")</f>
        <v/>
      </c>
      <c r="AT83" s="76" t="str">
        <f>IFERROR(
(W83+AE83)*Assumptions!$F$11+
(AF83+AG83)*Assumptions!$F$8+
(AH83+AI83)*Assumptions!$F$9+
(AJ83+AK83)*Assumptions!$F$10,
"")</f>
        <v/>
      </c>
      <c r="AU83" s="77" t="str">
        <f t="shared" si="32"/>
        <v/>
      </c>
      <c r="AV83" s="68" t="str">
        <f t="shared" si="18"/>
        <v/>
      </c>
    </row>
    <row r="84" spans="1:48" x14ac:dyDescent="0.25">
      <c r="A84" s="264"/>
      <c r="B84" s="265"/>
      <c r="C84" s="265"/>
      <c r="D84" s="265"/>
      <c r="E84" s="266"/>
      <c r="F84" s="270"/>
      <c r="G84" s="271"/>
      <c r="H84" s="271"/>
      <c r="I84" s="272"/>
      <c r="J84" s="270"/>
      <c r="K84" s="271"/>
      <c r="L84" s="272"/>
      <c r="M84" s="270"/>
      <c r="N84" s="271"/>
      <c r="O84" s="272"/>
      <c r="P84" s="290"/>
      <c r="Q84" s="314"/>
      <c r="R84" s="51" t="str">
        <f t="shared" si="17"/>
        <v/>
      </c>
      <c r="S84" s="84" t="str">
        <f t="shared" si="19"/>
        <v/>
      </c>
      <c r="T84" s="93" t="str">
        <f t="shared" si="20"/>
        <v/>
      </c>
      <c r="U84" s="100" t="str">
        <f t="shared" si="21"/>
        <v/>
      </c>
      <c r="V84" s="95" t="str">
        <f t="shared" si="22"/>
        <v/>
      </c>
      <c r="W84" s="95" t="str">
        <f t="shared" si="23"/>
        <v/>
      </c>
      <c r="X84" s="96" t="str">
        <f>IFERROR(U84*V84*Assumptions!$B$15/3956,"")</f>
        <v/>
      </c>
      <c r="Y84" s="102" t="str">
        <f t="shared" si="24"/>
        <v/>
      </c>
      <c r="Z84" s="95" t="str">
        <f t="shared" si="25"/>
        <v/>
      </c>
      <c r="AA84" s="96" t="str">
        <f>IFERROR(Y84*Z84*Assumptions!$B$15/3956,"")</f>
        <v/>
      </c>
      <c r="AB84" s="100" t="str">
        <f t="shared" si="26"/>
        <v/>
      </c>
      <c r="AC84" s="95" t="str">
        <f t="shared" si="27"/>
        <v/>
      </c>
      <c r="AD84" s="96" t="str">
        <f>IFERROR(AB84*AC84*Assumptions!$B$15/3956,"")</f>
        <v/>
      </c>
      <c r="AE84" s="94" t="str">
        <f>IFERROR(
IF(P84&lt;=5,
(Assumptions!$W$8*(W84/P84)^2+(Assumptions!$X$8*(W84/P84))+Assumptions!$Y$8),
IF(P84&lt;=20,
(Assumptions!$W$9*(W84/P84)^2+(Assumptions!$X$9*(W84/P84))+Assumptions!$Y$9),
IF(P84&lt;=50,
(Assumptions!$W$10*(W84/P84)^2+(Assumptions!$X$10*(W84/P84))+Assumptions!$Y$10),
(Assumptions!$W$11*(W84/P84)^2+(Assumptions!$X$11+(W84/P84))+Assumptions!$Y$11)))),
"")</f>
        <v/>
      </c>
      <c r="AF84" s="99" t="str">
        <f t="shared" si="28"/>
        <v/>
      </c>
      <c r="AG84" s="95" t="str">
        <f>IFERROR(
IF(P84&lt;=5,
(Assumptions!$W$8*(AF84/P84)^2+(Assumptions!$X$8*(AF84/P84))+Assumptions!$Y$8),
IF(P84&lt;=20,
(Assumptions!$W$9*(AF84/P84)^2+(Assumptions!$X$9*(AF84/P84))+Assumptions!$Y$9),
IF(P84&lt;=50,
(Assumptions!$W$10*(AF84/P84)^2+(Assumptions!$X$10*(AF84/P84))+Assumptions!$Y$10),
(Assumptions!$W$11*(AF84/P84)^2+(Assumptions!$X$11+(AF84/P84))+Assumptions!$Y$11)))),
"")</f>
        <v/>
      </c>
      <c r="AH84" s="95" t="str">
        <f t="shared" si="29"/>
        <v/>
      </c>
      <c r="AI84" s="95" t="str">
        <f>IFERROR(
IF(P84&lt;=5,
(Assumptions!$W$8*(AH84/P84)^2+(Assumptions!$X$8*(AH84/P84))+Assumptions!$Y$8),
IF(P84&lt;=20,
(Assumptions!$W$9*(AH84/P84)^2+(Assumptions!$X$9*(AH84/P84))+Assumptions!$Y$9),
IF(P84&lt;=50,
(Assumptions!$W$10*(AH84/P84)^2+(Assumptions!$X$10*(AH84/P84))+Assumptions!$Y$10),
(Assumptions!$W$11*(AH84/P84)^2+(Assumptions!$X$11+(AH84/P84))+Assumptions!$Y$11)))),"")</f>
        <v/>
      </c>
      <c r="AJ84" s="95" t="str">
        <f t="shared" si="30"/>
        <v/>
      </c>
      <c r="AK84" s="96" t="str">
        <f>IFERROR(
IF(P84&lt;=5,
(Assumptions!$W$8*(AJ84/P84)^2+(Assumptions!$X$8*(AJ84/P84))+Assumptions!$Y$8),
IF(P84&lt;=20,
(Assumptions!$W$9*(AJ84/P84)^2+(Assumptions!$X$9*(AJ84/P84))+Assumptions!$Y$9),
IF(P84&lt;=50,
(Assumptions!$W$10*(AJ84/P84)^2+(Assumptions!$X$10*(AJ84/P84))+Assumptions!$Y$10),
(Assumptions!$W$11*(AJ84/P84)^2+(Assumptions!$X$11+(AJ84/P84))+Assumptions!$Y$11)))),
"")</f>
        <v/>
      </c>
      <c r="AL84" s="99" t="str">
        <f>IFERROR(
IF(C84="VTS",
IF(P84&gt;=AVERAGE(
INDEX(Assumptions!$I$38:$I$57,MATCH(P84,Assumptions!$I$38:$I$57,-1)),
INDEX(Assumptions!$I$38:$I$57,MATCH(P84,Assumptions!$I$38:$I$57,-1)+1)),
INDEX(Assumptions!$I$38:$I$57,MATCH(P84,Assumptions!$I$38:$I$57,-1)),
INDEX(Assumptions!$I$38:$I$57,MATCH(P84,Assumptions!$I$38:$I$57,-1)+1)),
IF(P84&gt;=AVERAGE(
INDEX(Assumptions!$I$13:$I$32,MATCH(P84,Assumptions!$I$13:$I$32,-1)),
INDEX(Assumptions!$I$13:$I$32,MATCH(P84,Assumptions!$I$13:$I$32,-1)+1)),
INDEX(Assumptions!$I$13:$I$32,MATCH(P84,Assumptions!$I$13:$I$32,-1)),
INDEX(Assumptions!$I$13:$I$32,MATCH(P84,Assumptions!$I$13:$I$32,-1)+1))),
"")</f>
        <v/>
      </c>
      <c r="AM84" s="95" t="str">
        <f>IFERROR(
IF(C84="VTS",
VLOOKUP(AL84,Assumptions!$I$38:$K$57,MATCH(R84,Assumptions!$I$37:$K$37,0),FALSE),
VLOOKUP(AL84,Assumptions!$I$13:$K$32,MATCH(R84,Assumptions!$I$12:$K$12,0),FALSE)),
"")</f>
        <v/>
      </c>
      <c r="AN84" s="95" t="str">
        <f t="shared" si="31"/>
        <v/>
      </c>
      <c r="AO84" s="95" t="str">
        <f>IFERROR(AN84*
(Assumptions!$S$7*(X84/(AR84*Assumptions!$AB$9/100)/P84)^3+
Assumptions!$S$8*(X84/(AR84*Assumptions!$AB$9/100)/P84)^2+
Assumptions!$S$9*(X84/(AR84*Assumptions!$AB$9/100)/P84)+
Assumptions!$S$10),"")</f>
        <v/>
      </c>
      <c r="AP84" s="95" t="str">
        <f>IFERROR(AN84*
(Assumptions!$S$7*(AA84/(AR84*Assumptions!$AB$8/100)/P84)^3+
Assumptions!$S$8*(AA84/(AR84*Assumptions!$AB$8/100)/P84)^2+
Assumptions!$S$9*(AA84/(AR84*Assumptions!$AB$8/100)/P84)+
Assumptions!$S$10),"")</f>
        <v/>
      </c>
      <c r="AQ84" s="95" t="str">
        <f>IFERROR(AN84*
(Assumptions!$S$7*(AD84/(AR84*Assumptions!$AB$10/100)/P84)^3+
Assumptions!$S$8*(AD84/(AR84*Assumptions!$AB$10/100)/P84)^2+
Assumptions!$S$9*(AD84/(AR84*Assumptions!$AB$10/100)/P84)+
Assumptions!$S$10),"")</f>
        <v/>
      </c>
      <c r="AR84" s="95" t="str">
        <f>IFERROR(
Assumptions!$AD$8*LN(U84)^2+
Assumptions!$AE$8*LN(T84)*LN(U84)+
Assumptions!$AF$8*LN(T84)^2+
Assumptions!$AG$8*LN(U84)+
Assumptions!$AH$8*LN(T84)-
(IF(S84=1800,
VLOOKUP(C84,Assumptions!$AA$13:$AC$17,3),
IF(S84=3600,
VLOOKUP(C84,Assumptions!$AA$18:$AC$22,3),
""))+Assumptions!$AI$8),
"")</f>
        <v/>
      </c>
      <c r="AS84" s="96" t="str">
        <f>IFERROR(
Assumptions!$D$11*(X84/(Assumptions!$AB$9*AR84/100)+AO84)+
Assumptions!$D$10*(AA84/(Assumptions!$AB$8*AR84/100)+AP84)+
Assumptions!$D$12*(AD84/(Assumptions!$AB$10*AR84/100)+AQ84),
"")</f>
        <v/>
      </c>
      <c r="AT84" s="76" t="str">
        <f>IFERROR(
(W84+AE84)*Assumptions!$F$11+
(AF84+AG84)*Assumptions!$F$8+
(AH84+AI84)*Assumptions!$F$9+
(AJ84+AK84)*Assumptions!$F$10,
"")</f>
        <v/>
      </c>
      <c r="AU84" s="77" t="str">
        <f t="shared" si="32"/>
        <v/>
      </c>
      <c r="AV84" s="68" t="str">
        <f t="shared" si="18"/>
        <v/>
      </c>
    </row>
    <row r="85" spans="1:48" x14ac:dyDescent="0.25">
      <c r="A85" s="264"/>
      <c r="B85" s="265"/>
      <c r="C85" s="265"/>
      <c r="D85" s="265"/>
      <c r="E85" s="266"/>
      <c r="F85" s="270"/>
      <c r="G85" s="271"/>
      <c r="H85" s="271"/>
      <c r="I85" s="272"/>
      <c r="J85" s="270"/>
      <c r="K85" s="271"/>
      <c r="L85" s="272"/>
      <c r="M85" s="270"/>
      <c r="N85" s="271"/>
      <c r="O85" s="272"/>
      <c r="P85" s="290"/>
      <c r="Q85" s="314"/>
      <c r="R85" s="51" t="str">
        <f t="shared" si="17"/>
        <v/>
      </c>
      <c r="S85" s="84" t="str">
        <f t="shared" si="19"/>
        <v/>
      </c>
      <c r="T85" s="93" t="str">
        <f t="shared" si="20"/>
        <v/>
      </c>
      <c r="U85" s="100" t="str">
        <f t="shared" si="21"/>
        <v/>
      </c>
      <c r="V85" s="95" t="str">
        <f t="shared" si="22"/>
        <v/>
      </c>
      <c r="W85" s="95" t="str">
        <f t="shared" si="23"/>
        <v/>
      </c>
      <c r="X85" s="96" t="str">
        <f>IFERROR(U85*V85*Assumptions!$B$15/3956,"")</f>
        <v/>
      </c>
      <c r="Y85" s="102" t="str">
        <f t="shared" si="24"/>
        <v/>
      </c>
      <c r="Z85" s="95" t="str">
        <f t="shared" si="25"/>
        <v/>
      </c>
      <c r="AA85" s="96" t="str">
        <f>IFERROR(Y85*Z85*Assumptions!$B$15/3956,"")</f>
        <v/>
      </c>
      <c r="AB85" s="100" t="str">
        <f t="shared" si="26"/>
        <v/>
      </c>
      <c r="AC85" s="95" t="str">
        <f t="shared" si="27"/>
        <v/>
      </c>
      <c r="AD85" s="96" t="str">
        <f>IFERROR(AB85*AC85*Assumptions!$B$15/3956,"")</f>
        <v/>
      </c>
      <c r="AE85" s="94" t="str">
        <f>IFERROR(
IF(P85&lt;=5,
(Assumptions!$W$8*(W85/P85)^2+(Assumptions!$X$8*(W85/P85))+Assumptions!$Y$8),
IF(P85&lt;=20,
(Assumptions!$W$9*(W85/P85)^2+(Assumptions!$X$9*(W85/P85))+Assumptions!$Y$9),
IF(P85&lt;=50,
(Assumptions!$W$10*(W85/P85)^2+(Assumptions!$X$10*(W85/P85))+Assumptions!$Y$10),
(Assumptions!$W$11*(W85/P85)^2+(Assumptions!$X$11+(W85/P85))+Assumptions!$Y$11)))),
"")</f>
        <v/>
      </c>
      <c r="AF85" s="99" t="str">
        <f t="shared" si="28"/>
        <v/>
      </c>
      <c r="AG85" s="95" t="str">
        <f>IFERROR(
IF(P85&lt;=5,
(Assumptions!$W$8*(AF85/P85)^2+(Assumptions!$X$8*(AF85/P85))+Assumptions!$Y$8),
IF(P85&lt;=20,
(Assumptions!$W$9*(AF85/P85)^2+(Assumptions!$X$9*(AF85/P85))+Assumptions!$Y$9),
IF(P85&lt;=50,
(Assumptions!$W$10*(AF85/P85)^2+(Assumptions!$X$10*(AF85/P85))+Assumptions!$Y$10),
(Assumptions!$W$11*(AF85/P85)^2+(Assumptions!$X$11+(AF85/P85))+Assumptions!$Y$11)))),
"")</f>
        <v/>
      </c>
      <c r="AH85" s="95" t="str">
        <f t="shared" si="29"/>
        <v/>
      </c>
      <c r="AI85" s="95" t="str">
        <f>IFERROR(
IF(P85&lt;=5,
(Assumptions!$W$8*(AH85/P85)^2+(Assumptions!$X$8*(AH85/P85))+Assumptions!$Y$8),
IF(P85&lt;=20,
(Assumptions!$W$9*(AH85/P85)^2+(Assumptions!$X$9*(AH85/P85))+Assumptions!$Y$9),
IF(P85&lt;=50,
(Assumptions!$W$10*(AH85/P85)^2+(Assumptions!$X$10*(AH85/P85))+Assumptions!$Y$10),
(Assumptions!$W$11*(AH85/P85)^2+(Assumptions!$X$11+(AH85/P85))+Assumptions!$Y$11)))),"")</f>
        <v/>
      </c>
      <c r="AJ85" s="95" t="str">
        <f t="shared" si="30"/>
        <v/>
      </c>
      <c r="AK85" s="96" t="str">
        <f>IFERROR(
IF(P85&lt;=5,
(Assumptions!$W$8*(AJ85/P85)^2+(Assumptions!$X$8*(AJ85/P85))+Assumptions!$Y$8),
IF(P85&lt;=20,
(Assumptions!$W$9*(AJ85/P85)^2+(Assumptions!$X$9*(AJ85/P85))+Assumptions!$Y$9),
IF(P85&lt;=50,
(Assumptions!$W$10*(AJ85/P85)^2+(Assumptions!$X$10*(AJ85/P85))+Assumptions!$Y$10),
(Assumptions!$W$11*(AJ85/P85)^2+(Assumptions!$X$11+(AJ85/P85))+Assumptions!$Y$11)))),
"")</f>
        <v/>
      </c>
      <c r="AL85" s="99" t="str">
        <f>IFERROR(
IF(C85="VTS",
IF(P85&gt;=AVERAGE(
INDEX(Assumptions!$I$38:$I$57,MATCH(P85,Assumptions!$I$38:$I$57,-1)),
INDEX(Assumptions!$I$38:$I$57,MATCH(P85,Assumptions!$I$38:$I$57,-1)+1)),
INDEX(Assumptions!$I$38:$I$57,MATCH(P85,Assumptions!$I$38:$I$57,-1)),
INDEX(Assumptions!$I$38:$I$57,MATCH(P85,Assumptions!$I$38:$I$57,-1)+1)),
IF(P85&gt;=AVERAGE(
INDEX(Assumptions!$I$13:$I$32,MATCH(P85,Assumptions!$I$13:$I$32,-1)),
INDEX(Assumptions!$I$13:$I$32,MATCH(P85,Assumptions!$I$13:$I$32,-1)+1)),
INDEX(Assumptions!$I$13:$I$32,MATCH(P85,Assumptions!$I$13:$I$32,-1)),
INDEX(Assumptions!$I$13:$I$32,MATCH(P85,Assumptions!$I$13:$I$32,-1)+1))),
"")</f>
        <v/>
      </c>
      <c r="AM85" s="95" t="str">
        <f>IFERROR(
IF(C85="VTS",
VLOOKUP(AL85,Assumptions!$I$38:$K$57,MATCH(R85,Assumptions!$I$37:$K$37,0),FALSE),
VLOOKUP(AL85,Assumptions!$I$13:$K$32,MATCH(R85,Assumptions!$I$12:$K$12,0),FALSE)),
"")</f>
        <v/>
      </c>
      <c r="AN85" s="95" t="str">
        <f t="shared" si="31"/>
        <v/>
      </c>
      <c r="AO85" s="95" t="str">
        <f>IFERROR(AN85*
(Assumptions!$S$7*(X85/(AR85*Assumptions!$AB$9/100)/P85)^3+
Assumptions!$S$8*(X85/(AR85*Assumptions!$AB$9/100)/P85)^2+
Assumptions!$S$9*(X85/(AR85*Assumptions!$AB$9/100)/P85)+
Assumptions!$S$10),"")</f>
        <v/>
      </c>
      <c r="AP85" s="95" t="str">
        <f>IFERROR(AN85*
(Assumptions!$S$7*(AA85/(AR85*Assumptions!$AB$8/100)/P85)^3+
Assumptions!$S$8*(AA85/(AR85*Assumptions!$AB$8/100)/P85)^2+
Assumptions!$S$9*(AA85/(AR85*Assumptions!$AB$8/100)/P85)+
Assumptions!$S$10),"")</f>
        <v/>
      </c>
      <c r="AQ85" s="95" t="str">
        <f>IFERROR(AN85*
(Assumptions!$S$7*(AD85/(AR85*Assumptions!$AB$10/100)/P85)^3+
Assumptions!$S$8*(AD85/(AR85*Assumptions!$AB$10/100)/P85)^2+
Assumptions!$S$9*(AD85/(AR85*Assumptions!$AB$10/100)/P85)+
Assumptions!$S$10),"")</f>
        <v/>
      </c>
      <c r="AR85" s="95" t="str">
        <f>IFERROR(
Assumptions!$AD$8*LN(U85)^2+
Assumptions!$AE$8*LN(T85)*LN(U85)+
Assumptions!$AF$8*LN(T85)^2+
Assumptions!$AG$8*LN(U85)+
Assumptions!$AH$8*LN(T85)-
(IF(S85=1800,
VLOOKUP(C85,Assumptions!$AA$13:$AC$17,3),
IF(S85=3600,
VLOOKUP(C85,Assumptions!$AA$18:$AC$22,3),
""))+Assumptions!$AI$8),
"")</f>
        <v/>
      </c>
      <c r="AS85" s="96" t="str">
        <f>IFERROR(
Assumptions!$D$11*(X85/(Assumptions!$AB$9*AR85/100)+AO85)+
Assumptions!$D$10*(AA85/(Assumptions!$AB$8*AR85/100)+AP85)+
Assumptions!$D$12*(AD85/(Assumptions!$AB$10*AR85/100)+AQ85),
"")</f>
        <v/>
      </c>
      <c r="AT85" s="76" t="str">
        <f>IFERROR(
(W85+AE85)*Assumptions!$F$11+
(AF85+AG85)*Assumptions!$F$8+
(AH85+AI85)*Assumptions!$F$9+
(AJ85+AK85)*Assumptions!$F$10,
"")</f>
        <v/>
      </c>
      <c r="AU85" s="77" t="str">
        <f t="shared" si="32"/>
        <v/>
      </c>
      <c r="AV85" s="68" t="str">
        <f t="shared" si="18"/>
        <v/>
      </c>
    </row>
    <row r="86" spans="1:48" x14ac:dyDescent="0.25">
      <c r="A86" s="264"/>
      <c r="B86" s="265"/>
      <c r="C86" s="265"/>
      <c r="D86" s="265"/>
      <c r="E86" s="266"/>
      <c r="F86" s="270"/>
      <c r="G86" s="271"/>
      <c r="H86" s="271"/>
      <c r="I86" s="272"/>
      <c r="J86" s="270"/>
      <c r="K86" s="271"/>
      <c r="L86" s="272"/>
      <c r="M86" s="270"/>
      <c r="N86" s="271"/>
      <c r="O86" s="272"/>
      <c r="P86" s="290"/>
      <c r="Q86" s="314"/>
      <c r="R86" s="51" t="str">
        <f t="shared" si="17"/>
        <v/>
      </c>
      <c r="S86" s="84" t="str">
        <f t="shared" si="19"/>
        <v/>
      </c>
      <c r="T86" s="93" t="str">
        <f t="shared" si="20"/>
        <v/>
      </c>
      <c r="U86" s="100" t="str">
        <f t="shared" si="21"/>
        <v/>
      </c>
      <c r="V86" s="95" t="str">
        <f t="shared" si="22"/>
        <v/>
      </c>
      <c r="W86" s="95" t="str">
        <f t="shared" si="23"/>
        <v/>
      </c>
      <c r="X86" s="96" t="str">
        <f>IFERROR(U86*V86*Assumptions!$B$15/3956,"")</f>
        <v/>
      </c>
      <c r="Y86" s="102" t="str">
        <f t="shared" si="24"/>
        <v/>
      </c>
      <c r="Z86" s="95" t="str">
        <f t="shared" si="25"/>
        <v/>
      </c>
      <c r="AA86" s="96" t="str">
        <f>IFERROR(Y86*Z86*Assumptions!$B$15/3956,"")</f>
        <v/>
      </c>
      <c r="AB86" s="100" t="str">
        <f t="shared" si="26"/>
        <v/>
      </c>
      <c r="AC86" s="95" t="str">
        <f t="shared" si="27"/>
        <v/>
      </c>
      <c r="AD86" s="96" t="str">
        <f>IFERROR(AB86*AC86*Assumptions!$B$15/3956,"")</f>
        <v/>
      </c>
      <c r="AE86" s="94" t="str">
        <f>IFERROR(
IF(P86&lt;=5,
(Assumptions!$W$8*(W86/P86)^2+(Assumptions!$X$8*(W86/P86))+Assumptions!$Y$8),
IF(P86&lt;=20,
(Assumptions!$W$9*(W86/P86)^2+(Assumptions!$X$9*(W86/P86))+Assumptions!$Y$9),
IF(P86&lt;=50,
(Assumptions!$W$10*(W86/P86)^2+(Assumptions!$X$10*(W86/P86))+Assumptions!$Y$10),
(Assumptions!$W$11*(W86/P86)^2+(Assumptions!$X$11+(W86/P86))+Assumptions!$Y$11)))),
"")</f>
        <v/>
      </c>
      <c r="AF86" s="99" t="str">
        <f t="shared" si="28"/>
        <v/>
      </c>
      <c r="AG86" s="95" t="str">
        <f>IFERROR(
IF(P86&lt;=5,
(Assumptions!$W$8*(AF86/P86)^2+(Assumptions!$X$8*(AF86/P86))+Assumptions!$Y$8),
IF(P86&lt;=20,
(Assumptions!$W$9*(AF86/P86)^2+(Assumptions!$X$9*(AF86/P86))+Assumptions!$Y$9),
IF(P86&lt;=50,
(Assumptions!$W$10*(AF86/P86)^2+(Assumptions!$X$10*(AF86/P86))+Assumptions!$Y$10),
(Assumptions!$W$11*(AF86/P86)^2+(Assumptions!$X$11+(AF86/P86))+Assumptions!$Y$11)))),
"")</f>
        <v/>
      </c>
      <c r="AH86" s="95" t="str">
        <f t="shared" si="29"/>
        <v/>
      </c>
      <c r="AI86" s="95" t="str">
        <f>IFERROR(
IF(P86&lt;=5,
(Assumptions!$W$8*(AH86/P86)^2+(Assumptions!$X$8*(AH86/P86))+Assumptions!$Y$8),
IF(P86&lt;=20,
(Assumptions!$W$9*(AH86/P86)^2+(Assumptions!$X$9*(AH86/P86))+Assumptions!$Y$9),
IF(P86&lt;=50,
(Assumptions!$W$10*(AH86/P86)^2+(Assumptions!$X$10*(AH86/P86))+Assumptions!$Y$10),
(Assumptions!$W$11*(AH86/P86)^2+(Assumptions!$X$11+(AH86/P86))+Assumptions!$Y$11)))),"")</f>
        <v/>
      </c>
      <c r="AJ86" s="95" t="str">
        <f t="shared" si="30"/>
        <v/>
      </c>
      <c r="AK86" s="96" t="str">
        <f>IFERROR(
IF(P86&lt;=5,
(Assumptions!$W$8*(AJ86/P86)^2+(Assumptions!$X$8*(AJ86/P86))+Assumptions!$Y$8),
IF(P86&lt;=20,
(Assumptions!$W$9*(AJ86/P86)^2+(Assumptions!$X$9*(AJ86/P86))+Assumptions!$Y$9),
IF(P86&lt;=50,
(Assumptions!$W$10*(AJ86/P86)^2+(Assumptions!$X$10*(AJ86/P86))+Assumptions!$Y$10),
(Assumptions!$W$11*(AJ86/P86)^2+(Assumptions!$X$11+(AJ86/P86))+Assumptions!$Y$11)))),
"")</f>
        <v/>
      </c>
      <c r="AL86" s="99" t="str">
        <f>IFERROR(
IF(C86="VTS",
IF(P86&gt;=AVERAGE(
INDEX(Assumptions!$I$38:$I$57,MATCH(P86,Assumptions!$I$38:$I$57,-1)),
INDEX(Assumptions!$I$38:$I$57,MATCH(P86,Assumptions!$I$38:$I$57,-1)+1)),
INDEX(Assumptions!$I$38:$I$57,MATCH(P86,Assumptions!$I$38:$I$57,-1)),
INDEX(Assumptions!$I$38:$I$57,MATCH(P86,Assumptions!$I$38:$I$57,-1)+1)),
IF(P86&gt;=AVERAGE(
INDEX(Assumptions!$I$13:$I$32,MATCH(P86,Assumptions!$I$13:$I$32,-1)),
INDEX(Assumptions!$I$13:$I$32,MATCH(P86,Assumptions!$I$13:$I$32,-1)+1)),
INDEX(Assumptions!$I$13:$I$32,MATCH(P86,Assumptions!$I$13:$I$32,-1)),
INDEX(Assumptions!$I$13:$I$32,MATCH(P86,Assumptions!$I$13:$I$32,-1)+1))),
"")</f>
        <v/>
      </c>
      <c r="AM86" s="95" t="str">
        <f>IFERROR(
IF(C86="VTS",
VLOOKUP(AL86,Assumptions!$I$38:$K$57,MATCH(R86,Assumptions!$I$37:$K$37,0),FALSE),
VLOOKUP(AL86,Assumptions!$I$13:$K$32,MATCH(R86,Assumptions!$I$12:$K$12,0),FALSE)),
"")</f>
        <v/>
      </c>
      <c r="AN86" s="95" t="str">
        <f t="shared" si="31"/>
        <v/>
      </c>
      <c r="AO86" s="95" t="str">
        <f>IFERROR(AN86*
(Assumptions!$S$7*(X86/(AR86*Assumptions!$AB$9/100)/P86)^3+
Assumptions!$S$8*(X86/(AR86*Assumptions!$AB$9/100)/P86)^2+
Assumptions!$S$9*(X86/(AR86*Assumptions!$AB$9/100)/P86)+
Assumptions!$S$10),"")</f>
        <v/>
      </c>
      <c r="AP86" s="95" t="str">
        <f>IFERROR(AN86*
(Assumptions!$S$7*(AA86/(AR86*Assumptions!$AB$8/100)/P86)^3+
Assumptions!$S$8*(AA86/(AR86*Assumptions!$AB$8/100)/P86)^2+
Assumptions!$S$9*(AA86/(AR86*Assumptions!$AB$8/100)/P86)+
Assumptions!$S$10),"")</f>
        <v/>
      </c>
      <c r="AQ86" s="95" t="str">
        <f>IFERROR(AN86*
(Assumptions!$S$7*(AD86/(AR86*Assumptions!$AB$10/100)/P86)^3+
Assumptions!$S$8*(AD86/(AR86*Assumptions!$AB$10/100)/P86)^2+
Assumptions!$S$9*(AD86/(AR86*Assumptions!$AB$10/100)/P86)+
Assumptions!$S$10),"")</f>
        <v/>
      </c>
      <c r="AR86" s="95" t="str">
        <f>IFERROR(
Assumptions!$AD$8*LN(U86)^2+
Assumptions!$AE$8*LN(T86)*LN(U86)+
Assumptions!$AF$8*LN(T86)^2+
Assumptions!$AG$8*LN(U86)+
Assumptions!$AH$8*LN(T86)-
(IF(S86=1800,
VLOOKUP(C86,Assumptions!$AA$13:$AC$17,3),
IF(S86=3600,
VLOOKUP(C86,Assumptions!$AA$18:$AC$22,3),
""))+Assumptions!$AI$8),
"")</f>
        <v/>
      </c>
      <c r="AS86" s="96" t="str">
        <f>IFERROR(
Assumptions!$D$11*(X86/(Assumptions!$AB$9*AR86/100)+AO86)+
Assumptions!$D$10*(AA86/(Assumptions!$AB$8*AR86/100)+AP86)+
Assumptions!$D$12*(AD86/(Assumptions!$AB$10*AR86/100)+AQ86),
"")</f>
        <v/>
      </c>
      <c r="AT86" s="76" t="str">
        <f>IFERROR(
(W86+AE86)*Assumptions!$F$11+
(AF86+AG86)*Assumptions!$F$8+
(AH86+AI86)*Assumptions!$F$9+
(AJ86+AK86)*Assumptions!$F$10,
"")</f>
        <v/>
      </c>
      <c r="AU86" s="77" t="str">
        <f t="shared" si="32"/>
        <v/>
      </c>
      <c r="AV86" s="68" t="str">
        <f t="shared" si="18"/>
        <v/>
      </c>
    </row>
    <row r="87" spans="1:48" x14ac:dyDescent="0.25">
      <c r="A87" s="264"/>
      <c r="B87" s="265"/>
      <c r="C87" s="265"/>
      <c r="D87" s="265"/>
      <c r="E87" s="266"/>
      <c r="F87" s="270"/>
      <c r="G87" s="271"/>
      <c r="H87" s="271"/>
      <c r="I87" s="272"/>
      <c r="J87" s="270"/>
      <c r="K87" s="271"/>
      <c r="L87" s="272"/>
      <c r="M87" s="270"/>
      <c r="N87" s="271"/>
      <c r="O87" s="272"/>
      <c r="P87" s="290"/>
      <c r="Q87" s="314"/>
      <c r="R87" s="51" t="str">
        <f t="shared" si="17"/>
        <v/>
      </c>
      <c r="S87" s="84" t="str">
        <f t="shared" si="19"/>
        <v/>
      </c>
      <c r="T87" s="93" t="str">
        <f t="shared" si="20"/>
        <v/>
      </c>
      <c r="U87" s="100" t="str">
        <f t="shared" si="21"/>
        <v/>
      </c>
      <c r="V87" s="95" t="str">
        <f t="shared" si="22"/>
        <v/>
      </c>
      <c r="W87" s="95" t="str">
        <f t="shared" si="23"/>
        <v/>
      </c>
      <c r="X87" s="96" t="str">
        <f>IFERROR(U87*V87*Assumptions!$B$15/3956,"")</f>
        <v/>
      </c>
      <c r="Y87" s="102" t="str">
        <f t="shared" si="24"/>
        <v/>
      </c>
      <c r="Z87" s="95" t="str">
        <f t="shared" si="25"/>
        <v/>
      </c>
      <c r="AA87" s="96" t="str">
        <f>IFERROR(Y87*Z87*Assumptions!$B$15/3956,"")</f>
        <v/>
      </c>
      <c r="AB87" s="100" t="str">
        <f t="shared" si="26"/>
        <v/>
      </c>
      <c r="AC87" s="95" t="str">
        <f t="shared" si="27"/>
        <v/>
      </c>
      <c r="AD87" s="96" t="str">
        <f>IFERROR(AB87*AC87*Assumptions!$B$15/3956,"")</f>
        <v/>
      </c>
      <c r="AE87" s="94" t="str">
        <f>IFERROR(
IF(P87&lt;=5,
(Assumptions!$W$8*(W87/P87)^2+(Assumptions!$X$8*(W87/P87))+Assumptions!$Y$8),
IF(P87&lt;=20,
(Assumptions!$W$9*(W87/P87)^2+(Assumptions!$X$9*(W87/P87))+Assumptions!$Y$9),
IF(P87&lt;=50,
(Assumptions!$W$10*(W87/P87)^2+(Assumptions!$X$10*(W87/P87))+Assumptions!$Y$10),
(Assumptions!$W$11*(W87/P87)^2+(Assumptions!$X$11+(W87/P87))+Assumptions!$Y$11)))),
"")</f>
        <v/>
      </c>
      <c r="AF87" s="99" t="str">
        <f t="shared" si="28"/>
        <v/>
      </c>
      <c r="AG87" s="95" t="str">
        <f>IFERROR(
IF(P87&lt;=5,
(Assumptions!$W$8*(AF87/P87)^2+(Assumptions!$X$8*(AF87/P87))+Assumptions!$Y$8),
IF(P87&lt;=20,
(Assumptions!$W$9*(AF87/P87)^2+(Assumptions!$X$9*(AF87/P87))+Assumptions!$Y$9),
IF(P87&lt;=50,
(Assumptions!$W$10*(AF87/P87)^2+(Assumptions!$X$10*(AF87/P87))+Assumptions!$Y$10),
(Assumptions!$W$11*(AF87/P87)^2+(Assumptions!$X$11+(AF87/P87))+Assumptions!$Y$11)))),
"")</f>
        <v/>
      </c>
      <c r="AH87" s="95" t="str">
        <f t="shared" si="29"/>
        <v/>
      </c>
      <c r="AI87" s="95" t="str">
        <f>IFERROR(
IF(P87&lt;=5,
(Assumptions!$W$8*(AH87/P87)^2+(Assumptions!$X$8*(AH87/P87))+Assumptions!$Y$8),
IF(P87&lt;=20,
(Assumptions!$W$9*(AH87/P87)^2+(Assumptions!$X$9*(AH87/P87))+Assumptions!$Y$9),
IF(P87&lt;=50,
(Assumptions!$W$10*(AH87/P87)^2+(Assumptions!$X$10*(AH87/P87))+Assumptions!$Y$10),
(Assumptions!$W$11*(AH87/P87)^2+(Assumptions!$X$11+(AH87/P87))+Assumptions!$Y$11)))),"")</f>
        <v/>
      </c>
      <c r="AJ87" s="95" t="str">
        <f t="shared" si="30"/>
        <v/>
      </c>
      <c r="AK87" s="96" t="str">
        <f>IFERROR(
IF(P87&lt;=5,
(Assumptions!$W$8*(AJ87/P87)^2+(Assumptions!$X$8*(AJ87/P87))+Assumptions!$Y$8),
IF(P87&lt;=20,
(Assumptions!$W$9*(AJ87/P87)^2+(Assumptions!$X$9*(AJ87/P87))+Assumptions!$Y$9),
IF(P87&lt;=50,
(Assumptions!$W$10*(AJ87/P87)^2+(Assumptions!$X$10*(AJ87/P87))+Assumptions!$Y$10),
(Assumptions!$W$11*(AJ87/P87)^2+(Assumptions!$X$11+(AJ87/P87))+Assumptions!$Y$11)))),
"")</f>
        <v/>
      </c>
      <c r="AL87" s="99" t="str">
        <f>IFERROR(
IF(C87="VTS",
IF(P87&gt;=AVERAGE(
INDEX(Assumptions!$I$38:$I$57,MATCH(P87,Assumptions!$I$38:$I$57,-1)),
INDEX(Assumptions!$I$38:$I$57,MATCH(P87,Assumptions!$I$38:$I$57,-1)+1)),
INDEX(Assumptions!$I$38:$I$57,MATCH(P87,Assumptions!$I$38:$I$57,-1)),
INDEX(Assumptions!$I$38:$I$57,MATCH(P87,Assumptions!$I$38:$I$57,-1)+1)),
IF(P87&gt;=AVERAGE(
INDEX(Assumptions!$I$13:$I$32,MATCH(P87,Assumptions!$I$13:$I$32,-1)),
INDEX(Assumptions!$I$13:$I$32,MATCH(P87,Assumptions!$I$13:$I$32,-1)+1)),
INDEX(Assumptions!$I$13:$I$32,MATCH(P87,Assumptions!$I$13:$I$32,-1)),
INDEX(Assumptions!$I$13:$I$32,MATCH(P87,Assumptions!$I$13:$I$32,-1)+1))),
"")</f>
        <v/>
      </c>
      <c r="AM87" s="95" t="str">
        <f>IFERROR(
IF(C87="VTS",
VLOOKUP(AL87,Assumptions!$I$38:$K$57,MATCH(R87,Assumptions!$I$37:$K$37,0),FALSE),
VLOOKUP(AL87,Assumptions!$I$13:$K$32,MATCH(R87,Assumptions!$I$12:$K$12,0),FALSE)),
"")</f>
        <v/>
      </c>
      <c r="AN87" s="95" t="str">
        <f t="shared" si="31"/>
        <v/>
      </c>
      <c r="AO87" s="95" t="str">
        <f>IFERROR(AN87*
(Assumptions!$S$7*(X87/(AR87*Assumptions!$AB$9/100)/P87)^3+
Assumptions!$S$8*(X87/(AR87*Assumptions!$AB$9/100)/P87)^2+
Assumptions!$S$9*(X87/(AR87*Assumptions!$AB$9/100)/P87)+
Assumptions!$S$10),"")</f>
        <v/>
      </c>
      <c r="AP87" s="95" t="str">
        <f>IFERROR(AN87*
(Assumptions!$S$7*(AA87/(AR87*Assumptions!$AB$8/100)/P87)^3+
Assumptions!$S$8*(AA87/(AR87*Assumptions!$AB$8/100)/P87)^2+
Assumptions!$S$9*(AA87/(AR87*Assumptions!$AB$8/100)/P87)+
Assumptions!$S$10),"")</f>
        <v/>
      </c>
      <c r="AQ87" s="95" t="str">
        <f>IFERROR(AN87*
(Assumptions!$S$7*(AD87/(AR87*Assumptions!$AB$10/100)/P87)^3+
Assumptions!$S$8*(AD87/(AR87*Assumptions!$AB$10/100)/P87)^2+
Assumptions!$S$9*(AD87/(AR87*Assumptions!$AB$10/100)/P87)+
Assumptions!$S$10),"")</f>
        <v/>
      </c>
      <c r="AR87" s="95" t="str">
        <f>IFERROR(
Assumptions!$AD$8*LN(U87)^2+
Assumptions!$AE$8*LN(T87)*LN(U87)+
Assumptions!$AF$8*LN(T87)^2+
Assumptions!$AG$8*LN(U87)+
Assumptions!$AH$8*LN(T87)-
(IF(S87=1800,
VLOOKUP(C87,Assumptions!$AA$13:$AC$17,3),
IF(S87=3600,
VLOOKUP(C87,Assumptions!$AA$18:$AC$22,3),
""))+Assumptions!$AI$8),
"")</f>
        <v/>
      </c>
      <c r="AS87" s="96" t="str">
        <f>IFERROR(
Assumptions!$D$11*(X87/(Assumptions!$AB$9*AR87/100)+AO87)+
Assumptions!$D$10*(AA87/(Assumptions!$AB$8*AR87/100)+AP87)+
Assumptions!$D$12*(AD87/(Assumptions!$AB$10*AR87/100)+AQ87),
"")</f>
        <v/>
      </c>
      <c r="AT87" s="76" t="str">
        <f>IFERROR(
(W87+AE87)*Assumptions!$F$11+
(AF87+AG87)*Assumptions!$F$8+
(AH87+AI87)*Assumptions!$F$9+
(AJ87+AK87)*Assumptions!$F$10,
"")</f>
        <v/>
      </c>
      <c r="AU87" s="77" t="str">
        <f t="shared" si="32"/>
        <v/>
      </c>
      <c r="AV87" s="68" t="str">
        <f t="shared" si="18"/>
        <v/>
      </c>
    </row>
    <row r="88" spans="1:48" x14ac:dyDescent="0.25">
      <c r="A88" s="264"/>
      <c r="B88" s="265"/>
      <c r="C88" s="265"/>
      <c r="D88" s="265"/>
      <c r="E88" s="266"/>
      <c r="F88" s="270"/>
      <c r="G88" s="271"/>
      <c r="H88" s="271"/>
      <c r="I88" s="272"/>
      <c r="J88" s="270"/>
      <c r="K88" s="271"/>
      <c r="L88" s="272"/>
      <c r="M88" s="270"/>
      <c r="N88" s="271"/>
      <c r="O88" s="272"/>
      <c r="P88" s="290"/>
      <c r="Q88" s="314"/>
      <c r="R88" s="51" t="str">
        <f t="shared" si="17"/>
        <v/>
      </c>
      <c r="S88" s="84" t="str">
        <f t="shared" si="19"/>
        <v/>
      </c>
      <c r="T88" s="93" t="str">
        <f t="shared" si="20"/>
        <v/>
      </c>
      <c r="U88" s="100" t="str">
        <f t="shared" si="21"/>
        <v/>
      </c>
      <c r="V88" s="95" t="str">
        <f t="shared" si="22"/>
        <v/>
      </c>
      <c r="W88" s="95" t="str">
        <f t="shared" si="23"/>
        <v/>
      </c>
      <c r="X88" s="96" t="str">
        <f>IFERROR(U88*V88*Assumptions!$B$15/3956,"")</f>
        <v/>
      </c>
      <c r="Y88" s="102" t="str">
        <f t="shared" si="24"/>
        <v/>
      </c>
      <c r="Z88" s="95" t="str">
        <f t="shared" si="25"/>
        <v/>
      </c>
      <c r="AA88" s="96" t="str">
        <f>IFERROR(Y88*Z88*Assumptions!$B$15/3956,"")</f>
        <v/>
      </c>
      <c r="AB88" s="100" t="str">
        <f t="shared" si="26"/>
        <v/>
      </c>
      <c r="AC88" s="95" t="str">
        <f t="shared" si="27"/>
        <v/>
      </c>
      <c r="AD88" s="96" t="str">
        <f>IFERROR(AB88*AC88*Assumptions!$B$15/3956,"")</f>
        <v/>
      </c>
      <c r="AE88" s="94" t="str">
        <f>IFERROR(
IF(P88&lt;=5,
(Assumptions!$W$8*(W88/P88)^2+(Assumptions!$X$8*(W88/P88))+Assumptions!$Y$8),
IF(P88&lt;=20,
(Assumptions!$W$9*(W88/P88)^2+(Assumptions!$X$9*(W88/P88))+Assumptions!$Y$9),
IF(P88&lt;=50,
(Assumptions!$W$10*(W88/P88)^2+(Assumptions!$X$10*(W88/P88))+Assumptions!$Y$10),
(Assumptions!$W$11*(W88/P88)^2+(Assumptions!$X$11+(W88/P88))+Assumptions!$Y$11)))),
"")</f>
        <v/>
      </c>
      <c r="AF88" s="99" t="str">
        <f t="shared" si="28"/>
        <v/>
      </c>
      <c r="AG88" s="95" t="str">
        <f>IFERROR(
IF(P88&lt;=5,
(Assumptions!$W$8*(AF88/P88)^2+(Assumptions!$X$8*(AF88/P88))+Assumptions!$Y$8),
IF(P88&lt;=20,
(Assumptions!$W$9*(AF88/P88)^2+(Assumptions!$X$9*(AF88/P88))+Assumptions!$Y$9),
IF(P88&lt;=50,
(Assumptions!$W$10*(AF88/P88)^2+(Assumptions!$X$10*(AF88/P88))+Assumptions!$Y$10),
(Assumptions!$W$11*(AF88/P88)^2+(Assumptions!$X$11+(AF88/P88))+Assumptions!$Y$11)))),
"")</f>
        <v/>
      </c>
      <c r="AH88" s="95" t="str">
        <f t="shared" si="29"/>
        <v/>
      </c>
      <c r="AI88" s="95" t="str">
        <f>IFERROR(
IF(P88&lt;=5,
(Assumptions!$W$8*(AH88/P88)^2+(Assumptions!$X$8*(AH88/P88))+Assumptions!$Y$8),
IF(P88&lt;=20,
(Assumptions!$W$9*(AH88/P88)^2+(Assumptions!$X$9*(AH88/P88))+Assumptions!$Y$9),
IF(P88&lt;=50,
(Assumptions!$W$10*(AH88/P88)^2+(Assumptions!$X$10*(AH88/P88))+Assumptions!$Y$10),
(Assumptions!$W$11*(AH88/P88)^2+(Assumptions!$X$11+(AH88/P88))+Assumptions!$Y$11)))),"")</f>
        <v/>
      </c>
      <c r="AJ88" s="95" t="str">
        <f t="shared" si="30"/>
        <v/>
      </c>
      <c r="AK88" s="96" t="str">
        <f>IFERROR(
IF(P88&lt;=5,
(Assumptions!$W$8*(AJ88/P88)^2+(Assumptions!$X$8*(AJ88/P88))+Assumptions!$Y$8),
IF(P88&lt;=20,
(Assumptions!$W$9*(AJ88/P88)^2+(Assumptions!$X$9*(AJ88/P88))+Assumptions!$Y$9),
IF(P88&lt;=50,
(Assumptions!$W$10*(AJ88/P88)^2+(Assumptions!$X$10*(AJ88/P88))+Assumptions!$Y$10),
(Assumptions!$W$11*(AJ88/P88)^2+(Assumptions!$X$11+(AJ88/P88))+Assumptions!$Y$11)))),
"")</f>
        <v/>
      </c>
      <c r="AL88" s="99" t="str">
        <f>IFERROR(
IF(C88="VTS",
IF(P88&gt;=AVERAGE(
INDEX(Assumptions!$I$38:$I$57,MATCH(P88,Assumptions!$I$38:$I$57,-1)),
INDEX(Assumptions!$I$38:$I$57,MATCH(P88,Assumptions!$I$38:$I$57,-1)+1)),
INDEX(Assumptions!$I$38:$I$57,MATCH(P88,Assumptions!$I$38:$I$57,-1)),
INDEX(Assumptions!$I$38:$I$57,MATCH(P88,Assumptions!$I$38:$I$57,-1)+1)),
IF(P88&gt;=AVERAGE(
INDEX(Assumptions!$I$13:$I$32,MATCH(P88,Assumptions!$I$13:$I$32,-1)),
INDEX(Assumptions!$I$13:$I$32,MATCH(P88,Assumptions!$I$13:$I$32,-1)+1)),
INDEX(Assumptions!$I$13:$I$32,MATCH(P88,Assumptions!$I$13:$I$32,-1)),
INDEX(Assumptions!$I$13:$I$32,MATCH(P88,Assumptions!$I$13:$I$32,-1)+1))),
"")</f>
        <v/>
      </c>
      <c r="AM88" s="95" t="str">
        <f>IFERROR(
IF(C88="VTS",
VLOOKUP(AL88,Assumptions!$I$38:$K$57,MATCH(R88,Assumptions!$I$37:$K$37,0),FALSE),
VLOOKUP(AL88,Assumptions!$I$13:$K$32,MATCH(R88,Assumptions!$I$12:$K$12,0),FALSE)),
"")</f>
        <v/>
      </c>
      <c r="AN88" s="95" t="str">
        <f t="shared" si="31"/>
        <v/>
      </c>
      <c r="AO88" s="95" t="str">
        <f>IFERROR(AN88*
(Assumptions!$S$7*(X88/(AR88*Assumptions!$AB$9/100)/P88)^3+
Assumptions!$S$8*(X88/(AR88*Assumptions!$AB$9/100)/P88)^2+
Assumptions!$S$9*(X88/(AR88*Assumptions!$AB$9/100)/P88)+
Assumptions!$S$10),"")</f>
        <v/>
      </c>
      <c r="AP88" s="95" t="str">
        <f>IFERROR(AN88*
(Assumptions!$S$7*(AA88/(AR88*Assumptions!$AB$8/100)/P88)^3+
Assumptions!$S$8*(AA88/(AR88*Assumptions!$AB$8/100)/P88)^2+
Assumptions!$S$9*(AA88/(AR88*Assumptions!$AB$8/100)/P88)+
Assumptions!$S$10),"")</f>
        <v/>
      </c>
      <c r="AQ88" s="95" t="str">
        <f>IFERROR(AN88*
(Assumptions!$S$7*(AD88/(AR88*Assumptions!$AB$10/100)/P88)^3+
Assumptions!$S$8*(AD88/(AR88*Assumptions!$AB$10/100)/P88)^2+
Assumptions!$S$9*(AD88/(AR88*Assumptions!$AB$10/100)/P88)+
Assumptions!$S$10),"")</f>
        <v/>
      </c>
      <c r="AR88" s="95" t="str">
        <f>IFERROR(
Assumptions!$AD$8*LN(U88)^2+
Assumptions!$AE$8*LN(T88)*LN(U88)+
Assumptions!$AF$8*LN(T88)^2+
Assumptions!$AG$8*LN(U88)+
Assumptions!$AH$8*LN(T88)-
(IF(S88=1800,
VLOOKUP(C88,Assumptions!$AA$13:$AC$17,3),
IF(S88=3600,
VLOOKUP(C88,Assumptions!$AA$18:$AC$22,3),
""))+Assumptions!$AI$8),
"")</f>
        <v/>
      </c>
      <c r="AS88" s="96" t="str">
        <f>IFERROR(
Assumptions!$D$11*(X88/(Assumptions!$AB$9*AR88/100)+AO88)+
Assumptions!$D$10*(AA88/(Assumptions!$AB$8*AR88/100)+AP88)+
Assumptions!$D$12*(AD88/(Assumptions!$AB$10*AR88/100)+AQ88),
"")</f>
        <v/>
      </c>
      <c r="AT88" s="76" t="str">
        <f>IFERROR(
(W88+AE88)*Assumptions!$F$11+
(AF88+AG88)*Assumptions!$F$8+
(AH88+AI88)*Assumptions!$F$9+
(AJ88+AK88)*Assumptions!$F$10,
"")</f>
        <v/>
      </c>
      <c r="AU88" s="77" t="str">
        <f t="shared" si="32"/>
        <v/>
      </c>
      <c r="AV88" s="68" t="str">
        <f t="shared" si="18"/>
        <v/>
      </c>
    </row>
    <row r="89" spans="1:48" x14ac:dyDescent="0.25">
      <c r="A89" s="264"/>
      <c r="B89" s="265"/>
      <c r="C89" s="265"/>
      <c r="D89" s="265"/>
      <c r="E89" s="266"/>
      <c r="F89" s="270"/>
      <c r="G89" s="271"/>
      <c r="H89" s="271"/>
      <c r="I89" s="272"/>
      <c r="J89" s="270"/>
      <c r="K89" s="271"/>
      <c r="L89" s="272"/>
      <c r="M89" s="270"/>
      <c r="N89" s="271"/>
      <c r="O89" s="272"/>
      <c r="P89" s="290"/>
      <c r="Q89" s="314"/>
      <c r="R89" s="51" t="str">
        <f t="shared" si="17"/>
        <v/>
      </c>
      <c r="S89" s="84" t="str">
        <f t="shared" si="19"/>
        <v/>
      </c>
      <c r="T89" s="93" t="str">
        <f t="shared" si="20"/>
        <v/>
      </c>
      <c r="U89" s="100" t="str">
        <f t="shared" si="21"/>
        <v/>
      </c>
      <c r="V89" s="95" t="str">
        <f t="shared" si="22"/>
        <v/>
      </c>
      <c r="W89" s="95" t="str">
        <f t="shared" si="23"/>
        <v/>
      </c>
      <c r="X89" s="96" t="str">
        <f>IFERROR(U89*V89*Assumptions!$B$15/3956,"")</f>
        <v/>
      </c>
      <c r="Y89" s="102" t="str">
        <f t="shared" si="24"/>
        <v/>
      </c>
      <c r="Z89" s="95" t="str">
        <f t="shared" si="25"/>
        <v/>
      </c>
      <c r="AA89" s="96" t="str">
        <f>IFERROR(Y89*Z89*Assumptions!$B$15/3956,"")</f>
        <v/>
      </c>
      <c r="AB89" s="100" t="str">
        <f t="shared" si="26"/>
        <v/>
      </c>
      <c r="AC89" s="95" t="str">
        <f t="shared" si="27"/>
        <v/>
      </c>
      <c r="AD89" s="96" t="str">
        <f>IFERROR(AB89*AC89*Assumptions!$B$15/3956,"")</f>
        <v/>
      </c>
      <c r="AE89" s="94" t="str">
        <f>IFERROR(
IF(P89&lt;=5,
(Assumptions!$W$8*(W89/P89)^2+(Assumptions!$X$8*(W89/P89))+Assumptions!$Y$8),
IF(P89&lt;=20,
(Assumptions!$W$9*(W89/P89)^2+(Assumptions!$X$9*(W89/P89))+Assumptions!$Y$9),
IF(P89&lt;=50,
(Assumptions!$W$10*(W89/P89)^2+(Assumptions!$X$10*(W89/P89))+Assumptions!$Y$10),
(Assumptions!$W$11*(W89/P89)^2+(Assumptions!$X$11+(W89/P89))+Assumptions!$Y$11)))),
"")</f>
        <v/>
      </c>
      <c r="AF89" s="99" t="str">
        <f t="shared" si="28"/>
        <v/>
      </c>
      <c r="AG89" s="95" t="str">
        <f>IFERROR(
IF(P89&lt;=5,
(Assumptions!$W$8*(AF89/P89)^2+(Assumptions!$X$8*(AF89/P89))+Assumptions!$Y$8),
IF(P89&lt;=20,
(Assumptions!$W$9*(AF89/P89)^2+(Assumptions!$X$9*(AF89/P89))+Assumptions!$Y$9),
IF(P89&lt;=50,
(Assumptions!$W$10*(AF89/P89)^2+(Assumptions!$X$10*(AF89/P89))+Assumptions!$Y$10),
(Assumptions!$W$11*(AF89/P89)^2+(Assumptions!$X$11+(AF89/P89))+Assumptions!$Y$11)))),
"")</f>
        <v/>
      </c>
      <c r="AH89" s="95" t="str">
        <f t="shared" si="29"/>
        <v/>
      </c>
      <c r="AI89" s="95" t="str">
        <f>IFERROR(
IF(P89&lt;=5,
(Assumptions!$W$8*(AH89/P89)^2+(Assumptions!$X$8*(AH89/P89))+Assumptions!$Y$8),
IF(P89&lt;=20,
(Assumptions!$W$9*(AH89/P89)^2+(Assumptions!$X$9*(AH89/P89))+Assumptions!$Y$9),
IF(P89&lt;=50,
(Assumptions!$W$10*(AH89/P89)^2+(Assumptions!$X$10*(AH89/P89))+Assumptions!$Y$10),
(Assumptions!$W$11*(AH89/P89)^2+(Assumptions!$X$11+(AH89/P89))+Assumptions!$Y$11)))),"")</f>
        <v/>
      </c>
      <c r="AJ89" s="95" t="str">
        <f t="shared" si="30"/>
        <v/>
      </c>
      <c r="AK89" s="96" t="str">
        <f>IFERROR(
IF(P89&lt;=5,
(Assumptions!$W$8*(AJ89/P89)^2+(Assumptions!$X$8*(AJ89/P89))+Assumptions!$Y$8),
IF(P89&lt;=20,
(Assumptions!$W$9*(AJ89/P89)^2+(Assumptions!$X$9*(AJ89/P89))+Assumptions!$Y$9),
IF(P89&lt;=50,
(Assumptions!$W$10*(AJ89/P89)^2+(Assumptions!$X$10*(AJ89/P89))+Assumptions!$Y$10),
(Assumptions!$W$11*(AJ89/P89)^2+(Assumptions!$X$11+(AJ89/P89))+Assumptions!$Y$11)))),
"")</f>
        <v/>
      </c>
      <c r="AL89" s="99" t="str">
        <f>IFERROR(
IF(C89="VTS",
IF(P89&gt;=AVERAGE(
INDEX(Assumptions!$I$38:$I$57,MATCH(P89,Assumptions!$I$38:$I$57,-1)),
INDEX(Assumptions!$I$38:$I$57,MATCH(P89,Assumptions!$I$38:$I$57,-1)+1)),
INDEX(Assumptions!$I$38:$I$57,MATCH(P89,Assumptions!$I$38:$I$57,-1)),
INDEX(Assumptions!$I$38:$I$57,MATCH(P89,Assumptions!$I$38:$I$57,-1)+1)),
IF(P89&gt;=AVERAGE(
INDEX(Assumptions!$I$13:$I$32,MATCH(P89,Assumptions!$I$13:$I$32,-1)),
INDEX(Assumptions!$I$13:$I$32,MATCH(P89,Assumptions!$I$13:$I$32,-1)+1)),
INDEX(Assumptions!$I$13:$I$32,MATCH(P89,Assumptions!$I$13:$I$32,-1)),
INDEX(Assumptions!$I$13:$I$32,MATCH(P89,Assumptions!$I$13:$I$32,-1)+1))),
"")</f>
        <v/>
      </c>
      <c r="AM89" s="95" t="str">
        <f>IFERROR(
IF(C89="VTS",
VLOOKUP(AL89,Assumptions!$I$38:$K$57,MATCH(R89,Assumptions!$I$37:$K$37,0),FALSE),
VLOOKUP(AL89,Assumptions!$I$13:$K$32,MATCH(R89,Assumptions!$I$12:$K$12,0),FALSE)),
"")</f>
        <v/>
      </c>
      <c r="AN89" s="95" t="str">
        <f t="shared" si="31"/>
        <v/>
      </c>
      <c r="AO89" s="95" t="str">
        <f>IFERROR(AN89*
(Assumptions!$S$7*(X89/(AR89*Assumptions!$AB$9/100)/P89)^3+
Assumptions!$S$8*(X89/(AR89*Assumptions!$AB$9/100)/P89)^2+
Assumptions!$S$9*(X89/(AR89*Assumptions!$AB$9/100)/P89)+
Assumptions!$S$10),"")</f>
        <v/>
      </c>
      <c r="AP89" s="95" t="str">
        <f>IFERROR(AN89*
(Assumptions!$S$7*(AA89/(AR89*Assumptions!$AB$8/100)/P89)^3+
Assumptions!$S$8*(AA89/(AR89*Assumptions!$AB$8/100)/P89)^2+
Assumptions!$S$9*(AA89/(AR89*Assumptions!$AB$8/100)/P89)+
Assumptions!$S$10),"")</f>
        <v/>
      </c>
      <c r="AQ89" s="95" t="str">
        <f>IFERROR(AN89*
(Assumptions!$S$7*(AD89/(AR89*Assumptions!$AB$10/100)/P89)^3+
Assumptions!$S$8*(AD89/(AR89*Assumptions!$AB$10/100)/P89)^2+
Assumptions!$S$9*(AD89/(AR89*Assumptions!$AB$10/100)/P89)+
Assumptions!$S$10),"")</f>
        <v/>
      </c>
      <c r="AR89" s="95" t="str">
        <f>IFERROR(
Assumptions!$AD$8*LN(U89)^2+
Assumptions!$AE$8*LN(T89)*LN(U89)+
Assumptions!$AF$8*LN(T89)^2+
Assumptions!$AG$8*LN(U89)+
Assumptions!$AH$8*LN(T89)-
(IF(S89=1800,
VLOOKUP(C89,Assumptions!$AA$13:$AC$17,3),
IF(S89=3600,
VLOOKUP(C89,Assumptions!$AA$18:$AC$22,3),
""))+Assumptions!$AI$8),
"")</f>
        <v/>
      </c>
      <c r="AS89" s="96" t="str">
        <f>IFERROR(
Assumptions!$D$11*(X89/(Assumptions!$AB$9*AR89/100)+AO89)+
Assumptions!$D$10*(AA89/(Assumptions!$AB$8*AR89/100)+AP89)+
Assumptions!$D$12*(AD89/(Assumptions!$AB$10*AR89/100)+AQ89),
"")</f>
        <v/>
      </c>
      <c r="AT89" s="76" t="str">
        <f>IFERROR(
(W89+AE89)*Assumptions!$F$11+
(AF89+AG89)*Assumptions!$F$8+
(AH89+AI89)*Assumptions!$F$9+
(AJ89+AK89)*Assumptions!$F$10,
"")</f>
        <v/>
      </c>
      <c r="AU89" s="77" t="str">
        <f t="shared" si="32"/>
        <v/>
      </c>
      <c r="AV89" s="68" t="str">
        <f t="shared" si="18"/>
        <v/>
      </c>
    </row>
    <row r="90" spans="1:48" x14ac:dyDescent="0.25">
      <c r="A90" s="264"/>
      <c r="B90" s="265"/>
      <c r="C90" s="265"/>
      <c r="D90" s="265"/>
      <c r="E90" s="266"/>
      <c r="F90" s="270"/>
      <c r="G90" s="271"/>
      <c r="H90" s="271"/>
      <c r="I90" s="272"/>
      <c r="J90" s="270"/>
      <c r="K90" s="271"/>
      <c r="L90" s="272"/>
      <c r="M90" s="270"/>
      <c r="N90" s="271"/>
      <c r="O90" s="272"/>
      <c r="P90" s="290"/>
      <c r="Q90" s="314"/>
      <c r="R90" s="51" t="str">
        <f t="shared" si="17"/>
        <v/>
      </c>
      <c r="S90" s="84" t="str">
        <f t="shared" si="19"/>
        <v/>
      </c>
      <c r="T90" s="93" t="str">
        <f t="shared" si="20"/>
        <v/>
      </c>
      <c r="U90" s="100" t="str">
        <f t="shared" si="21"/>
        <v/>
      </c>
      <c r="V90" s="95" t="str">
        <f t="shared" si="22"/>
        <v/>
      </c>
      <c r="W90" s="95" t="str">
        <f t="shared" si="23"/>
        <v/>
      </c>
      <c r="X90" s="96" t="str">
        <f>IFERROR(U90*V90*Assumptions!$B$15/3956,"")</f>
        <v/>
      </c>
      <c r="Y90" s="102" t="str">
        <f t="shared" si="24"/>
        <v/>
      </c>
      <c r="Z90" s="95" t="str">
        <f t="shared" si="25"/>
        <v/>
      </c>
      <c r="AA90" s="96" t="str">
        <f>IFERROR(Y90*Z90*Assumptions!$B$15/3956,"")</f>
        <v/>
      </c>
      <c r="AB90" s="100" t="str">
        <f t="shared" si="26"/>
        <v/>
      </c>
      <c r="AC90" s="95" t="str">
        <f t="shared" si="27"/>
        <v/>
      </c>
      <c r="AD90" s="96" t="str">
        <f>IFERROR(AB90*AC90*Assumptions!$B$15/3956,"")</f>
        <v/>
      </c>
      <c r="AE90" s="94" t="str">
        <f>IFERROR(
IF(P90&lt;=5,
(Assumptions!$W$8*(W90/P90)^2+(Assumptions!$X$8*(W90/P90))+Assumptions!$Y$8),
IF(P90&lt;=20,
(Assumptions!$W$9*(W90/P90)^2+(Assumptions!$X$9*(W90/P90))+Assumptions!$Y$9),
IF(P90&lt;=50,
(Assumptions!$W$10*(W90/P90)^2+(Assumptions!$X$10*(W90/P90))+Assumptions!$Y$10),
(Assumptions!$W$11*(W90/P90)^2+(Assumptions!$X$11+(W90/P90))+Assumptions!$Y$11)))),
"")</f>
        <v/>
      </c>
      <c r="AF90" s="99" t="str">
        <f t="shared" si="28"/>
        <v/>
      </c>
      <c r="AG90" s="95" t="str">
        <f>IFERROR(
IF(P90&lt;=5,
(Assumptions!$W$8*(AF90/P90)^2+(Assumptions!$X$8*(AF90/P90))+Assumptions!$Y$8),
IF(P90&lt;=20,
(Assumptions!$W$9*(AF90/P90)^2+(Assumptions!$X$9*(AF90/P90))+Assumptions!$Y$9),
IF(P90&lt;=50,
(Assumptions!$W$10*(AF90/P90)^2+(Assumptions!$X$10*(AF90/P90))+Assumptions!$Y$10),
(Assumptions!$W$11*(AF90/P90)^2+(Assumptions!$X$11+(AF90/P90))+Assumptions!$Y$11)))),
"")</f>
        <v/>
      </c>
      <c r="AH90" s="95" t="str">
        <f t="shared" si="29"/>
        <v/>
      </c>
      <c r="AI90" s="95" t="str">
        <f>IFERROR(
IF(P90&lt;=5,
(Assumptions!$W$8*(AH90/P90)^2+(Assumptions!$X$8*(AH90/P90))+Assumptions!$Y$8),
IF(P90&lt;=20,
(Assumptions!$W$9*(AH90/P90)^2+(Assumptions!$X$9*(AH90/P90))+Assumptions!$Y$9),
IF(P90&lt;=50,
(Assumptions!$W$10*(AH90/P90)^2+(Assumptions!$X$10*(AH90/P90))+Assumptions!$Y$10),
(Assumptions!$W$11*(AH90/P90)^2+(Assumptions!$X$11+(AH90/P90))+Assumptions!$Y$11)))),"")</f>
        <v/>
      </c>
      <c r="AJ90" s="95" t="str">
        <f t="shared" si="30"/>
        <v/>
      </c>
      <c r="AK90" s="96" t="str">
        <f>IFERROR(
IF(P90&lt;=5,
(Assumptions!$W$8*(AJ90/P90)^2+(Assumptions!$X$8*(AJ90/P90))+Assumptions!$Y$8),
IF(P90&lt;=20,
(Assumptions!$W$9*(AJ90/P90)^2+(Assumptions!$X$9*(AJ90/P90))+Assumptions!$Y$9),
IF(P90&lt;=50,
(Assumptions!$W$10*(AJ90/P90)^2+(Assumptions!$X$10*(AJ90/P90))+Assumptions!$Y$10),
(Assumptions!$W$11*(AJ90/P90)^2+(Assumptions!$X$11+(AJ90/P90))+Assumptions!$Y$11)))),
"")</f>
        <v/>
      </c>
      <c r="AL90" s="99" t="str">
        <f>IFERROR(
IF(C90="VTS",
IF(P90&gt;=AVERAGE(
INDEX(Assumptions!$I$38:$I$57,MATCH(P90,Assumptions!$I$38:$I$57,-1)),
INDEX(Assumptions!$I$38:$I$57,MATCH(P90,Assumptions!$I$38:$I$57,-1)+1)),
INDEX(Assumptions!$I$38:$I$57,MATCH(P90,Assumptions!$I$38:$I$57,-1)),
INDEX(Assumptions!$I$38:$I$57,MATCH(P90,Assumptions!$I$38:$I$57,-1)+1)),
IF(P90&gt;=AVERAGE(
INDEX(Assumptions!$I$13:$I$32,MATCH(P90,Assumptions!$I$13:$I$32,-1)),
INDEX(Assumptions!$I$13:$I$32,MATCH(P90,Assumptions!$I$13:$I$32,-1)+1)),
INDEX(Assumptions!$I$13:$I$32,MATCH(P90,Assumptions!$I$13:$I$32,-1)),
INDEX(Assumptions!$I$13:$I$32,MATCH(P90,Assumptions!$I$13:$I$32,-1)+1))),
"")</f>
        <v/>
      </c>
      <c r="AM90" s="95" t="str">
        <f>IFERROR(
IF(C90="VTS",
VLOOKUP(AL90,Assumptions!$I$38:$K$57,MATCH(R90,Assumptions!$I$37:$K$37,0),FALSE),
VLOOKUP(AL90,Assumptions!$I$13:$K$32,MATCH(R90,Assumptions!$I$12:$K$12,0),FALSE)),
"")</f>
        <v/>
      </c>
      <c r="AN90" s="95" t="str">
        <f t="shared" si="31"/>
        <v/>
      </c>
      <c r="AO90" s="95" t="str">
        <f>IFERROR(AN90*
(Assumptions!$S$7*(X90/(AR90*Assumptions!$AB$9/100)/P90)^3+
Assumptions!$S$8*(X90/(AR90*Assumptions!$AB$9/100)/P90)^2+
Assumptions!$S$9*(X90/(AR90*Assumptions!$AB$9/100)/P90)+
Assumptions!$S$10),"")</f>
        <v/>
      </c>
      <c r="AP90" s="95" t="str">
        <f>IFERROR(AN90*
(Assumptions!$S$7*(AA90/(AR90*Assumptions!$AB$8/100)/P90)^3+
Assumptions!$S$8*(AA90/(AR90*Assumptions!$AB$8/100)/P90)^2+
Assumptions!$S$9*(AA90/(AR90*Assumptions!$AB$8/100)/P90)+
Assumptions!$S$10),"")</f>
        <v/>
      </c>
      <c r="AQ90" s="95" t="str">
        <f>IFERROR(AN90*
(Assumptions!$S$7*(AD90/(AR90*Assumptions!$AB$10/100)/P90)^3+
Assumptions!$S$8*(AD90/(AR90*Assumptions!$AB$10/100)/P90)^2+
Assumptions!$S$9*(AD90/(AR90*Assumptions!$AB$10/100)/P90)+
Assumptions!$S$10),"")</f>
        <v/>
      </c>
      <c r="AR90" s="95" t="str">
        <f>IFERROR(
Assumptions!$AD$8*LN(U90)^2+
Assumptions!$AE$8*LN(T90)*LN(U90)+
Assumptions!$AF$8*LN(T90)^2+
Assumptions!$AG$8*LN(U90)+
Assumptions!$AH$8*LN(T90)-
(IF(S90=1800,
VLOOKUP(C90,Assumptions!$AA$13:$AC$17,3),
IF(S90=3600,
VLOOKUP(C90,Assumptions!$AA$18:$AC$22,3),
""))+Assumptions!$AI$8),
"")</f>
        <v/>
      </c>
      <c r="AS90" s="96" t="str">
        <f>IFERROR(
Assumptions!$D$11*(X90/(Assumptions!$AB$9*AR90/100)+AO90)+
Assumptions!$D$10*(AA90/(Assumptions!$AB$8*AR90/100)+AP90)+
Assumptions!$D$12*(AD90/(Assumptions!$AB$10*AR90/100)+AQ90),
"")</f>
        <v/>
      </c>
      <c r="AT90" s="76" t="str">
        <f>IFERROR(
(W90+AE90)*Assumptions!$F$11+
(AF90+AG90)*Assumptions!$F$8+
(AH90+AI90)*Assumptions!$F$9+
(AJ90+AK90)*Assumptions!$F$10,
"")</f>
        <v/>
      </c>
      <c r="AU90" s="77" t="str">
        <f t="shared" si="32"/>
        <v/>
      </c>
      <c r="AV90" s="68" t="str">
        <f t="shared" si="18"/>
        <v/>
      </c>
    </row>
    <row r="91" spans="1:48" x14ac:dyDescent="0.25">
      <c r="A91" s="264"/>
      <c r="B91" s="265"/>
      <c r="C91" s="265"/>
      <c r="D91" s="265"/>
      <c r="E91" s="266"/>
      <c r="F91" s="270"/>
      <c r="G91" s="271"/>
      <c r="H91" s="271"/>
      <c r="I91" s="272"/>
      <c r="J91" s="270"/>
      <c r="K91" s="271"/>
      <c r="L91" s="272"/>
      <c r="M91" s="270"/>
      <c r="N91" s="271"/>
      <c r="O91" s="272"/>
      <c r="P91" s="290"/>
      <c r="Q91" s="314"/>
      <c r="R91" s="51" t="str">
        <f t="shared" si="17"/>
        <v/>
      </c>
      <c r="S91" s="84" t="str">
        <f t="shared" si="19"/>
        <v/>
      </c>
      <c r="T91" s="93" t="str">
        <f t="shared" si="20"/>
        <v/>
      </c>
      <c r="U91" s="100" t="str">
        <f t="shared" si="21"/>
        <v/>
      </c>
      <c r="V91" s="95" t="str">
        <f t="shared" si="22"/>
        <v/>
      </c>
      <c r="W91" s="95" t="str">
        <f t="shared" si="23"/>
        <v/>
      </c>
      <c r="X91" s="96" t="str">
        <f>IFERROR(U91*V91*Assumptions!$B$15/3956,"")</f>
        <v/>
      </c>
      <c r="Y91" s="102" t="str">
        <f t="shared" si="24"/>
        <v/>
      </c>
      <c r="Z91" s="95" t="str">
        <f t="shared" si="25"/>
        <v/>
      </c>
      <c r="AA91" s="96" t="str">
        <f>IFERROR(Y91*Z91*Assumptions!$B$15/3956,"")</f>
        <v/>
      </c>
      <c r="AB91" s="100" t="str">
        <f t="shared" si="26"/>
        <v/>
      </c>
      <c r="AC91" s="95" t="str">
        <f t="shared" si="27"/>
        <v/>
      </c>
      <c r="AD91" s="96" t="str">
        <f>IFERROR(AB91*AC91*Assumptions!$B$15/3956,"")</f>
        <v/>
      </c>
      <c r="AE91" s="94" t="str">
        <f>IFERROR(
IF(P91&lt;=5,
(Assumptions!$W$8*(W91/P91)^2+(Assumptions!$X$8*(W91/P91))+Assumptions!$Y$8),
IF(P91&lt;=20,
(Assumptions!$W$9*(W91/P91)^2+(Assumptions!$X$9*(W91/P91))+Assumptions!$Y$9),
IF(P91&lt;=50,
(Assumptions!$W$10*(W91/P91)^2+(Assumptions!$X$10*(W91/P91))+Assumptions!$Y$10),
(Assumptions!$W$11*(W91/P91)^2+(Assumptions!$X$11+(W91/P91))+Assumptions!$Y$11)))),
"")</f>
        <v/>
      </c>
      <c r="AF91" s="99" t="str">
        <f t="shared" si="28"/>
        <v/>
      </c>
      <c r="AG91" s="95" t="str">
        <f>IFERROR(
IF(P91&lt;=5,
(Assumptions!$W$8*(AF91/P91)^2+(Assumptions!$X$8*(AF91/P91))+Assumptions!$Y$8),
IF(P91&lt;=20,
(Assumptions!$W$9*(AF91/P91)^2+(Assumptions!$X$9*(AF91/P91))+Assumptions!$Y$9),
IF(P91&lt;=50,
(Assumptions!$W$10*(AF91/P91)^2+(Assumptions!$X$10*(AF91/P91))+Assumptions!$Y$10),
(Assumptions!$W$11*(AF91/P91)^2+(Assumptions!$X$11+(AF91/P91))+Assumptions!$Y$11)))),
"")</f>
        <v/>
      </c>
      <c r="AH91" s="95" t="str">
        <f t="shared" si="29"/>
        <v/>
      </c>
      <c r="AI91" s="95" t="str">
        <f>IFERROR(
IF(P91&lt;=5,
(Assumptions!$W$8*(AH91/P91)^2+(Assumptions!$X$8*(AH91/P91))+Assumptions!$Y$8),
IF(P91&lt;=20,
(Assumptions!$W$9*(AH91/P91)^2+(Assumptions!$X$9*(AH91/P91))+Assumptions!$Y$9),
IF(P91&lt;=50,
(Assumptions!$W$10*(AH91/P91)^2+(Assumptions!$X$10*(AH91/P91))+Assumptions!$Y$10),
(Assumptions!$W$11*(AH91/P91)^2+(Assumptions!$X$11+(AH91/P91))+Assumptions!$Y$11)))),"")</f>
        <v/>
      </c>
      <c r="AJ91" s="95" t="str">
        <f t="shared" si="30"/>
        <v/>
      </c>
      <c r="AK91" s="96" t="str">
        <f>IFERROR(
IF(P91&lt;=5,
(Assumptions!$W$8*(AJ91/P91)^2+(Assumptions!$X$8*(AJ91/P91))+Assumptions!$Y$8),
IF(P91&lt;=20,
(Assumptions!$W$9*(AJ91/P91)^2+(Assumptions!$X$9*(AJ91/P91))+Assumptions!$Y$9),
IF(P91&lt;=50,
(Assumptions!$W$10*(AJ91/P91)^2+(Assumptions!$X$10*(AJ91/P91))+Assumptions!$Y$10),
(Assumptions!$W$11*(AJ91/P91)^2+(Assumptions!$X$11+(AJ91/P91))+Assumptions!$Y$11)))),
"")</f>
        <v/>
      </c>
      <c r="AL91" s="99" t="str">
        <f>IFERROR(
IF(C91="VTS",
IF(P91&gt;=AVERAGE(
INDEX(Assumptions!$I$38:$I$57,MATCH(P91,Assumptions!$I$38:$I$57,-1)),
INDEX(Assumptions!$I$38:$I$57,MATCH(P91,Assumptions!$I$38:$I$57,-1)+1)),
INDEX(Assumptions!$I$38:$I$57,MATCH(P91,Assumptions!$I$38:$I$57,-1)),
INDEX(Assumptions!$I$38:$I$57,MATCH(P91,Assumptions!$I$38:$I$57,-1)+1)),
IF(P91&gt;=AVERAGE(
INDEX(Assumptions!$I$13:$I$32,MATCH(P91,Assumptions!$I$13:$I$32,-1)),
INDEX(Assumptions!$I$13:$I$32,MATCH(P91,Assumptions!$I$13:$I$32,-1)+1)),
INDEX(Assumptions!$I$13:$I$32,MATCH(P91,Assumptions!$I$13:$I$32,-1)),
INDEX(Assumptions!$I$13:$I$32,MATCH(P91,Assumptions!$I$13:$I$32,-1)+1))),
"")</f>
        <v/>
      </c>
      <c r="AM91" s="95" t="str">
        <f>IFERROR(
IF(C91="VTS",
VLOOKUP(AL91,Assumptions!$I$38:$K$57,MATCH(R91,Assumptions!$I$37:$K$37,0),FALSE),
VLOOKUP(AL91,Assumptions!$I$13:$K$32,MATCH(R91,Assumptions!$I$12:$K$12,0),FALSE)),
"")</f>
        <v/>
      </c>
      <c r="AN91" s="95" t="str">
        <f t="shared" si="31"/>
        <v/>
      </c>
      <c r="AO91" s="95" t="str">
        <f>IFERROR(AN91*
(Assumptions!$S$7*(X91/(AR91*Assumptions!$AB$9/100)/P91)^3+
Assumptions!$S$8*(X91/(AR91*Assumptions!$AB$9/100)/P91)^2+
Assumptions!$S$9*(X91/(AR91*Assumptions!$AB$9/100)/P91)+
Assumptions!$S$10),"")</f>
        <v/>
      </c>
      <c r="AP91" s="95" t="str">
        <f>IFERROR(AN91*
(Assumptions!$S$7*(AA91/(AR91*Assumptions!$AB$8/100)/P91)^3+
Assumptions!$S$8*(AA91/(AR91*Assumptions!$AB$8/100)/P91)^2+
Assumptions!$S$9*(AA91/(AR91*Assumptions!$AB$8/100)/P91)+
Assumptions!$S$10),"")</f>
        <v/>
      </c>
      <c r="AQ91" s="95" t="str">
        <f>IFERROR(AN91*
(Assumptions!$S$7*(AD91/(AR91*Assumptions!$AB$10/100)/P91)^3+
Assumptions!$S$8*(AD91/(AR91*Assumptions!$AB$10/100)/P91)^2+
Assumptions!$S$9*(AD91/(AR91*Assumptions!$AB$10/100)/P91)+
Assumptions!$S$10),"")</f>
        <v/>
      </c>
      <c r="AR91" s="95" t="str">
        <f>IFERROR(
Assumptions!$AD$8*LN(U91)^2+
Assumptions!$AE$8*LN(T91)*LN(U91)+
Assumptions!$AF$8*LN(T91)^2+
Assumptions!$AG$8*LN(U91)+
Assumptions!$AH$8*LN(T91)-
(IF(S91=1800,
VLOOKUP(C91,Assumptions!$AA$13:$AC$17,3),
IF(S91=3600,
VLOOKUP(C91,Assumptions!$AA$18:$AC$22,3),
""))+Assumptions!$AI$8),
"")</f>
        <v/>
      </c>
      <c r="AS91" s="96" t="str">
        <f>IFERROR(
Assumptions!$D$11*(X91/(Assumptions!$AB$9*AR91/100)+AO91)+
Assumptions!$D$10*(AA91/(Assumptions!$AB$8*AR91/100)+AP91)+
Assumptions!$D$12*(AD91/(Assumptions!$AB$10*AR91/100)+AQ91),
"")</f>
        <v/>
      </c>
      <c r="AT91" s="76" t="str">
        <f>IFERROR(
(W91+AE91)*Assumptions!$F$11+
(AF91+AG91)*Assumptions!$F$8+
(AH91+AI91)*Assumptions!$F$9+
(AJ91+AK91)*Assumptions!$F$10,
"")</f>
        <v/>
      </c>
      <c r="AU91" s="77" t="str">
        <f t="shared" si="32"/>
        <v/>
      </c>
      <c r="AV91" s="68" t="str">
        <f t="shared" si="18"/>
        <v/>
      </c>
    </row>
    <row r="92" spans="1:48" x14ac:dyDescent="0.25">
      <c r="A92" s="264"/>
      <c r="B92" s="265"/>
      <c r="C92" s="265"/>
      <c r="D92" s="265"/>
      <c r="E92" s="266"/>
      <c r="F92" s="270"/>
      <c r="G92" s="271"/>
      <c r="H92" s="271"/>
      <c r="I92" s="272"/>
      <c r="J92" s="270"/>
      <c r="K92" s="271"/>
      <c r="L92" s="272"/>
      <c r="M92" s="270"/>
      <c r="N92" s="271"/>
      <c r="O92" s="272"/>
      <c r="P92" s="290"/>
      <c r="Q92" s="314"/>
      <c r="R92" s="51" t="str">
        <f t="shared" si="17"/>
        <v/>
      </c>
      <c r="S92" s="84" t="str">
        <f t="shared" si="19"/>
        <v/>
      </c>
      <c r="T92" s="93" t="str">
        <f t="shared" si="20"/>
        <v/>
      </c>
      <c r="U92" s="100" t="str">
        <f t="shared" si="21"/>
        <v/>
      </c>
      <c r="V92" s="95" t="str">
        <f t="shared" si="22"/>
        <v/>
      </c>
      <c r="W92" s="95" t="str">
        <f t="shared" si="23"/>
        <v/>
      </c>
      <c r="X92" s="96" t="str">
        <f>IFERROR(U92*V92*Assumptions!$B$15/3956,"")</f>
        <v/>
      </c>
      <c r="Y92" s="102" t="str">
        <f t="shared" si="24"/>
        <v/>
      </c>
      <c r="Z92" s="95" t="str">
        <f t="shared" si="25"/>
        <v/>
      </c>
      <c r="AA92" s="96" t="str">
        <f>IFERROR(Y92*Z92*Assumptions!$B$15/3956,"")</f>
        <v/>
      </c>
      <c r="AB92" s="100" t="str">
        <f t="shared" si="26"/>
        <v/>
      </c>
      <c r="AC92" s="95" t="str">
        <f t="shared" si="27"/>
        <v/>
      </c>
      <c r="AD92" s="96" t="str">
        <f>IFERROR(AB92*AC92*Assumptions!$B$15/3956,"")</f>
        <v/>
      </c>
      <c r="AE92" s="94" t="str">
        <f>IFERROR(
IF(P92&lt;=5,
(Assumptions!$W$8*(W92/P92)^2+(Assumptions!$X$8*(W92/P92))+Assumptions!$Y$8),
IF(P92&lt;=20,
(Assumptions!$W$9*(W92/P92)^2+(Assumptions!$X$9*(W92/P92))+Assumptions!$Y$9),
IF(P92&lt;=50,
(Assumptions!$W$10*(W92/P92)^2+(Assumptions!$X$10*(W92/P92))+Assumptions!$Y$10),
(Assumptions!$W$11*(W92/P92)^2+(Assumptions!$X$11+(W92/P92))+Assumptions!$Y$11)))),
"")</f>
        <v/>
      </c>
      <c r="AF92" s="99" t="str">
        <f t="shared" si="28"/>
        <v/>
      </c>
      <c r="AG92" s="95" t="str">
        <f>IFERROR(
IF(P92&lt;=5,
(Assumptions!$W$8*(AF92/P92)^2+(Assumptions!$X$8*(AF92/P92))+Assumptions!$Y$8),
IF(P92&lt;=20,
(Assumptions!$W$9*(AF92/P92)^2+(Assumptions!$X$9*(AF92/P92))+Assumptions!$Y$9),
IF(P92&lt;=50,
(Assumptions!$W$10*(AF92/P92)^2+(Assumptions!$X$10*(AF92/P92))+Assumptions!$Y$10),
(Assumptions!$W$11*(AF92/P92)^2+(Assumptions!$X$11+(AF92/P92))+Assumptions!$Y$11)))),
"")</f>
        <v/>
      </c>
      <c r="AH92" s="95" t="str">
        <f t="shared" si="29"/>
        <v/>
      </c>
      <c r="AI92" s="95" t="str">
        <f>IFERROR(
IF(P92&lt;=5,
(Assumptions!$W$8*(AH92/P92)^2+(Assumptions!$X$8*(AH92/P92))+Assumptions!$Y$8),
IF(P92&lt;=20,
(Assumptions!$W$9*(AH92/P92)^2+(Assumptions!$X$9*(AH92/P92))+Assumptions!$Y$9),
IF(P92&lt;=50,
(Assumptions!$W$10*(AH92/P92)^2+(Assumptions!$X$10*(AH92/P92))+Assumptions!$Y$10),
(Assumptions!$W$11*(AH92/P92)^2+(Assumptions!$X$11+(AH92/P92))+Assumptions!$Y$11)))),"")</f>
        <v/>
      </c>
      <c r="AJ92" s="95" t="str">
        <f t="shared" si="30"/>
        <v/>
      </c>
      <c r="AK92" s="96" t="str">
        <f>IFERROR(
IF(P92&lt;=5,
(Assumptions!$W$8*(AJ92/P92)^2+(Assumptions!$X$8*(AJ92/P92))+Assumptions!$Y$8),
IF(P92&lt;=20,
(Assumptions!$W$9*(AJ92/P92)^2+(Assumptions!$X$9*(AJ92/P92))+Assumptions!$Y$9),
IF(P92&lt;=50,
(Assumptions!$W$10*(AJ92/P92)^2+(Assumptions!$X$10*(AJ92/P92))+Assumptions!$Y$10),
(Assumptions!$W$11*(AJ92/P92)^2+(Assumptions!$X$11+(AJ92/P92))+Assumptions!$Y$11)))),
"")</f>
        <v/>
      </c>
      <c r="AL92" s="99" t="str">
        <f>IFERROR(
IF(C92="VTS",
IF(P92&gt;=AVERAGE(
INDEX(Assumptions!$I$38:$I$57,MATCH(P92,Assumptions!$I$38:$I$57,-1)),
INDEX(Assumptions!$I$38:$I$57,MATCH(P92,Assumptions!$I$38:$I$57,-1)+1)),
INDEX(Assumptions!$I$38:$I$57,MATCH(P92,Assumptions!$I$38:$I$57,-1)),
INDEX(Assumptions!$I$38:$I$57,MATCH(P92,Assumptions!$I$38:$I$57,-1)+1)),
IF(P92&gt;=AVERAGE(
INDEX(Assumptions!$I$13:$I$32,MATCH(P92,Assumptions!$I$13:$I$32,-1)),
INDEX(Assumptions!$I$13:$I$32,MATCH(P92,Assumptions!$I$13:$I$32,-1)+1)),
INDEX(Assumptions!$I$13:$I$32,MATCH(P92,Assumptions!$I$13:$I$32,-1)),
INDEX(Assumptions!$I$13:$I$32,MATCH(P92,Assumptions!$I$13:$I$32,-1)+1))),
"")</f>
        <v/>
      </c>
      <c r="AM92" s="95" t="str">
        <f>IFERROR(
IF(C92="VTS",
VLOOKUP(AL92,Assumptions!$I$38:$K$57,MATCH(R92,Assumptions!$I$37:$K$37,0),FALSE),
VLOOKUP(AL92,Assumptions!$I$13:$K$32,MATCH(R92,Assumptions!$I$12:$K$12,0),FALSE)),
"")</f>
        <v/>
      </c>
      <c r="AN92" s="95" t="str">
        <f t="shared" si="31"/>
        <v/>
      </c>
      <c r="AO92" s="95" t="str">
        <f>IFERROR(AN92*
(Assumptions!$S$7*(X92/(AR92*Assumptions!$AB$9/100)/P92)^3+
Assumptions!$S$8*(X92/(AR92*Assumptions!$AB$9/100)/P92)^2+
Assumptions!$S$9*(X92/(AR92*Assumptions!$AB$9/100)/P92)+
Assumptions!$S$10),"")</f>
        <v/>
      </c>
      <c r="AP92" s="95" t="str">
        <f>IFERROR(AN92*
(Assumptions!$S$7*(AA92/(AR92*Assumptions!$AB$8/100)/P92)^3+
Assumptions!$S$8*(AA92/(AR92*Assumptions!$AB$8/100)/P92)^2+
Assumptions!$S$9*(AA92/(AR92*Assumptions!$AB$8/100)/P92)+
Assumptions!$S$10),"")</f>
        <v/>
      </c>
      <c r="AQ92" s="95" t="str">
        <f>IFERROR(AN92*
(Assumptions!$S$7*(AD92/(AR92*Assumptions!$AB$10/100)/P92)^3+
Assumptions!$S$8*(AD92/(AR92*Assumptions!$AB$10/100)/P92)^2+
Assumptions!$S$9*(AD92/(AR92*Assumptions!$AB$10/100)/P92)+
Assumptions!$S$10),"")</f>
        <v/>
      </c>
      <c r="AR92" s="95" t="str">
        <f>IFERROR(
Assumptions!$AD$8*LN(U92)^2+
Assumptions!$AE$8*LN(T92)*LN(U92)+
Assumptions!$AF$8*LN(T92)^2+
Assumptions!$AG$8*LN(U92)+
Assumptions!$AH$8*LN(T92)-
(IF(S92=1800,
VLOOKUP(C92,Assumptions!$AA$13:$AC$17,3),
IF(S92=3600,
VLOOKUP(C92,Assumptions!$AA$18:$AC$22,3),
""))+Assumptions!$AI$8),
"")</f>
        <v/>
      </c>
      <c r="AS92" s="96" t="str">
        <f>IFERROR(
Assumptions!$D$11*(X92/(Assumptions!$AB$9*AR92/100)+AO92)+
Assumptions!$D$10*(AA92/(Assumptions!$AB$8*AR92/100)+AP92)+
Assumptions!$D$12*(AD92/(Assumptions!$AB$10*AR92/100)+AQ92),
"")</f>
        <v/>
      </c>
      <c r="AT92" s="76" t="str">
        <f>IFERROR(
(W92+AE92)*Assumptions!$F$11+
(AF92+AG92)*Assumptions!$F$8+
(AH92+AI92)*Assumptions!$F$9+
(AJ92+AK92)*Assumptions!$F$10,
"")</f>
        <v/>
      </c>
      <c r="AU92" s="77" t="str">
        <f t="shared" si="32"/>
        <v/>
      </c>
      <c r="AV92" s="68" t="str">
        <f t="shared" si="18"/>
        <v/>
      </c>
    </row>
    <row r="93" spans="1:48" x14ac:dyDescent="0.25">
      <c r="A93" s="264"/>
      <c r="B93" s="265"/>
      <c r="C93" s="265"/>
      <c r="D93" s="265"/>
      <c r="E93" s="266"/>
      <c r="F93" s="270"/>
      <c r="G93" s="271"/>
      <c r="H93" s="271"/>
      <c r="I93" s="272"/>
      <c r="J93" s="270"/>
      <c r="K93" s="271"/>
      <c r="L93" s="272"/>
      <c r="M93" s="270"/>
      <c r="N93" s="271"/>
      <c r="O93" s="272"/>
      <c r="P93" s="290"/>
      <c r="Q93" s="314"/>
      <c r="R93" s="51" t="str">
        <f t="shared" si="17"/>
        <v/>
      </c>
      <c r="S93" s="84" t="str">
        <f t="shared" si="19"/>
        <v/>
      </c>
      <c r="T93" s="93" t="str">
        <f t="shared" si="20"/>
        <v/>
      </c>
      <c r="U93" s="100" t="str">
        <f t="shared" si="21"/>
        <v/>
      </c>
      <c r="V93" s="95" t="str">
        <f t="shared" si="22"/>
        <v/>
      </c>
      <c r="W93" s="95" t="str">
        <f t="shared" si="23"/>
        <v/>
      </c>
      <c r="X93" s="96" t="str">
        <f>IFERROR(U93*V93*Assumptions!$B$15/3956,"")</f>
        <v/>
      </c>
      <c r="Y93" s="102" t="str">
        <f t="shared" si="24"/>
        <v/>
      </c>
      <c r="Z93" s="95" t="str">
        <f t="shared" si="25"/>
        <v/>
      </c>
      <c r="AA93" s="96" t="str">
        <f>IFERROR(Y93*Z93*Assumptions!$B$15/3956,"")</f>
        <v/>
      </c>
      <c r="AB93" s="100" t="str">
        <f t="shared" si="26"/>
        <v/>
      </c>
      <c r="AC93" s="95" t="str">
        <f t="shared" si="27"/>
        <v/>
      </c>
      <c r="AD93" s="96" t="str">
        <f>IFERROR(AB93*AC93*Assumptions!$B$15/3956,"")</f>
        <v/>
      </c>
      <c r="AE93" s="94" t="str">
        <f>IFERROR(
IF(P93&lt;=5,
(Assumptions!$W$8*(W93/P93)^2+(Assumptions!$X$8*(W93/P93))+Assumptions!$Y$8),
IF(P93&lt;=20,
(Assumptions!$W$9*(W93/P93)^2+(Assumptions!$X$9*(W93/P93))+Assumptions!$Y$9),
IF(P93&lt;=50,
(Assumptions!$W$10*(W93/P93)^2+(Assumptions!$X$10*(W93/P93))+Assumptions!$Y$10),
(Assumptions!$W$11*(W93/P93)^2+(Assumptions!$X$11+(W93/P93))+Assumptions!$Y$11)))),
"")</f>
        <v/>
      </c>
      <c r="AF93" s="99" t="str">
        <f t="shared" si="28"/>
        <v/>
      </c>
      <c r="AG93" s="95" t="str">
        <f>IFERROR(
IF(P93&lt;=5,
(Assumptions!$W$8*(AF93/P93)^2+(Assumptions!$X$8*(AF93/P93))+Assumptions!$Y$8),
IF(P93&lt;=20,
(Assumptions!$W$9*(AF93/P93)^2+(Assumptions!$X$9*(AF93/P93))+Assumptions!$Y$9),
IF(P93&lt;=50,
(Assumptions!$W$10*(AF93/P93)^2+(Assumptions!$X$10*(AF93/P93))+Assumptions!$Y$10),
(Assumptions!$W$11*(AF93/P93)^2+(Assumptions!$X$11+(AF93/P93))+Assumptions!$Y$11)))),
"")</f>
        <v/>
      </c>
      <c r="AH93" s="95" t="str">
        <f t="shared" si="29"/>
        <v/>
      </c>
      <c r="AI93" s="95" t="str">
        <f>IFERROR(
IF(P93&lt;=5,
(Assumptions!$W$8*(AH93/P93)^2+(Assumptions!$X$8*(AH93/P93))+Assumptions!$Y$8),
IF(P93&lt;=20,
(Assumptions!$W$9*(AH93/P93)^2+(Assumptions!$X$9*(AH93/P93))+Assumptions!$Y$9),
IF(P93&lt;=50,
(Assumptions!$W$10*(AH93/P93)^2+(Assumptions!$X$10*(AH93/P93))+Assumptions!$Y$10),
(Assumptions!$W$11*(AH93/P93)^2+(Assumptions!$X$11+(AH93/P93))+Assumptions!$Y$11)))),"")</f>
        <v/>
      </c>
      <c r="AJ93" s="95" t="str">
        <f t="shared" si="30"/>
        <v/>
      </c>
      <c r="AK93" s="96" t="str">
        <f>IFERROR(
IF(P93&lt;=5,
(Assumptions!$W$8*(AJ93/P93)^2+(Assumptions!$X$8*(AJ93/P93))+Assumptions!$Y$8),
IF(P93&lt;=20,
(Assumptions!$W$9*(AJ93/P93)^2+(Assumptions!$X$9*(AJ93/P93))+Assumptions!$Y$9),
IF(P93&lt;=50,
(Assumptions!$W$10*(AJ93/P93)^2+(Assumptions!$X$10*(AJ93/P93))+Assumptions!$Y$10),
(Assumptions!$W$11*(AJ93/P93)^2+(Assumptions!$X$11+(AJ93/P93))+Assumptions!$Y$11)))),
"")</f>
        <v/>
      </c>
      <c r="AL93" s="99" t="str">
        <f>IFERROR(
IF(C93="VTS",
IF(P93&gt;=AVERAGE(
INDEX(Assumptions!$I$38:$I$57,MATCH(P93,Assumptions!$I$38:$I$57,-1)),
INDEX(Assumptions!$I$38:$I$57,MATCH(P93,Assumptions!$I$38:$I$57,-1)+1)),
INDEX(Assumptions!$I$38:$I$57,MATCH(P93,Assumptions!$I$38:$I$57,-1)),
INDEX(Assumptions!$I$38:$I$57,MATCH(P93,Assumptions!$I$38:$I$57,-1)+1)),
IF(P93&gt;=AVERAGE(
INDEX(Assumptions!$I$13:$I$32,MATCH(P93,Assumptions!$I$13:$I$32,-1)),
INDEX(Assumptions!$I$13:$I$32,MATCH(P93,Assumptions!$I$13:$I$32,-1)+1)),
INDEX(Assumptions!$I$13:$I$32,MATCH(P93,Assumptions!$I$13:$I$32,-1)),
INDEX(Assumptions!$I$13:$I$32,MATCH(P93,Assumptions!$I$13:$I$32,-1)+1))),
"")</f>
        <v/>
      </c>
      <c r="AM93" s="95" t="str">
        <f>IFERROR(
IF(C93="VTS",
VLOOKUP(AL93,Assumptions!$I$38:$K$57,MATCH(R93,Assumptions!$I$37:$K$37,0),FALSE),
VLOOKUP(AL93,Assumptions!$I$13:$K$32,MATCH(R93,Assumptions!$I$12:$K$12,0),FALSE)),
"")</f>
        <v/>
      </c>
      <c r="AN93" s="95" t="str">
        <f t="shared" si="31"/>
        <v/>
      </c>
      <c r="AO93" s="95" t="str">
        <f>IFERROR(AN93*
(Assumptions!$S$7*(X93/(AR93*Assumptions!$AB$9/100)/P93)^3+
Assumptions!$S$8*(X93/(AR93*Assumptions!$AB$9/100)/P93)^2+
Assumptions!$S$9*(X93/(AR93*Assumptions!$AB$9/100)/P93)+
Assumptions!$S$10),"")</f>
        <v/>
      </c>
      <c r="AP93" s="95" t="str">
        <f>IFERROR(AN93*
(Assumptions!$S$7*(AA93/(AR93*Assumptions!$AB$8/100)/P93)^3+
Assumptions!$S$8*(AA93/(AR93*Assumptions!$AB$8/100)/P93)^2+
Assumptions!$S$9*(AA93/(AR93*Assumptions!$AB$8/100)/P93)+
Assumptions!$S$10),"")</f>
        <v/>
      </c>
      <c r="AQ93" s="95" t="str">
        <f>IFERROR(AN93*
(Assumptions!$S$7*(AD93/(AR93*Assumptions!$AB$10/100)/P93)^3+
Assumptions!$S$8*(AD93/(AR93*Assumptions!$AB$10/100)/P93)^2+
Assumptions!$S$9*(AD93/(AR93*Assumptions!$AB$10/100)/P93)+
Assumptions!$S$10),"")</f>
        <v/>
      </c>
      <c r="AR93" s="95" t="str">
        <f>IFERROR(
Assumptions!$AD$8*LN(U93)^2+
Assumptions!$AE$8*LN(T93)*LN(U93)+
Assumptions!$AF$8*LN(T93)^2+
Assumptions!$AG$8*LN(U93)+
Assumptions!$AH$8*LN(T93)-
(IF(S93=1800,
VLOOKUP(C93,Assumptions!$AA$13:$AC$17,3),
IF(S93=3600,
VLOOKUP(C93,Assumptions!$AA$18:$AC$22,3),
""))+Assumptions!$AI$8),
"")</f>
        <v/>
      </c>
      <c r="AS93" s="96" t="str">
        <f>IFERROR(
Assumptions!$D$11*(X93/(Assumptions!$AB$9*AR93/100)+AO93)+
Assumptions!$D$10*(AA93/(Assumptions!$AB$8*AR93/100)+AP93)+
Assumptions!$D$12*(AD93/(Assumptions!$AB$10*AR93/100)+AQ93),
"")</f>
        <v/>
      </c>
      <c r="AT93" s="76" t="str">
        <f>IFERROR(
(W93+AE93)*Assumptions!$F$11+
(AF93+AG93)*Assumptions!$F$8+
(AH93+AI93)*Assumptions!$F$9+
(AJ93+AK93)*Assumptions!$F$10,
"")</f>
        <v/>
      </c>
      <c r="AU93" s="77" t="str">
        <f t="shared" si="32"/>
        <v/>
      </c>
      <c r="AV93" s="68" t="str">
        <f t="shared" si="18"/>
        <v/>
      </c>
    </row>
    <row r="94" spans="1:48" x14ac:dyDescent="0.25">
      <c r="A94" s="264"/>
      <c r="B94" s="265"/>
      <c r="C94" s="265"/>
      <c r="D94" s="265"/>
      <c r="E94" s="266"/>
      <c r="F94" s="270"/>
      <c r="G94" s="271"/>
      <c r="H94" s="271"/>
      <c r="I94" s="272"/>
      <c r="J94" s="270"/>
      <c r="K94" s="271"/>
      <c r="L94" s="272"/>
      <c r="M94" s="270"/>
      <c r="N94" s="271"/>
      <c r="O94" s="272"/>
      <c r="P94" s="290"/>
      <c r="Q94" s="314"/>
      <c r="R94" s="51" t="str">
        <f t="shared" si="17"/>
        <v/>
      </c>
      <c r="S94" s="84" t="str">
        <f t="shared" si="19"/>
        <v/>
      </c>
      <c r="T94" s="93" t="str">
        <f t="shared" si="20"/>
        <v/>
      </c>
      <c r="U94" s="100" t="str">
        <f t="shared" si="21"/>
        <v/>
      </c>
      <c r="V94" s="95" t="str">
        <f t="shared" si="22"/>
        <v/>
      </c>
      <c r="W94" s="95" t="str">
        <f t="shared" si="23"/>
        <v/>
      </c>
      <c r="X94" s="96" t="str">
        <f>IFERROR(U94*V94*Assumptions!$B$15/3956,"")</f>
        <v/>
      </c>
      <c r="Y94" s="102" t="str">
        <f t="shared" si="24"/>
        <v/>
      </c>
      <c r="Z94" s="95" t="str">
        <f t="shared" si="25"/>
        <v/>
      </c>
      <c r="AA94" s="96" t="str">
        <f>IFERROR(Y94*Z94*Assumptions!$B$15/3956,"")</f>
        <v/>
      </c>
      <c r="AB94" s="100" t="str">
        <f t="shared" si="26"/>
        <v/>
      </c>
      <c r="AC94" s="95" t="str">
        <f t="shared" si="27"/>
        <v/>
      </c>
      <c r="AD94" s="96" t="str">
        <f>IFERROR(AB94*AC94*Assumptions!$B$15/3956,"")</f>
        <v/>
      </c>
      <c r="AE94" s="94" t="str">
        <f>IFERROR(
IF(P94&lt;=5,
(Assumptions!$W$8*(W94/P94)^2+(Assumptions!$X$8*(W94/P94))+Assumptions!$Y$8),
IF(P94&lt;=20,
(Assumptions!$W$9*(W94/P94)^2+(Assumptions!$X$9*(W94/P94))+Assumptions!$Y$9),
IF(P94&lt;=50,
(Assumptions!$W$10*(W94/P94)^2+(Assumptions!$X$10*(W94/P94))+Assumptions!$Y$10),
(Assumptions!$W$11*(W94/P94)^2+(Assumptions!$X$11+(W94/P94))+Assumptions!$Y$11)))),
"")</f>
        <v/>
      </c>
      <c r="AF94" s="99" t="str">
        <f t="shared" si="28"/>
        <v/>
      </c>
      <c r="AG94" s="95" t="str">
        <f>IFERROR(
IF(P94&lt;=5,
(Assumptions!$W$8*(AF94/P94)^2+(Assumptions!$X$8*(AF94/P94))+Assumptions!$Y$8),
IF(P94&lt;=20,
(Assumptions!$W$9*(AF94/P94)^2+(Assumptions!$X$9*(AF94/P94))+Assumptions!$Y$9),
IF(P94&lt;=50,
(Assumptions!$W$10*(AF94/P94)^2+(Assumptions!$X$10*(AF94/P94))+Assumptions!$Y$10),
(Assumptions!$W$11*(AF94/P94)^2+(Assumptions!$X$11+(AF94/P94))+Assumptions!$Y$11)))),
"")</f>
        <v/>
      </c>
      <c r="AH94" s="95" t="str">
        <f t="shared" si="29"/>
        <v/>
      </c>
      <c r="AI94" s="95" t="str">
        <f>IFERROR(
IF(P94&lt;=5,
(Assumptions!$W$8*(AH94/P94)^2+(Assumptions!$X$8*(AH94/P94))+Assumptions!$Y$8),
IF(P94&lt;=20,
(Assumptions!$W$9*(AH94/P94)^2+(Assumptions!$X$9*(AH94/P94))+Assumptions!$Y$9),
IF(P94&lt;=50,
(Assumptions!$W$10*(AH94/P94)^2+(Assumptions!$X$10*(AH94/P94))+Assumptions!$Y$10),
(Assumptions!$W$11*(AH94/P94)^2+(Assumptions!$X$11+(AH94/P94))+Assumptions!$Y$11)))),"")</f>
        <v/>
      </c>
      <c r="AJ94" s="95" t="str">
        <f t="shared" si="30"/>
        <v/>
      </c>
      <c r="AK94" s="96" t="str">
        <f>IFERROR(
IF(P94&lt;=5,
(Assumptions!$W$8*(AJ94/P94)^2+(Assumptions!$X$8*(AJ94/P94))+Assumptions!$Y$8),
IF(P94&lt;=20,
(Assumptions!$W$9*(AJ94/P94)^2+(Assumptions!$X$9*(AJ94/P94))+Assumptions!$Y$9),
IF(P94&lt;=50,
(Assumptions!$W$10*(AJ94/P94)^2+(Assumptions!$X$10*(AJ94/P94))+Assumptions!$Y$10),
(Assumptions!$W$11*(AJ94/P94)^2+(Assumptions!$X$11+(AJ94/P94))+Assumptions!$Y$11)))),
"")</f>
        <v/>
      </c>
      <c r="AL94" s="99" t="str">
        <f>IFERROR(
IF(C94="VTS",
IF(P94&gt;=AVERAGE(
INDEX(Assumptions!$I$38:$I$57,MATCH(P94,Assumptions!$I$38:$I$57,-1)),
INDEX(Assumptions!$I$38:$I$57,MATCH(P94,Assumptions!$I$38:$I$57,-1)+1)),
INDEX(Assumptions!$I$38:$I$57,MATCH(P94,Assumptions!$I$38:$I$57,-1)),
INDEX(Assumptions!$I$38:$I$57,MATCH(P94,Assumptions!$I$38:$I$57,-1)+1)),
IF(P94&gt;=AVERAGE(
INDEX(Assumptions!$I$13:$I$32,MATCH(P94,Assumptions!$I$13:$I$32,-1)),
INDEX(Assumptions!$I$13:$I$32,MATCH(P94,Assumptions!$I$13:$I$32,-1)+1)),
INDEX(Assumptions!$I$13:$I$32,MATCH(P94,Assumptions!$I$13:$I$32,-1)),
INDEX(Assumptions!$I$13:$I$32,MATCH(P94,Assumptions!$I$13:$I$32,-1)+1))),
"")</f>
        <v/>
      </c>
      <c r="AM94" s="95" t="str">
        <f>IFERROR(
IF(C94="VTS",
VLOOKUP(AL94,Assumptions!$I$38:$K$57,MATCH(R94,Assumptions!$I$37:$K$37,0),FALSE),
VLOOKUP(AL94,Assumptions!$I$13:$K$32,MATCH(R94,Assumptions!$I$12:$K$12,0),FALSE)),
"")</f>
        <v/>
      </c>
      <c r="AN94" s="95" t="str">
        <f t="shared" si="31"/>
        <v/>
      </c>
      <c r="AO94" s="95" t="str">
        <f>IFERROR(AN94*
(Assumptions!$S$7*(X94/(AR94*Assumptions!$AB$9/100)/P94)^3+
Assumptions!$S$8*(X94/(AR94*Assumptions!$AB$9/100)/P94)^2+
Assumptions!$S$9*(X94/(AR94*Assumptions!$AB$9/100)/P94)+
Assumptions!$S$10),"")</f>
        <v/>
      </c>
      <c r="AP94" s="95" t="str">
        <f>IFERROR(AN94*
(Assumptions!$S$7*(AA94/(AR94*Assumptions!$AB$8/100)/P94)^3+
Assumptions!$S$8*(AA94/(AR94*Assumptions!$AB$8/100)/P94)^2+
Assumptions!$S$9*(AA94/(AR94*Assumptions!$AB$8/100)/P94)+
Assumptions!$S$10),"")</f>
        <v/>
      </c>
      <c r="AQ94" s="95" t="str">
        <f>IFERROR(AN94*
(Assumptions!$S$7*(AD94/(AR94*Assumptions!$AB$10/100)/P94)^3+
Assumptions!$S$8*(AD94/(AR94*Assumptions!$AB$10/100)/P94)^2+
Assumptions!$S$9*(AD94/(AR94*Assumptions!$AB$10/100)/P94)+
Assumptions!$S$10),"")</f>
        <v/>
      </c>
      <c r="AR94" s="95" t="str">
        <f>IFERROR(
Assumptions!$AD$8*LN(U94)^2+
Assumptions!$AE$8*LN(T94)*LN(U94)+
Assumptions!$AF$8*LN(T94)^2+
Assumptions!$AG$8*LN(U94)+
Assumptions!$AH$8*LN(T94)-
(IF(S94=1800,
VLOOKUP(C94,Assumptions!$AA$13:$AC$17,3),
IF(S94=3600,
VLOOKUP(C94,Assumptions!$AA$18:$AC$22,3),
""))+Assumptions!$AI$8),
"")</f>
        <v/>
      </c>
      <c r="AS94" s="96" t="str">
        <f>IFERROR(
Assumptions!$D$11*(X94/(Assumptions!$AB$9*AR94/100)+AO94)+
Assumptions!$D$10*(AA94/(Assumptions!$AB$8*AR94/100)+AP94)+
Assumptions!$D$12*(AD94/(Assumptions!$AB$10*AR94/100)+AQ94),
"")</f>
        <v/>
      </c>
      <c r="AT94" s="76" t="str">
        <f>IFERROR(
(W94+AE94)*Assumptions!$F$11+
(AF94+AG94)*Assumptions!$F$8+
(AH94+AI94)*Assumptions!$F$9+
(AJ94+AK94)*Assumptions!$F$10,
"")</f>
        <v/>
      </c>
      <c r="AU94" s="77" t="str">
        <f t="shared" si="32"/>
        <v/>
      </c>
      <c r="AV94" s="68" t="str">
        <f t="shared" si="18"/>
        <v/>
      </c>
    </row>
    <row r="95" spans="1:48" x14ac:dyDescent="0.25">
      <c r="A95" s="264"/>
      <c r="B95" s="265"/>
      <c r="C95" s="265"/>
      <c r="D95" s="265"/>
      <c r="E95" s="266"/>
      <c r="F95" s="270"/>
      <c r="G95" s="271"/>
      <c r="H95" s="271"/>
      <c r="I95" s="272"/>
      <c r="J95" s="270"/>
      <c r="K95" s="271"/>
      <c r="L95" s="272"/>
      <c r="M95" s="270"/>
      <c r="N95" s="271"/>
      <c r="O95" s="272"/>
      <c r="P95" s="290"/>
      <c r="Q95" s="314"/>
      <c r="R95" s="51" t="str">
        <f t="shared" si="17"/>
        <v/>
      </c>
      <c r="S95" s="84" t="str">
        <f t="shared" si="19"/>
        <v/>
      </c>
      <c r="T95" s="93" t="str">
        <f t="shared" si="20"/>
        <v/>
      </c>
      <c r="U95" s="100" t="str">
        <f t="shared" si="21"/>
        <v/>
      </c>
      <c r="V95" s="95" t="str">
        <f t="shared" si="22"/>
        <v/>
      </c>
      <c r="W95" s="95" t="str">
        <f t="shared" si="23"/>
        <v/>
      </c>
      <c r="X95" s="96" t="str">
        <f>IFERROR(U95*V95*Assumptions!$B$15/3956,"")</f>
        <v/>
      </c>
      <c r="Y95" s="102" t="str">
        <f t="shared" si="24"/>
        <v/>
      </c>
      <c r="Z95" s="95" t="str">
        <f t="shared" si="25"/>
        <v/>
      </c>
      <c r="AA95" s="96" t="str">
        <f>IFERROR(Y95*Z95*Assumptions!$B$15/3956,"")</f>
        <v/>
      </c>
      <c r="AB95" s="100" t="str">
        <f t="shared" si="26"/>
        <v/>
      </c>
      <c r="AC95" s="95" t="str">
        <f t="shared" si="27"/>
        <v/>
      </c>
      <c r="AD95" s="96" t="str">
        <f>IFERROR(AB95*AC95*Assumptions!$B$15/3956,"")</f>
        <v/>
      </c>
      <c r="AE95" s="94" t="str">
        <f>IFERROR(
IF(P95&lt;=5,
(Assumptions!$W$8*(W95/P95)^2+(Assumptions!$X$8*(W95/P95))+Assumptions!$Y$8),
IF(P95&lt;=20,
(Assumptions!$W$9*(W95/P95)^2+(Assumptions!$X$9*(W95/P95))+Assumptions!$Y$9),
IF(P95&lt;=50,
(Assumptions!$W$10*(W95/P95)^2+(Assumptions!$X$10*(W95/P95))+Assumptions!$Y$10),
(Assumptions!$W$11*(W95/P95)^2+(Assumptions!$X$11+(W95/P95))+Assumptions!$Y$11)))),
"")</f>
        <v/>
      </c>
      <c r="AF95" s="99" t="str">
        <f t="shared" si="28"/>
        <v/>
      </c>
      <c r="AG95" s="95" t="str">
        <f>IFERROR(
IF(P95&lt;=5,
(Assumptions!$W$8*(AF95/P95)^2+(Assumptions!$X$8*(AF95/P95))+Assumptions!$Y$8),
IF(P95&lt;=20,
(Assumptions!$W$9*(AF95/P95)^2+(Assumptions!$X$9*(AF95/P95))+Assumptions!$Y$9),
IF(P95&lt;=50,
(Assumptions!$W$10*(AF95/P95)^2+(Assumptions!$X$10*(AF95/P95))+Assumptions!$Y$10),
(Assumptions!$W$11*(AF95/P95)^2+(Assumptions!$X$11+(AF95/P95))+Assumptions!$Y$11)))),
"")</f>
        <v/>
      </c>
      <c r="AH95" s="95" t="str">
        <f t="shared" si="29"/>
        <v/>
      </c>
      <c r="AI95" s="95" t="str">
        <f>IFERROR(
IF(P95&lt;=5,
(Assumptions!$W$8*(AH95/P95)^2+(Assumptions!$X$8*(AH95/P95))+Assumptions!$Y$8),
IF(P95&lt;=20,
(Assumptions!$W$9*(AH95/P95)^2+(Assumptions!$X$9*(AH95/P95))+Assumptions!$Y$9),
IF(P95&lt;=50,
(Assumptions!$W$10*(AH95/P95)^2+(Assumptions!$X$10*(AH95/P95))+Assumptions!$Y$10),
(Assumptions!$W$11*(AH95/P95)^2+(Assumptions!$X$11+(AH95/P95))+Assumptions!$Y$11)))),"")</f>
        <v/>
      </c>
      <c r="AJ95" s="95" t="str">
        <f t="shared" si="30"/>
        <v/>
      </c>
      <c r="AK95" s="96" t="str">
        <f>IFERROR(
IF(P95&lt;=5,
(Assumptions!$W$8*(AJ95/P95)^2+(Assumptions!$X$8*(AJ95/P95))+Assumptions!$Y$8),
IF(P95&lt;=20,
(Assumptions!$W$9*(AJ95/P95)^2+(Assumptions!$X$9*(AJ95/P95))+Assumptions!$Y$9),
IF(P95&lt;=50,
(Assumptions!$W$10*(AJ95/P95)^2+(Assumptions!$X$10*(AJ95/P95))+Assumptions!$Y$10),
(Assumptions!$W$11*(AJ95/P95)^2+(Assumptions!$X$11+(AJ95/P95))+Assumptions!$Y$11)))),
"")</f>
        <v/>
      </c>
      <c r="AL95" s="99" t="str">
        <f>IFERROR(
IF(C95="VTS",
IF(P95&gt;=AVERAGE(
INDEX(Assumptions!$I$38:$I$57,MATCH(P95,Assumptions!$I$38:$I$57,-1)),
INDEX(Assumptions!$I$38:$I$57,MATCH(P95,Assumptions!$I$38:$I$57,-1)+1)),
INDEX(Assumptions!$I$38:$I$57,MATCH(P95,Assumptions!$I$38:$I$57,-1)),
INDEX(Assumptions!$I$38:$I$57,MATCH(P95,Assumptions!$I$38:$I$57,-1)+1)),
IF(P95&gt;=AVERAGE(
INDEX(Assumptions!$I$13:$I$32,MATCH(P95,Assumptions!$I$13:$I$32,-1)),
INDEX(Assumptions!$I$13:$I$32,MATCH(P95,Assumptions!$I$13:$I$32,-1)+1)),
INDEX(Assumptions!$I$13:$I$32,MATCH(P95,Assumptions!$I$13:$I$32,-1)),
INDEX(Assumptions!$I$13:$I$32,MATCH(P95,Assumptions!$I$13:$I$32,-1)+1))),
"")</f>
        <v/>
      </c>
      <c r="AM95" s="95" t="str">
        <f>IFERROR(
IF(C95="VTS",
VLOOKUP(AL95,Assumptions!$I$38:$K$57,MATCH(R95,Assumptions!$I$37:$K$37,0),FALSE),
VLOOKUP(AL95,Assumptions!$I$13:$K$32,MATCH(R95,Assumptions!$I$12:$K$12,0),FALSE)),
"")</f>
        <v/>
      </c>
      <c r="AN95" s="95" t="str">
        <f t="shared" si="31"/>
        <v/>
      </c>
      <c r="AO95" s="95" t="str">
        <f>IFERROR(AN95*
(Assumptions!$S$7*(X95/(AR95*Assumptions!$AB$9/100)/P95)^3+
Assumptions!$S$8*(X95/(AR95*Assumptions!$AB$9/100)/P95)^2+
Assumptions!$S$9*(X95/(AR95*Assumptions!$AB$9/100)/P95)+
Assumptions!$S$10),"")</f>
        <v/>
      </c>
      <c r="AP95" s="95" t="str">
        <f>IFERROR(AN95*
(Assumptions!$S$7*(AA95/(AR95*Assumptions!$AB$8/100)/P95)^3+
Assumptions!$S$8*(AA95/(AR95*Assumptions!$AB$8/100)/P95)^2+
Assumptions!$S$9*(AA95/(AR95*Assumptions!$AB$8/100)/P95)+
Assumptions!$S$10),"")</f>
        <v/>
      </c>
      <c r="AQ95" s="95" t="str">
        <f>IFERROR(AN95*
(Assumptions!$S$7*(AD95/(AR95*Assumptions!$AB$10/100)/P95)^3+
Assumptions!$S$8*(AD95/(AR95*Assumptions!$AB$10/100)/P95)^2+
Assumptions!$S$9*(AD95/(AR95*Assumptions!$AB$10/100)/P95)+
Assumptions!$S$10),"")</f>
        <v/>
      </c>
      <c r="AR95" s="95" t="str">
        <f>IFERROR(
Assumptions!$AD$8*LN(U95)^2+
Assumptions!$AE$8*LN(T95)*LN(U95)+
Assumptions!$AF$8*LN(T95)^2+
Assumptions!$AG$8*LN(U95)+
Assumptions!$AH$8*LN(T95)-
(IF(S95=1800,
VLOOKUP(C95,Assumptions!$AA$13:$AC$17,3),
IF(S95=3600,
VLOOKUP(C95,Assumptions!$AA$18:$AC$22,3),
""))+Assumptions!$AI$8),
"")</f>
        <v/>
      </c>
      <c r="AS95" s="96" t="str">
        <f>IFERROR(
Assumptions!$D$11*(X95/(Assumptions!$AB$9*AR95/100)+AO95)+
Assumptions!$D$10*(AA95/(Assumptions!$AB$8*AR95/100)+AP95)+
Assumptions!$D$12*(AD95/(Assumptions!$AB$10*AR95/100)+AQ95),
"")</f>
        <v/>
      </c>
      <c r="AT95" s="76" t="str">
        <f>IFERROR(
(W95+AE95)*Assumptions!$F$11+
(AF95+AG95)*Assumptions!$F$8+
(AH95+AI95)*Assumptions!$F$9+
(AJ95+AK95)*Assumptions!$F$10,
"")</f>
        <v/>
      </c>
      <c r="AU95" s="77" t="str">
        <f t="shared" si="32"/>
        <v/>
      </c>
      <c r="AV95" s="68" t="str">
        <f t="shared" si="18"/>
        <v/>
      </c>
    </row>
    <row r="96" spans="1:48" x14ac:dyDescent="0.25">
      <c r="A96" s="264"/>
      <c r="B96" s="265"/>
      <c r="C96" s="265"/>
      <c r="D96" s="265"/>
      <c r="E96" s="266"/>
      <c r="F96" s="270"/>
      <c r="G96" s="271"/>
      <c r="H96" s="271"/>
      <c r="I96" s="272"/>
      <c r="J96" s="270"/>
      <c r="K96" s="271"/>
      <c r="L96" s="272"/>
      <c r="M96" s="270"/>
      <c r="N96" s="271"/>
      <c r="O96" s="272"/>
      <c r="P96" s="290"/>
      <c r="Q96" s="314"/>
      <c r="R96" s="51" t="str">
        <f t="shared" si="17"/>
        <v/>
      </c>
      <c r="S96" s="84" t="str">
        <f t="shared" si="19"/>
        <v/>
      </c>
      <c r="T96" s="93" t="str">
        <f t="shared" si="20"/>
        <v/>
      </c>
      <c r="U96" s="100" t="str">
        <f t="shared" si="21"/>
        <v/>
      </c>
      <c r="V96" s="95" t="str">
        <f t="shared" si="22"/>
        <v/>
      </c>
      <c r="W96" s="95" t="str">
        <f t="shared" si="23"/>
        <v/>
      </c>
      <c r="X96" s="96" t="str">
        <f>IFERROR(U96*V96*Assumptions!$B$15/3956,"")</f>
        <v/>
      </c>
      <c r="Y96" s="102" t="str">
        <f t="shared" si="24"/>
        <v/>
      </c>
      <c r="Z96" s="95" t="str">
        <f t="shared" si="25"/>
        <v/>
      </c>
      <c r="AA96" s="96" t="str">
        <f>IFERROR(Y96*Z96*Assumptions!$B$15/3956,"")</f>
        <v/>
      </c>
      <c r="AB96" s="100" t="str">
        <f t="shared" si="26"/>
        <v/>
      </c>
      <c r="AC96" s="95" t="str">
        <f t="shared" si="27"/>
        <v/>
      </c>
      <c r="AD96" s="96" t="str">
        <f>IFERROR(AB96*AC96*Assumptions!$B$15/3956,"")</f>
        <v/>
      </c>
      <c r="AE96" s="94" t="str">
        <f>IFERROR(
IF(P96&lt;=5,
(Assumptions!$W$8*(W96/P96)^2+(Assumptions!$X$8*(W96/P96))+Assumptions!$Y$8),
IF(P96&lt;=20,
(Assumptions!$W$9*(W96/P96)^2+(Assumptions!$X$9*(W96/P96))+Assumptions!$Y$9),
IF(P96&lt;=50,
(Assumptions!$W$10*(W96/P96)^2+(Assumptions!$X$10*(W96/P96))+Assumptions!$Y$10),
(Assumptions!$W$11*(W96/P96)^2+(Assumptions!$X$11+(W96/P96))+Assumptions!$Y$11)))),
"")</f>
        <v/>
      </c>
      <c r="AF96" s="99" t="str">
        <f t="shared" si="28"/>
        <v/>
      </c>
      <c r="AG96" s="95" t="str">
        <f>IFERROR(
IF(P96&lt;=5,
(Assumptions!$W$8*(AF96/P96)^2+(Assumptions!$X$8*(AF96/P96))+Assumptions!$Y$8),
IF(P96&lt;=20,
(Assumptions!$W$9*(AF96/P96)^2+(Assumptions!$X$9*(AF96/P96))+Assumptions!$Y$9),
IF(P96&lt;=50,
(Assumptions!$W$10*(AF96/P96)^2+(Assumptions!$X$10*(AF96/P96))+Assumptions!$Y$10),
(Assumptions!$W$11*(AF96/P96)^2+(Assumptions!$X$11+(AF96/P96))+Assumptions!$Y$11)))),
"")</f>
        <v/>
      </c>
      <c r="AH96" s="95" t="str">
        <f t="shared" si="29"/>
        <v/>
      </c>
      <c r="AI96" s="95" t="str">
        <f>IFERROR(
IF(P96&lt;=5,
(Assumptions!$W$8*(AH96/P96)^2+(Assumptions!$X$8*(AH96/P96))+Assumptions!$Y$8),
IF(P96&lt;=20,
(Assumptions!$W$9*(AH96/P96)^2+(Assumptions!$X$9*(AH96/P96))+Assumptions!$Y$9),
IF(P96&lt;=50,
(Assumptions!$W$10*(AH96/P96)^2+(Assumptions!$X$10*(AH96/P96))+Assumptions!$Y$10),
(Assumptions!$W$11*(AH96/P96)^2+(Assumptions!$X$11+(AH96/P96))+Assumptions!$Y$11)))),"")</f>
        <v/>
      </c>
      <c r="AJ96" s="95" t="str">
        <f t="shared" si="30"/>
        <v/>
      </c>
      <c r="AK96" s="96" t="str">
        <f>IFERROR(
IF(P96&lt;=5,
(Assumptions!$W$8*(AJ96/P96)^2+(Assumptions!$X$8*(AJ96/P96))+Assumptions!$Y$8),
IF(P96&lt;=20,
(Assumptions!$W$9*(AJ96/P96)^2+(Assumptions!$X$9*(AJ96/P96))+Assumptions!$Y$9),
IF(P96&lt;=50,
(Assumptions!$W$10*(AJ96/P96)^2+(Assumptions!$X$10*(AJ96/P96))+Assumptions!$Y$10),
(Assumptions!$W$11*(AJ96/P96)^2+(Assumptions!$X$11+(AJ96/P96))+Assumptions!$Y$11)))),
"")</f>
        <v/>
      </c>
      <c r="AL96" s="99" t="str">
        <f>IFERROR(
IF(C96="VTS",
IF(P96&gt;=AVERAGE(
INDEX(Assumptions!$I$38:$I$57,MATCH(P96,Assumptions!$I$38:$I$57,-1)),
INDEX(Assumptions!$I$38:$I$57,MATCH(P96,Assumptions!$I$38:$I$57,-1)+1)),
INDEX(Assumptions!$I$38:$I$57,MATCH(P96,Assumptions!$I$38:$I$57,-1)),
INDEX(Assumptions!$I$38:$I$57,MATCH(P96,Assumptions!$I$38:$I$57,-1)+1)),
IF(P96&gt;=AVERAGE(
INDEX(Assumptions!$I$13:$I$32,MATCH(P96,Assumptions!$I$13:$I$32,-1)),
INDEX(Assumptions!$I$13:$I$32,MATCH(P96,Assumptions!$I$13:$I$32,-1)+1)),
INDEX(Assumptions!$I$13:$I$32,MATCH(P96,Assumptions!$I$13:$I$32,-1)),
INDEX(Assumptions!$I$13:$I$32,MATCH(P96,Assumptions!$I$13:$I$32,-1)+1))),
"")</f>
        <v/>
      </c>
      <c r="AM96" s="95" t="str">
        <f>IFERROR(
IF(C96="VTS",
VLOOKUP(AL96,Assumptions!$I$38:$K$57,MATCH(R96,Assumptions!$I$37:$K$37,0),FALSE),
VLOOKUP(AL96,Assumptions!$I$13:$K$32,MATCH(R96,Assumptions!$I$12:$K$12,0),FALSE)),
"")</f>
        <v/>
      </c>
      <c r="AN96" s="95" t="str">
        <f t="shared" si="31"/>
        <v/>
      </c>
      <c r="AO96" s="95" t="str">
        <f>IFERROR(AN96*
(Assumptions!$S$7*(X96/(AR96*Assumptions!$AB$9/100)/P96)^3+
Assumptions!$S$8*(X96/(AR96*Assumptions!$AB$9/100)/P96)^2+
Assumptions!$S$9*(X96/(AR96*Assumptions!$AB$9/100)/P96)+
Assumptions!$S$10),"")</f>
        <v/>
      </c>
      <c r="AP96" s="95" t="str">
        <f>IFERROR(AN96*
(Assumptions!$S$7*(AA96/(AR96*Assumptions!$AB$8/100)/P96)^3+
Assumptions!$S$8*(AA96/(AR96*Assumptions!$AB$8/100)/P96)^2+
Assumptions!$S$9*(AA96/(AR96*Assumptions!$AB$8/100)/P96)+
Assumptions!$S$10),"")</f>
        <v/>
      </c>
      <c r="AQ96" s="95" t="str">
        <f>IFERROR(AN96*
(Assumptions!$S$7*(AD96/(AR96*Assumptions!$AB$10/100)/P96)^3+
Assumptions!$S$8*(AD96/(AR96*Assumptions!$AB$10/100)/P96)^2+
Assumptions!$S$9*(AD96/(AR96*Assumptions!$AB$10/100)/P96)+
Assumptions!$S$10),"")</f>
        <v/>
      </c>
      <c r="AR96" s="95" t="str">
        <f>IFERROR(
Assumptions!$AD$8*LN(U96)^2+
Assumptions!$AE$8*LN(T96)*LN(U96)+
Assumptions!$AF$8*LN(T96)^2+
Assumptions!$AG$8*LN(U96)+
Assumptions!$AH$8*LN(T96)-
(IF(S96=1800,
VLOOKUP(C96,Assumptions!$AA$13:$AC$17,3),
IF(S96=3600,
VLOOKUP(C96,Assumptions!$AA$18:$AC$22,3),
""))+Assumptions!$AI$8),
"")</f>
        <v/>
      </c>
      <c r="AS96" s="96" t="str">
        <f>IFERROR(
Assumptions!$D$11*(X96/(Assumptions!$AB$9*AR96/100)+AO96)+
Assumptions!$D$10*(AA96/(Assumptions!$AB$8*AR96/100)+AP96)+
Assumptions!$D$12*(AD96/(Assumptions!$AB$10*AR96/100)+AQ96),
"")</f>
        <v/>
      </c>
      <c r="AT96" s="76" t="str">
        <f>IFERROR(
(W96+AE96)*Assumptions!$F$11+
(AF96+AG96)*Assumptions!$F$8+
(AH96+AI96)*Assumptions!$F$9+
(AJ96+AK96)*Assumptions!$F$10,
"")</f>
        <v/>
      </c>
      <c r="AU96" s="77" t="str">
        <f t="shared" si="32"/>
        <v/>
      </c>
      <c r="AV96" s="68" t="str">
        <f t="shared" si="18"/>
        <v/>
      </c>
    </row>
    <row r="97" spans="1:48" x14ac:dyDescent="0.25">
      <c r="A97" s="264"/>
      <c r="B97" s="265"/>
      <c r="C97" s="265"/>
      <c r="D97" s="265"/>
      <c r="E97" s="266"/>
      <c r="F97" s="270"/>
      <c r="G97" s="271"/>
      <c r="H97" s="271"/>
      <c r="I97" s="272"/>
      <c r="J97" s="270"/>
      <c r="K97" s="271"/>
      <c r="L97" s="272"/>
      <c r="M97" s="270"/>
      <c r="N97" s="271"/>
      <c r="O97" s="272"/>
      <c r="P97" s="290"/>
      <c r="Q97" s="314"/>
      <c r="R97" s="51" t="str">
        <f t="shared" si="17"/>
        <v/>
      </c>
      <c r="S97" s="84" t="str">
        <f t="shared" si="19"/>
        <v/>
      </c>
      <c r="T97" s="93" t="str">
        <f t="shared" si="20"/>
        <v/>
      </c>
      <c r="U97" s="100" t="str">
        <f t="shared" si="21"/>
        <v/>
      </c>
      <c r="V97" s="95" t="str">
        <f t="shared" si="22"/>
        <v/>
      </c>
      <c r="W97" s="95" t="str">
        <f t="shared" si="23"/>
        <v/>
      </c>
      <c r="X97" s="96" t="str">
        <f>IFERROR(U97*V97*Assumptions!$B$15/3956,"")</f>
        <v/>
      </c>
      <c r="Y97" s="102" t="str">
        <f t="shared" si="24"/>
        <v/>
      </c>
      <c r="Z97" s="95" t="str">
        <f t="shared" si="25"/>
        <v/>
      </c>
      <c r="AA97" s="96" t="str">
        <f>IFERROR(Y97*Z97*Assumptions!$B$15/3956,"")</f>
        <v/>
      </c>
      <c r="AB97" s="100" t="str">
        <f t="shared" si="26"/>
        <v/>
      </c>
      <c r="AC97" s="95" t="str">
        <f t="shared" si="27"/>
        <v/>
      </c>
      <c r="AD97" s="96" t="str">
        <f>IFERROR(AB97*AC97*Assumptions!$B$15/3956,"")</f>
        <v/>
      </c>
      <c r="AE97" s="94" t="str">
        <f>IFERROR(
IF(P97&lt;=5,
(Assumptions!$W$8*(W97/P97)^2+(Assumptions!$X$8*(W97/P97))+Assumptions!$Y$8),
IF(P97&lt;=20,
(Assumptions!$W$9*(W97/P97)^2+(Assumptions!$X$9*(W97/P97))+Assumptions!$Y$9),
IF(P97&lt;=50,
(Assumptions!$W$10*(W97/P97)^2+(Assumptions!$X$10*(W97/P97))+Assumptions!$Y$10),
(Assumptions!$W$11*(W97/P97)^2+(Assumptions!$X$11+(W97/P97))+Assumptions!$Y$11)))),
"")</f>
        <v/>
      </c>
      <c r="AF97" s="99" t="str">
        <f t="shared" si="28"/>
        <v/>
      </c>
      <c r="AG97" s="95" t="str">
        <f>IFERROR(
IF(P97&lt;=5,
(Assumptions!$W$8*(AF97/P97)^2+(Assumptions!$X$8*(AF97/P97))+Assumptions!$Y$8),
IF(P97&lt;=20,
(Assumptions!$W$9*(AF97/P97)^2+(Assumptions!$X$9*(AF97/P97))+Assumptions!$Y$9),
IF(P97&lt;=50,
(Assumptions!$W$10*(AF97/P97)^2+(Assumptions!$X$10*(AF97/P97))+Assumptions!$Y$10),
(Assumptions!$W$11*(AF97/P97)^2+(Assumptions!$X$11+(AF97/P97))+Assumptions!$Y$11)))),
"")</f>
        <v/>
      </c>
      <c r="AH97" s="95" t="str">
        <f t="shared" si="29"/>
        <v/>
      </c>
      <c r="AI97" s="95" t="str">
        <f>IFERROR(
IF(P97&lt;=5,
(Assumptions!$W$8*(AH97/P97)^2+(Assumptions!$X$8*(AH97/P97))+Assumptions!$Y$8),
IF(P97&lt;=20,
(Assumptions!$W$9*(AH97/P97)^2+(Assumptions!$X$9*(AH97/P97))+Assumptions!$Y$9),
IF(P97&lt;=50,
(Assumptions!$W$10*(AH97/P97)^2+(Assumptions!$X$10*(AH97/P97))+Assumptions!$Y$10),
(Assumptions!$W$11*(AH97/P97)^2+(Assumptions!$X$11+(AH97/P97))+Assumptions!$Y$11)))),"")</f>
        <v/>
      </c>
      <c r="AJ97" s="95" t="str">
        <f t="shared" si="30"/>
        <v/>
      </c>
      <c r="AK97" s="96" t="str">
        <f>IFERROR(
IF(P97&lt;=5,
(Assumptions!$W$8*(AJ97/P97)^2+(Assumptions!$X$8*(AJ97/P97))+Assumptions!$Y$8),
IF(P97&lt;=20,
(Assumptions!$W$9*(AJ97/P97)^2+(Assumptions!$X$9*(AJ97/P97))+Assumptions!$Y$9),
IF(P97&lt;=50,
(Assumptions!$W$10*(AJ97/P97)^2+(Assumptions!$X$10*(AJ97/P97))+Assumptions!$Y$10),
(Assumptions!$W$11*(AJ97/P97)^2+(Assumptions!$X$11+(AJ97/P97))+Assumptions!$Y$11)))),
"")</f>
        <v/>
      </c>
      <c r="AL97" s="99" t="str">
        <f>IFERROR(
IF(C97="VTS",
IF(P97&gt;=AVERAGE(
INDEX(Assumptions!$I$38:$I$57,MATCH(P97,Assumptions!$I$38:$I$57,-1)),
INDEX(Assumptions!$I$38:$I$57,MATCH(P97,Assumptions!$I$38:$I$57,-1)+1)),
INDEX(Assumptions!$I$38:$I$57,MATCH(P97,Assumptions!$I$38:$I$57,-1)),
INDEX(Assumptions!$I$38:$I$57,MATCH(P97,Assumptions!$I$38:$I$57,-1)+1)),
IF(P97&gt;=AVERAGE(
INDEX(Assumptions!$I$13:$I$32,MATCH(P97,Assumptions!$I$13:$I$32,-1)),
INDEX(Assumptions!$I$13:$I$32,MATCH(P97,Assumptions!$I$13:$I$32,-1)+1)),
INDEX(Assumptions!$I$13:$I$32,MATCH(P97,Assumptions!$I$13:$I$32,-1)),
INDEX(Assumptions!$I$13:$I$32,MATCH(P97,Assumptions!$I$13:$I$32,-1)+1))),
"")</f>
        <v/>
      </c>
      <c r="AM97" s="95" t="str">
        <f>IFERROR(
IF(C97="VTS",
VLOOKUP(AL97,Assumptions!$I$38:$K$57,MATCH(R97,Assumptions!$I$37:$K$37,0),FALSE),
VLOOKUP(AL97,Assumptions!$I$13:$K$32,MATCH(R97,Assumptions!$I$12:$K$12,0),FALSE)),
"")</f>
        <v/>
      </c>
      <c r="AN97" s="95" t="str">
        <f t="shared" si="31"/>
        <v/>
      </c>
      <c r="AO97" s="95" t="str">
        <f>IFERROR(AN97*
(Assumptions!$S$7*(X97/(AR97*Assumptions!$AB$9/100)/P97)^3+
Assumptions!$S$8*(X97/(AR97*Assumptions!$AB$9/100)/P97)^2+
Assumptions!$S$9*(X97/(AR97*Assumptions!$AB$9/100)/P97)+
Assumptions!$S$10),"")</f>
        <v/>
      </c>
      <c r="AP97" s="95" t="str">
        <f>IFERROR(AN97*
(Assumptions!$S$7*(AA97/(AR97*Assumptions!$AB$8/100)/P97)^3+
Assumptions!$S$8*(AA97/(AR97*Assumptions!$AB$8/100)/P97)^2+
Assumptions!$S$9*(AA97/(AR97*Assumptions!$AB$8/100)/P97)+
Assumptions!$S$10),"")</f>
        <v/>
      </c>
      <c r="AQ97" s="95" t="str">
        <f>IFERROR(AN97*
(Assumptions!$S$7*(AD97/(AR97*Assumptions!$AB$10/100)/P97)^3+
Assumptions!$S$8*(AD97/(AR97*Assumptions!$AB$10/100)/P97)^2+
Assumptions!$S$9*(AD97/(AR97*Assumptions!$AB$10/100)/P97)+
Assumptions!$S$10),"")</f>
        <v/>
      </c>
      <c r="AR97" s="95" t="str">
        <f>IFERROR(
Assumptions!$AD$8*LN(U97)^2+
Assumptions!$AE$8*LN(T97)*LN(U97)+
Assumptions!$AF$8*LN(T97)^2+
Assumptions!$AG$8*LN(U97)+
Assumptions!$AH$8*LN(T97)-
(IF(S97=1800,
VLOOKUP(C97,Assumptions!$AA$13:$AC$17,3),
IF(S97=3600,
VLOOKUP(C97,Assumptions!$AA$18:$AC$22,3),
""))+Assumptions!$AI$8),
"")</f>
        <v/>
      </c>
      <c r="AS97" s="96" t="str">
        <f>IFERROR(
Assumptions!$D$11*(X97/(Assumptions!$AB$9*AR97/100)+AO97)+
Assumptions!$D$10*(AA97/(Assumptions!$AB$8*AR97/100)+AP97)+
Assumptions!$D$12*(AD97/(Assumptions!$AB$10*AR97/100)+AQ97),
"")</f>
        <v/>
      </c>
      <c r="AT97" s="76" t="str">
        <f>IFERROR(
(W97+AE97)*Assumptions!$F$11+
(AF97+AG97)*Assumptions!$F$8+
(AH97+AI97)*Assumptions!$F$9+
(AJ97+AK97)*Assumptions!$F$10,
"")</f>
        <v/>
      </c>
      <c r="AU97" s="77" t="str">
        <f t="shared" si="32"/>
        <v/>
      </c>
      <c r="AV97" s="68" t="str">
        <f t="shared" si="18"/>
        <v/>
      </c>
    </row>
    <row r="98" spans="1:48" x14ac:dyDescent="0.25">
      <c r="A98" s="264"/>
      <c r="B98" s="265"/>
      <c r="C98" s="265"/>
      <c r="D98" s="265"/>
      <c r="E98" s="266"/>
      <c r="F98" s="270"/>
      <c r="G98" s="271"/>
      <c r="H98" s="271"/>
      <c r="I98" s="272"/>
      <c r="J98" s="270"/>
      <c r="K98" s="271"/>
      <c r="L98" s="272"/>
      <c r="M98" s="270"/>
      <c r="N98" s="271"/>
      <c r="O98" s="272"/>
      <c r="P98" s="290"/>
      <c r="Q98" s="314"/>
      <c r="R98" s="51" t="str">
        <f t="shared" si="17"/>
        <v/>
      </c>
      <c r="S98" s="84" t="str">
        <f t="shared" si="19"/>
        <v/>
      </c>
      <c r="T98" s="93" t="str">
        <f t="shared" si="20"/>
        <v/>
      </c>
      <c r="U98" s="100" t="str">
        <f t="shared" si="21"/>
        <v/>
      </c>
      <c r="V98" s="95" t="str">
        <f t="shared" si="22"/>
        <v/>
      </c>
      <c r="W98" s="95" t="str">
        <f t="shared" si="23"/>
        <v/>
      </c>
      <c r="X98" s="96" t="str">
        <f>IFERROR(U98*V98*Assumptions!$B$15/3956,"")</f>
        <v/>
      </c>
      <c r="Y98" s="102" t="str">
        <f t="shared" si="24"/>
        <v/>
      </c>
      <c r="Z98" s="95" t="str">
        <f t="shared" si="25"/>
        <v/>
      </c>
      <c r="AA98" s="96" t="str">
        <f>IFERROR(Y98*Z98*Assumptions!$B$15/3956,"")</f>
        <v/>
      </c>
      <c r="AB98" s="100" t="str">
        <f t="shared" si="26"/>
        <v/>
      </c>
      <c r="AC98" s="95" t="str">
        <f t="shared" si="27"/>
        <v/>
      </c>
      <c r="AD98" s="96" t="str">
        <f>IFERROR(AB98*AC98*Assumptions!$B$15/3956,"")</f>
        <v/>
      </c>
      <c r="AE98" s="94" t="str">
        <f>IFERROR(
IF(P98&lt;=5,
(Assumptions!$W$8*(W98/P98)^2+(Assumptions!$X$8*(W98/P98))+Assumptions!$Y$8),
IF(P98&lt;=20,
(Assumptions!$W$9*(W98/P98)^2+(Assumptions!$X$9*(W98/P98))+Assumptions!$Y$9),
IF(P98&lt;=50,
(Assumptions!$W$10*(W98/P98)^2+(Assumptions!$X$10*(W98/P98))+Assumptions!$Y$10),
(Assumptions!$W$11*(W98/P98)^2+(Assumptions!$X$11+(W98/P98))+Assumptions!$Y$11)))),
"")</f>
        <v/>
      </c>
      <c r="AF98" s="99" t="str">
        <f t="shared" si="28"/>
        <v/>
      </c>
      <c r="AG98" s="95" t="str">
        <f>IFERROR(
IF(P98&lt;=5,
(Assumptions!$W$8*(AF98/P98)^2+(Assumptions!$X$8*(AF98/P98))+Assumptions!$Y$8),
IF(P98&lt;=20,
(Assumptions!$W$9*(AF98/P98)^2+(Assumptions!$X$9*(AF98/P98))+Assumptions!$Y$9),
IF(P98&lt;=50,
(Assumptions!$W$10*(AF98/P98)^2+(Assumptions!$X$10*(AF98/P98))+Assumptions!$Y$10),
(Assumptions!$W$11*(AF98/P98)^2+(Assumptions!$X$11+(AF98/P98))+Assumptions!$Y$11)))),
"")</f>
        <v/>
      </c>
      <c r="AH98" s="95" t="str">
        <f t="shared" si="29"/>
        <v/>
      </c>
      <c r="AI98" s="95" t="str">
        <f>IFERROR(
IF(P98&lt;=5,
(Assumptions!$W$8*(AH98/P98)^2+(Assumptions!$X$8*(AH98/P98))+Assumptions!$Y$8),
IF(P98&lt;=20,
(Assumptions!$W$9*(AH98/P98)^2+(Assumptions!$X$9*(AH98/P98))+Assumptions!$Y$9),
IF(P98&lt;=50,
(Assumptions!$W$10*(AH98/P98)^2+(Assumptions!$X$10*(AH98/P98))+Assumptions!$Y$10),
(Assumptions!$W$11*(AH98/P98)^2+(Assumptions!$X$11+(AH98/P98))+Assumptions!$Y$11)))),"")</f>
        <v/>
      </c>
      <c r="AJ98" s="95" t="str">
        <f t="shared" si="30"/>
        <v/>
      </c>
      <c r="AK98" s="96" t="str">
        <f>IFERROR(
IF(P98&lt;=5,
(Assumptions!$W$8*(AJ98/P98)^2+(Assumptions!$X$8*(AJ98/P98))+Assumptions!$Y$8),
IF(P98&lt;=20,
(Assumptions!$W$9*(AJ98/P98)^2+(Assumptions!$X$9*(AJ98/P98))+Assumptions!$Y$9),
IF(P98&lt;=50,
(Assumptions!$W$10*(AJ98/P98)^2+(Assumptions!$X$10*(AJ98/P98))+Assumptions!$Y$10),
(Assumptions!$W$11*(AJ98/P98)^2+(Assumptions!$X$11+(AJ98/P98))+Assumptions!$Y$11)))),
"")</f>
        <v/>
      </c>
      <c r="AL98" s="99" t="str">
        <f>IFERROR(
IF(C98="VTS",
IF(P98&gt;=AVERAGE(
INDEX(Assumptions!$I$38:$I$57,MATCH(P98,Assumptions!$I$38:$I$57,-1)),
INDEX(Assumptions!$I$38:$I$57,MATCH(P98,Assumptions!$I$38:$I$57,-1)+1)),
INDEX(Assumptions!$I$38:$I$57,MATCH(P98,Assumptions!$I$38:$I$57,-1)),
INDEX(Assumptions!$I$38:$I$57,MATCH(P98,Assumptions!$I$38:$I$57,-1)+1)),
IF(P98&gt;=AVERAGE(
INDEX(Assumptions!$I$13:$I$32,MATCH(P98,Assumptions!$I$13:$I$32,-1)),
INDEX(Assumptions!$I$13:$I$32,MATCH(P98,Assumptions!$I$13:$I$32,-1)+1)),
INDEX(Assumptions!$I$13:$I$32,MATCH(P98,Assumptions!$I$13:$I$32,-1)),
INDEX(Assumptions!$I$13:$I$32,MATCH(P98,Assumptions!$I$13:$I$32,-1)+1))),
"")</f>
        <v/>
      </c>
      <c r="AM98" s="95" t="str">
        <f>IFERROR(
IF(C98="VTS",
VLOOKUP(AL98,Assumptions!$I$38:$K$57,MATCH(R98,Assumptions!$I$37:$K$37,0),FALSE),
VLOOKUP(AL98,Assumptions!$I$13:$K$32,MATCH(R98,Assumptions!$I$12:$K$12,0),FALSE)),
"")</f>
        <v/>
      </c>
      <c r="AN98" s="95" t="str">
        <f t="shared" si="31"/>
        <v/>
      </c>
      <c r="AO98" s="95" t="str">
        <f>IFERROR(AN98*
(Assumptions!$S$7*(X98/(AR98*Assumptions!$AB$9/100)/P98)^3+
Assumptions!$S$8*(X98/(AR98*Assumptions!$AB$9/100)/P98)^2+
Assumptions!$S$9*(X98/(AR98*Assumptions!$AB$9/100)/P98)+
Assumptions!$S$10),"")</f>
        <v/>
      </c>
      <c r="AP98" s="95" t="str">
        <f>IFERROR(AN98*
(Assumptions!$S$7*(AA98/(AR98*Assumptions!$AB$8/100)/P98)^3+
Assumptions!$S$8*(AA98/(AR98*Assumptions!$AB$8/100)/P98)^2+
Assumptions!$S$9*(AA98/(AR98*Assumptions!$AB$8/100)/P98)+
Assumptions!$S$10),"")</f>
        <v/>
      </c>
      <c r="AQ98" s="95" t="str">
        <f>IFERROR(AN98*
(Assumptions!$S$7*(AD98/(AR98*Assumptions!$AB$10/100)/P98)^3+
Assumptions!$S$8*(AD98/(AR98*Assumptions!$AB$10/100)/P98)^2+
Assumptions!$S$9*(AD98/(AR98*Assumptions!$AB$10/100)/P98)+
Assumptions!$S$10),"")</f>
        <v/>
      </c>
      <c r="AR98" s="95" t="str">
        <f>IFERROR(
Assumptions!$AD$8*LN(U98)^2+
Assumptions!$AE$8*LN(T98)*LN(U98)+
Assumptions!$AF$8*LN(T98)^2+
Assumptions!$AG$8*LN(U98)+
Assumptions!$AH$8*LN(T98)-
(IF(S98=1800,
VLOOKUP(C98,Assumptions!$AA$13:$AC$17,3),
IF(S98=3600,
VLOOKUP(C98,Assumptions!$AA$18:$AC$22,3),
""))+Assumptions!$AI$8),
"")</f>
        <v/>
      </c>
      <c r="AS98" s="96" t="str">
        <f>IFERROR(
Assumptions!$D$11*(X98/(Assumptions!$AB$9*AR98/100)+AO98)+
Assumptions!$D$10*(AA98/(Assumptions!$AB$8*AR98/100)+AP98)+
Assumptions!$D$12*(AD98/(Assumptions!$AB$10*AR98/100)+AQ98),
"")</f>
        <v/>
      </c>
      <c r="AT98" s="76" t="str">
        <f>IFERROR(
(W98+AE98)*Assumptions!$F$11+
(AF98+AG98)*Assumptions!$F$8+
(AH98+AI98)*Assumptions!$F$9+
(AJ98+AK98)*Assumptions!$F$10,
"")</f>
        <v/>
      </c>
      <c r="AU98" s="77" t="str">
        <f t="shared" si="32"/>
        <v/>
      </c>
      <c r="AV98" s="68" t="str">
        <f t="shared" si="18"/>
        <v/>
      </c>
    </row>
    <row r="99" spans="1:48" x14ac:dyDescent="0.25">
      <c r="A99" s="264"/>
      <c r="B99" s="265"/>
      <c r="C99" s="265"/>
      <c r="D99" s="265"/>
      <c r="E99" s="266"/>
      <c r="F99" s="270"/>
      <c r="G99" s="271"/>
      <c r="H99" s="271"/>
      <c r="I99" s="272"/>
      <c r="J99" s="270"/>
      <c r="K99" s="271"/>
      <c r="L99" s="272"/>
      <c r="M99" s="270"/>
      <c r="N99" s="271"/>
      <c r="O99" s="272"/>
      <c r="P99" s="290"/>
      <c r="Q99" s="314"/>
      <c r="R99" s="51" t="str">
        <f t="shared" si="17"/>
        <v/>
      </c>
      <c r="S99" s="84" t="str">
        <f t="shared" si="19"/>
        <v/>
      </c>
      <c r="T99" s="93" t="str">
        <f t="shared" si="20"/>
        <v/>
      </c>
      <c r="U99" s="100" t="str">
        <f t="shared" si="21"/>
        <v/>
      </c>
      <c r="V99" s="95" t="str">
        <f t="shared" si="22"/>
        <v/>
      </c>
      <c r="W99" s="95" t="str">
        <f t="shared" si="23"/>
        <v/>
      </c>
      <c r="X99" s="96" t="str">
        <f>IFERROR(U99*V99*Assumptions!$B$15/3956,"")</f>
        <v/>
      </c>
      <c r="Y99" s="102" t="str">
        <f t="shared" si="24"/>
        <v/>
      </c>
      <c r="Z99" s="95" t="str">
        <f t="shared" si="25"/>
        <v/>
      </c>
      <c r="AA99" s="96" t="str">
        <f>IFERROR(Y99*Z99*Assumptions!$B$15/3956,"")</f>
        <v/>
      </c>
      <c r="AB99" s="100" t="str">
        <f t="shared" si="26"/>
        <v/>
      </c>
      <c r="AC99" s="95" t="str">
        <f t="shared" si="27"/>
        <v/>
      </c>
      <c r="AD99" s="96" t="str">
        <f>IFERROR(AB99*AC99*Assumptions!$B$15/3956,"")</f>
        <v/>
      </c>
      <c r="AE99" s="94" t="str">
        <f>IFERROR(
IF(P99&lt;=5,
(Assumptions!$W$8*(W99/P99)^2+(Assumptions!$X$8*(W99/P99))+Assumptions!$Y$8),
IF(P99&lt;=20,
(Assumptions!$W$9*(W99/P99)^2+(Assumptions!$X$9*(W99/P99))+Assumptions!$Y$9),
IF(P99&lt;=50,
(Assumptions!$W$10*(W99/P99)^2+(Assumptions!$X$10*(W99/P99))+Assumptions!$Y$10),
(Assumptions!$W$11*(W99/P99)^2+(Assumptions!$X$11+(W99/P99))+Assumptions!$Y$11)))),
"")</f>
        <v/>
      </c>
      <c r="AF99" s="99" t="str">
        <f t="shared" si="28"/>
        <v/>
      </c>
      <c r="AG99" s="95" t="str">
        <f>IFERROR(
IF(P99&lt;=5,
(Assumptions!$W$8*(AF99/P99)^2+(Assumptions!$X$8*(AF99/P99))+Assumptions!$Y$8),
IF(P99&lt;=20,
(Assumptions!$W$9*(AF99/P99)^2+(Assumptions!$X$9*(AF99/P99))+Assumptions!$Y$9),
IF(P99&lt;=50,
(Assumptions!$W$10*(AF99/P99)^2+(Assumptions!$X$10*(AF99/P99))+Assumptions!$Y$10),
(Assumptions!$W$11*(AF99/P99)^2+(Assumptions!$X$11+(AF99/P99))+Assumptions!$Y$11)))),
"")</f>
        <v/>
      </c>
      <c r="AH99" s="95" t="str">
        <f t="shared" si="29"/>
        <v/>
      </c>
      <c r="AI99" s="95" t="str">
        <f>IFERROR(
IF(P99&lt;=5,
(Assumptions!$W$8*(AH99/P99)^2+(Assumptions!$X$8*(AH99/P99))+Assumptions!$Y$8),
IF(P99&lt;=20,
(Assumptions!$W$9*(AH99/P99)^2+(Assumptions!$X$9*(AH99/P99))+Assumptions!$Y$9),
IF(P99&lt;=50,
(Assumptions!$W$10*(AH99/P99)^2+(Assumptions!$X$10*(AH99/P99))+Assumptions!$Y$10),
(Assumptions!$W$11*(AH99/P99)^2+(Assumptions!$X$11+(AH99/P99))+Assumptions!$Y$11)))),"")</f>
        <v/>
      </c>
      <c r="AJ99" s="95" t="str">
        <f t="shared" si="30"/>
        <v/>
      </c>
      <c r="AK99" s="96" t="str">
        <f>IFERROR(
IF(P99&lt;=5,
(Assumptions!$W$8*(AJ99/P99)^2+(Assumptions!$X$8*(AJ99/P99))+Assumptions!$Y$8),
IF(P99&lt;=20,
(Assumptions!$W$9*(AJ99/P99)^2+(Assumptions!$X$9*(AJ99/P99))+Assumptions!$Y$9),
IF(P99&lt;=50,
(Assumptions!$W$10*(AJ99/P99)^2+(Assumptions!$X$10*(AJ99/P99))+Assumptions!$Y$10),
(Assumptions!$W$11*(AJ99/P99)^2+(Assumptions!$X$11+(AJ99/P99))+Assumptions!$Y$11)))),
"")</f>
        <v/>
      </c>
      <c r="AL99" s="99" t="str">
        <f>IFERROR(
IF(C99="VTS",
IF(P99&gt;=AVERAGE(
INDEX(Assumptions!$I$38:$I$57,MATCH(P99,Assumptions!$I$38:$I$57,-1)),
INDEX(Assumptions!$I$38:$I$57,MATCH(P99,Assumptions!$I$38:$I$57,-1)+1)),
INDEX(Assumptions!$I$38:$I$57,MATCH(P99,Assumptions!$I$38:$I$57,-1)),
INDEX(Assumptions!$I$38:$I$57,MATCH(P99,Assumptions!$I$38:$I$57,-1)+1)),
IF(P99&gt;=AVERAGE(
INDEX(Assumptions!$I$13:$I$32,MATCH(P99,Assumptions!$I$13:$I$32,-1)),
INDEX(Assumptions!$I$13:$I$32,MATCH(P99,Assumptions!$I$13:$I$32,-1)+1)),
INDEX(Assumptions!$I$13:$I$32,MATCH(P99,Assumptions!$I$13:$I$32,-1)),
INDEX(Assumptions!$I$13:$I$32,MATCH(P99,Assumptions!$I$13:$I$32,-1)+1))),
"")</f>
        <v/>
      </c>
      <c r="AM99" s="95" t="str">
        <f>IFERROR(
IF(C99="VTS",
VLOOKUP(AL99,Assumptions!$I$38:$K$57,MATCH(R99,Assumptions!$I$37:$K$37,0),FALSE),
VLOOKUP(AL99,Assumptions!$I$13:$K$32,MATCH(R99,Assumptions!$I$12:$K$12,0),FALSE)),
"")</f>
        <v/>
      </c>
      <c r="AN99" s="95" t="str">
        <f t="shared" si="31"/>
        <v/>
      </c>
      <c r="AO99" s="95" t="str">
        <f>IFERROR(AN99*
(Assumptions!$S$7*(X99/(AR99*Assumptions!$AB$9/100)/P99)^3+
Assumptions!$S$8*(X99/(AR99*Assumptions!$AB$9/100)/P99)^2+
Assumptions!$S$9*(X99/(AR99*Assumptions!$AB$9/100)/P99)+
Assumptions!$S$10),"")</f>
        <v/>
      </c>
      <c r="AP99" s="95" t="str">
        <f>IFERROR(AN99*
(Assumptions!$S$7*(AA99/(AR99*Assumptions!$AB$8/100)/P99)^3+
Assumptions!$S$8*(AA99/(AR99*Assumptions!$AB$8/100)/P99)^2+
Assumptions!$S$9*(AA99/(AR99*Assumptions!$AB$8/100)/P99)+
Assumptions!$S$10),"")</f>
        <v/>
      </c>
      <c r="AQ99" s="95" t="str">
        <f>IFERROR(AN99*
(Assumptions!$S$7*(AD99/(AR99*Assumptions!$AB$10/100)/P99)^3+
Assumptions!$S$8*(AD99/(AR99*Assumptions!$AB$10/100)/P99)^2+
Assumptions!$S$9*(AD99/(AR99*Assumptions!$AB$10/100)/P99)+
Assumptions!$S$10),"")</f>
        <v/>
      </c>
      <c r="AR99" s="95" t="str">
        <f>IFERROR(
Assumptions!$AD$8*LN(U99)^2+
Assumptions!$AE$8*LN(T99)*LN(U99)+
Assumptions!$AF$8*LN(T99)^2+
Assumptions!$AG$8*LN(U99)+
Assumptions!$AH$8*LN(T99)-
(IF(S99=1800,
VLOOKUP(C99,Assumptions!$AA$13:$AC$17,3),
IF(S99=3600,
VLOOKUP(C99,Assumptions!$AA$18:$AC$22,3),
""))+Assumptions!$AI$8),
"")</f>
        <v/>
      </c>
      <c r="AS99" s="96" t="str">
        <f>IFERROR(
Assumptions!$D$11*(X99/(Assumptions!$AB$9*AR99/100)+AO99)+
Assumptions!$D$10*(AA99/(Assumptions!$AB$8*AR99/100)+AP99)+
Assumptions!$D$12*(AD99/(Assumptions!$AB$10*AR99/100)+AQ99),
"")</f>
        <v/>
      </c>
      <c r="AT99" s="76" t="str">
        <f>IFERROR(
(W99+AE99)*Assumptions!$F$11+
(AF99+AG99)*Assumptions!$F$8+
(AH99+AI99)*Assumptions!$F$9+
(AJ99+AK99)*Assumptions!$F$10,
"")</f>
        <v/>
      </c>
      <c r="AU99" s="77" t="str">
        <f t="shared" si="32"/>
        <v/>
      </c>
      <c r="AV99" s="68" t="str">
        <f t="shared" si="18"/>
        <v/>
      </c>
    </row>
    <row r="100" spans="1:48" x14ac:dyDescent="0.25">
      <c r="A100" s="264"/>
      <c r="B100" s="265"/>
      <c r="C100" s="265"/>
      <c r="D100" s="265"/>
      <c r="E100" s="266"/>
      <c r="F100" s="270"/>
      <c r="G100" s="271"/>
      <c r="H100" s="271"/>
      <c r="I100" s="272"/>
      <c r="J100" s="270"/>
      <c r="K100" s="271"/>
      <c r="L100" s="272"/>
      <c r="M100" s="270"/>
      <c r="N100" s="271"/>
      <c r="O100" s="272"/>
      <c r="P100" s="290"/>
      <c r="Q100" s="314"/>
      <c r="R100" s="51" t="str">
        <f t="shared" si="17"/>
        <v/>
      </c>
      <c r="S100" s="84" t="str">
        <f t="shared" si="19"/>
        <v/>
      </c>
      <c r="T100" s="93" t="str">
        <f t="shared" si="20"/>
        <v/>
      </c>
      <c r="U100" s="100" t="str">
        <f t="shared" si="21"/>
        <v/>
      </c>
      <c r="V100" s="95" t="str">
        <f t="shared" si="22"/>
        <v/>
      </c>
      <c r="W100" s="95" t="str">
        <f t="shared" si="23"/>
        <v/>
      </c>
      <c r="X100" s="96" t="str">
        <f>IFERROR(U100*V100*Assumptions!$B$15/3956,"")</f>
        <v/>
      </c>
      <c r="Y100" s="102" t="str">
        <f t="shared" si="24"/>
        <v/>
      </c>
      <c r="Z100" s="95" t="str">
        <f t="shared" si="25"/>
        <v/>
      </c>
      <c r="AA100" s="96" t="str">
        <f>IFERROR(Y100*Z100*Assumptions!$B$15/3956,"")</f>
        <v/>
      </c>
      <c r="AB100" s="100" t="str">
        <f t="shared" si="26"/>
        <v/>
      </c>
      <c r="AC100" s="95" t="str">
        <f t="shared" si="27"/>
        <v/>
      </c>
      <c r="AD100" s="96" t="str">
        <f>IFERROR(AB100*AC100*Assumptions!$B$15/3956,"")</f>
        <v/>
      </c>
      <c r="AE100" s="94" t="str">
        <f>IFERROR(
IF(P100&lt;=5,
(Assumptions!$W$8*(W100/P100)^2+(Assumptions!$X$8*(W100/P100))+Assumptions!$Y$8),
IF(P100&lt;=20,
(Assumptions!$W$9*(W100/P100)^2+(Assumptions!$X$9*(W100/P100))+Assumptions!$Y$9),
IF(P100&lt;=50,
(Assumptions!$W$10*(W100/P100)^2+(Assumptions!$X$10*(W100/P100))+Assumptions!$Y$10),
(Assumptions!$W$11*(W100/P100)^2+(Assumptions!$X$11+(W100/P100))+Assumptions!$Y$11)))),
"")</f>
        <v/>
      </c>
      <c r="AF100" s="99" t="str">
        <f t="shared" si="28"/>
        <v/>
      </c>
      <c r="AG100" s="95" t="str">
        <f>IFERROR(
IF(P100&lt;=5,
(Assumptions!$W$8*(AF100/P100)^2+(Assumptions!$X$8*(AF100/P100))+Assumptions!$Y$8),
IF(P100&lt;=20,
(Assumptions!$W$9*(AF100/P100)^2+(Assumptions!$X$9*(AF100/P100))+Assumptions!$Y$9),
IF(P100&lt;=50,
(Assumptions!$W$10*(AF100/P100)^2+(Assumptions!$X$10*(AF100/P100))+Assumptions!$Y$10),
(Assumptions!$W$11*(AF100/P100)^2+(Assumptions!$X$11+(AF100/P100))+Assumptions!$Y$11)))),
"")</f>
        <v/>
      </c>
      <c r="AH100" s="95" t="str">
        <f t="shared" si="29"/>
        <v/>
      </c>
      <c r="AI100" s="95" t="str">
        <f>IFERROR(
IF(P100&lt;=5,
(Assumptions!$W$8*(AH100/P100)^2+(Assumptions!$X$8*(AH100/P100))+Assumptions!$Y$8),
IF(P100&lt;=20,
(Assumptions!$W$9*(AH100/P100)^2+(Assumptions!$X$9*(AH100/P100))+Assumptions!$Y$9),
IF(P100&lt;=50,
(Assumptions!$W$10*(AH100/P100)^2+(Assumptions!$X$10*(AH100/P100))+Assumptions!$Y$10),
(Assumptions!$W$11*(AH100/P100)^2+(Assumptions!$X$11+(AH100/P100))+Assumptions!$Y$11)))),"")</f>
        <v/>
      </c>
      <c r="AJ100" s="95" t="str">
        <f t="shared" si="30"/>
        <v/>
      </c>
      <c r="AK100" s="96" t="str">
        <f>IFERROR(
IF(P100&lt;=5,
(Assumptions!$W$8*(AJ100/P100)^2+(Assumptions!$X$8*(AJ100/P100))+Assumptions!$Y$8),
IF(P100&lt;=20,
(Assumptions!$W$9*(AJ100/P100)^2+(Assumptions!$X$9*(AJ100/P100))+Assumptions!$Y$9),
IF(P100&lt;=50,
(Assumptions!$W$10*(AJ100/P100)^2+(Assumptions!$X$10*(AJ100/P100))+Assumptions!$Y$10),
(Assumptions!$W$11*(AJ100/P100)^2+(Assumptions!$X$11+(AJ100/P100))+Assumptions!$Y$11)))),
"")</f>
        <v/>
      </c>
      <c r="AL100" s="99" t="str">
        <f>IFERROR(
IF(C100="VTS",
IF(P100&gt;=AVERAGE(
INDEX(Assumptions!$I$38:$I$57,MATCH(P100,Assumptions!$I$38:$I$57,-1)),
INDEX(Assumptions!$I$38:$I$57,MATCH(P100,Assumptions!$I$38:$I$57,-1)+1)),
INDEX(Assumptions!$I$38:$I$57,MATCH(P100,Assumptions!$I$38:$I$57,-1)),
INDEX(Assumptions!$I$38:$I$57,MATCH(P100,Assumptions!$I$38:$I$57,-1)+1)),
IF(P100&gt;=AVERAGE(
INDEX(Assumptions!$I$13:$I$32,MATCH(P100,Assumptions!$I$13:$I$32,-1)),
INDEX(Assumptions!$I$13:$I$32,MATCH(P100,Assumptions!$I$13:$I$32,-1)+1)),
INDEX(Assumptions!$I$13:$I$32,MATCH(P100,Assumptions!$I$13:$I$32,-1)),
INDEX(Assumptions!$I$13:$I$32,MATCH(P100,Assumptions!$I$13:$I$32,-1)+1))),
"")</f>
        <v/>
      </c>
      <c r="AM100" s="95" t="str">
        <f>IFERROR(
IF(C100="VTS",
VLOOKUP(AL100,Assumptions!$I$38:$K$57,MATCH(R100,Assumptions!$I$37:$K$37,0),FALSE),
VLOOKUP(AL100,Assumptions!$I$13:$K$32,MATCH(R100,Assumptions!$I$12:$K$12,0),FALSE)),
"")</f>
        <v/>
      </c>
      <c r="AN100" s="95" t="str">
        <f t="shared" si="31"/>
        <v/>
      </c>
      <c r="AO100" s="95" t="str">
        <f>IFERROR(AN100*
(Assumptions!$S$7*(X100/(AR100*Assumptions!$AB$9/100)/P100)^3+
Assumptions!$S$8*(X100/(AR100*Assumptions!$AB$9/100)/P100)^2+
Assumptions!$S$9*(X100/(AR100*Assumptions!$AB$9/100)/P100)+
Assumptions!$S$10),"")</f>
        <v/>
      </c>
      <c r="AP100" s="95" t="str">
        <f>IFERROR(AN100*
(Assumptions!$S$7*(AA100/(AR100*Assumptions!$AB$8/100)/P100)^3+
Assumptions!$S$8*(AA100/(AR100*Assumptions!$AB$8/100)/P100)^2+
Assumptions!$S$9*(AA100/(AR100*Assumptions!$AB$8/100)/P100)+
Assumptions!$S$10),"")</f>
        <v/>
      </c>
      <c r="AQ100" s="95" t="str">
        <f>IFERROR(AN100*
(Assumptions!$S$7*(AD100/(AR100*Assumptions!$AB$10/100)/P100)^3+
Assumptions!$S$8*(AD100/(AR100*Assumptions!$AB$10/100)/P100)^2+
Assumptions!$S$9*(AD100/(AR100*Assumptions!$AB$10/100)/P100)+
Assumptions!$S$10),"")</f>
        <v/>
      </c>
      <c r="AR100" s="95" t="str">
        <f>IFERROR(
Assumptions!$AD$8*LN(U100)^2+
Assumptions!$AE$8*LN(T100)*LN(U100)+
Assumptions!$AF$8*LN(T100)^2+
Assumptions!$AG$8*LN(U100)+
Assumptions!$AH$8*LN(T100)-
(IF(S100=1800,
VLOOKUP(C100,Assumptions!$AA$13:$AC$17,3),
IF(S100=3600,
VLOOKUP(C100,Assumptions!$AA$18:$AC$22,3),
""))+Assumptions!$AI$8),
"")</f>
        <v/>
      </c>
      <c r="AS100" s="96" t="str">
        <f>IFERROR(
Assumptions!$D$11*(X100/(Assumptions!$AB$9*AR100/100)+AO100)+
Assumptions!$D$10*(AA100/(Assumptions!$AB$8*AR100/100)+AP100)+
Assumptions!$D$12*(AD100/(Assumptions!$AB$10*AR100/100)+AQ100),
"")</f>
        <v/>
      </c>
      <c r="AT100" s="76" t="str">
        <f>IFERROR(
(W100+AE100)*Assumptions!$F$11+
(AF100+AG100)*Assumptions!$F$8+
(AH100+AI100)*Assumptions!$F$9+
(AJ100+AK100)*Assumptions!$F$10,
"")</f>
        <v/>
      </c>
      <c r="AU100" s="77" t="str">
        <f t="shared" si="32"/>
        <v/>
      </c>
      <c r="AV100" s="68" t="str">
        <f t="shared" si="18"/>
        <v/>
      </c>
    </row>
    <row r="101" spans="1:48" x14ac:dyDescent="0.25">
      <c r="A101" s="264"/>
      <c r="B101" s="265"/>
      <c r="C101" s="265"/>
      <c r="D101" s="265"/>
      <c r="E101" s="266"/>
      <c r="F101" s="270"/>
      <c r="G101" s="271"/>
      <c r="H101" s="271"/>
      <c r="I101" s="272"/>
      <c r="J101" s="270"/>
      <c r="K101" s="271"/>
      <c r="L101" s="272"/>
      <c r="M101" s="270"/>
      <c r="N101" s="271"/>
      <c r="O101" s="272"/>
      <c r="P101" s="290"/>
      <c r="Q101" s="314"/>
      <c r="R101" s="51" t="str">
        <f t="shared" si="17"/>
        <v/>
      </c>
      <c r="S101" s="84" t="str">
        <f t="shared" si="19"/>
        <v/>
      </c>
      <c r="T101" s="93" t="str">
        <f t="shared" si="20"/>
        <v/>
      </c>
      <c r="U101" s="100" t="str">
        <f t="shared" si="21"/>
        <v/>
      </c>
      <c r="V101" s="95" t="str">
        <f t="shared" si="22"/>
        <v/>
      </c>
      <c r="W101" s="95" t="str">
        <f t="shared" si="23"/>
        <v/>
      </c>
      <c r="X101" s="96" t="str">
        <f>IFERROR(U101*V101*Assumptions!$B$15/3956,"")</f>
        <v/>
      </c>
      <c r="Y101" s="102" t="str">
        <f t="shared" si="24"/>
        <v/>
      </c>
      <c r="Z101" s="95" t="str">
        <f t="shared" si="25"/>
        <v/>
      </c>
      <c r="AA101" s="96" t="str">
        <f>IFERROR(Y101*Z101*Assumptions!$B$15/3956,"")</f>
        <v/>
      </c>
      <c r="AB101" s="100" t="str">
        <f t="shared" si="26"/>
        <v/>
      </c>
      <c r="AC101" s="95" t="str">
        <f t="shared" si="27"/>
        <v/>
      </c>
      <c r="AD101" s="96" t="str">
        <f>IFERROR(AB101*AC101*Assumptions!$B$15/3956,"")</f>
        <v/>
      </c>
      <c r="AE101" s="94" t="str">
        <f>IFERROR(
IF(P101&lt;=5,
(Assumptions!$W$8*(W101/P101)^2+(Assumptions!$X$8*(W101/P101))+Assumptions!$Y$8),
IF(P101&lt;=20,
(Assumptions!$W$9*(W101/P101)^2+(Assumptions!$X$9*(W101/P101))+Assumptions!$Y$9),
IF(P101&lt;=50,
(Assumptions!$W$10*(W101/P101)^2+(Assumptions!$X$10*(W101/P101))+Assumptions!$Y$10),
(Assumptions!$W$11*(W101/P101)^2+(Assumptions!$X$11+(W101/P101))+Assumptions!$Y$11)))),
"")</f>
        <v/>
      </c>
      <c r="AF101" s="99" t="str">
        <f t="shared" si="28"/>
        <v/>
      </c>
      <c r="AG101" s="95" t="str">
        <f>IFERROR(
IF(P101&lt;=5,
(Assumptions!$W$8*(AF101/P101)^2+(Assumptions!$X$8*(AF101/P101))+Assumptions!$Y$8),
IF(P101&lt;=20,
(Assumptions!$W$9*(AF101/P101)^2+(Assumptions!$X$9*(AF101/P101))+Assumptions!$Y$9),
IF(P101&lt;=50,
(Assumptions!$W$10*(AF101/P101)^2+(Assumptions!$X$10*(AF101/P101))+Assumptions!$Y$10),
(Assumptions!$W$11*(AF101/P101)^2+(Assumptions!$X$11+(AF101/P101))+Assumptions!$Y$11)))),
"")</f>
        <v/>
      </c>
      <c r="AH101" s="95" t="str">
        <f t="shared" si="29"/>
        <v/>
      </c>
      <c r="AI101" s="95" t="str">
        <f>IFERROR(
IF(P101&lt;=5,
(Assumptions!$W$8*(AH101/P101)^2+(Assumptions!$X$8*(AH101/P101))+Assumptions!$Y$8),
IF(P101&lt;=20,
(Assumptions!$W$9*(AH101/P101)^2+(Assumptions!$X$9*(AH101/P101))+Assumptions!$Y$9),
IF(P101&lt;=50,
(Assumptions!$W$10*(AH101/P101)^2+(Assumptions!$X$10*(AH101/P101))+Assumptions!$Y$10),
(Assumptions!$W$11*(AH101/P101)^2+(Assumptions!$X$11+(AH101/P101))+Assumptions!$Y$11)))),"")</f>
        <v/>
      </c>
      <c r="AJ101" s="95" t="str">
        <f t="shared" si="30"/>
        <v/>
      </c>
      <c r="AK101" s="96" t="str">
        <f>IFERROR(
IF(P101&lt;=5,
(Assumptions!$W$8*(AJ101/P101)^2+(Assumptions!$X$8*(AJ101/P101))+Assumptions!$Y$8),
IF(P101&lt;=20,
(Assumptions!$W$9*(AJ101/P101)^2+(Assumptions!$X$9*(AJ101/P101))+Assumptions!$Y$9),
IF(P101&lt;=50,
(Assumptions!$W$10*(AJ101/P101)^2+(Assumptions!$X$10*(AJ101/P101))+Assumptions!$Y$10),
(Assumptions!$W$11*(AJ101/P101)^2+(Assumptions!$X$11+(AJ101/P101))+Assumptions!$Y$11)))),
"")</f>
        <v/>
      </c>
      <c r="AL101" s="99" t="str">
        <f>IFERROR(
IF(C101="VTS",
IF(P101&gt;=AVERAGE(
INDEX(Assumptions!$I$38:$I$57,MATCH(P101,Assumptions!$I$38:$I$57,-1)),
INDEX(Assumptions!$I$38:$I$57,MATCH(P101,Assumptions!$I$38:$I$57,-1)+1)),
INDEX(Assumptions!$I$38:$I$57,MATCH(P101,Assumptions!$I$38:$I$57,-1)),
INDEX(Assumptions!$I$38:$I$57,MATCH(P101,Assumptions!$I$38:$I$57,-1)+1)),
IF(P101&gt;=AVERAGE(
INDEX(Assumptions!$I$13:$I$32,MATCH(P101,Assumptions!$I$13:$I$32,-1)),
INDEX(Assumptions!$I$13:$I$32,MATCH(P101,Assumptions!$I$13:$I$32,-1)+1)),
INDEX(Assumptions!$I$13:$I$32,MATCH(P101,Assumptions!$I$13:$I$32,-1)),
INDEX(Assumptions!$I$13:$I$32,MATCH(P101,Assumptions!$I$13:$I$32,-1)+1))),
"")</f>
        <v/>
      </c>
      <c r="AM101" s="95" t="str">
        <f>IFERROR(
IF(C101="VTS",
VLOOKUP(AL101,Assumptions!$I$38:$K$57,MATCH(R101,Assumptions!$I$37:$K$37,0),FALSE),
VLOOKUP(AL101,Assumptions!$I$13:$K$32,MATCH(R101,Assumptions!$I$12:$K$12,0),FALSE)),
"")</f>
        <v/>
      </c>
      <c r="AN101" s="95" t="str">
        <f t="shared" si="31"/>
        <v/>
      </c>
      <c r="AO101" s="95" t="str">
        <f>IFERROR(AN101*
(Assumptions!$S$7*(X101/(AR101*Assumptions!$AB$9/100)/P101)^3+
Assumptions!$S$8*(X101/(AR101*Assumptions!$AB$9/100)/P101)^2+
Assumptions!$S$9*(X101/(AR101*Assumptions!$AB$9/100)/P101)+
Assumptions!$S$10),"")</f>
        <v/>
      </c>
      <c r="AP101" s="95" t="str">
        <f>IFERROR(AN101*
(Assumptions!$S$7*(AA101/(AR101*Assumptions!$AB$8/100)/P101)^3+
Assumptions!$S$8*(AA101/(AR101*Assumptions!$AB$8/100)/P101)^2+
Assumptions!$S$9*(AA101/(AR101*Assumptions!$AB$8/100)/P101)+
Assumptions!$S$10),"")</f>
        <v/>
      </c>
      <c r="AQ101" s="95" t="str">
        <f>IFERROR(AN101*
(Assumptions!$S$7*(AD101/(AR101*Assumptions!$AB$10/100)/P101)^3+
Assumptions!$S$8*(AD101/(AR101*Assumptions!$AB$10/100)/P101)^2+
Assumptions!$S$9*(AD101/(AR101*Assumptions!$AB$10/100)/P101)+
Assumptions!$S$10),"")</f>
        <v/>
      </c>
      <c r="AR101" s="95" t="str">
        <f>IFERROR(
Assumptions!$AD$8*LN(U101)^2+
Assumptions!$AE$8*LN(T101)*LN(U101)+
Assumptions!$AF$8*LN(T101)^2+
Assumptions!$AG$8*LN(U101)+
Assumptions!$AH$8*LN(T101)-
(IF(S101=1800,
VLOOKUP(C101,Assumptions!$AA$13:$AC$17,3),
IF(S101=3600,
VLOOKUP(C101,Assumptions!$AA$18:$AC$22,3),
""))+Assumptions!$AI$8),
"")</f>
        <v/>
      </c>
      <c r="AS101" s="96" t="str">
        <f>IFERROR(
Assumptions!$D$11*(X101/(Assumptions!$AB$9*AR101/100)+AO101)+
Assumptions!$D$10*(AA101/(Assumptions!$AB$8*AR101/100)+AP101)+
Assumptions!$D$12*(AD101/(Assumptions!$AB$10*AR101/100)+AQ101),
"")</f>
        <v/>
      </c>
      <c r="AT101" s="76" t="str">
        <f>IFERROR(
(W101+AE101)*Assumptions!$F$11+
(AF101+AG101)*Assumptions!$F$8+
(AH101+AI101)*Assumptions!$F$9+
(AJ101+AK101)*Assumptions!$F$10,
"")</f>
        <v/>
      </c>
      <c r="AU101" s="77" t="str">
        <f t="shared" si="32"/>
        <v/>
      </c>
      <c r="AV101" s="68" t="str">
        <f t="shared" si="18"/>
        <v/>
      </c>
    </row>
    <row r="102" spans="1:48" x14ac:dyDescent="0.25">
      <c r="A102" s="264"/>
      <c r="B102" s="265"/>
      <c r="C102" s="265"/>
      <c r="D102" s="265"/>
      <c r="E102" s="266"/>
      <c r="F102" s="270"/>
      <c r="G102" s="271"/>
      <c r="H102" s="271"/>
      <c r="I102" s="272"/>
      <c r="J102" s="270"/>
      <c r="K102" s="271"/>
      <c r="L102" s="272"/>
      <c r="M102" s="270"/>
      <c r="N102" s="271"/>
      <c r="O102" s="272"/>
      <c r="P102" s="290"/>
      <c r="Q102" s="314"/>
      <c r="R102" s="51" t="str">
        <f t="shared" si="17"/>
        <v/>
      </c>
      <c r="S102" s="84" t="str">
        <f t="shared" si="19"/>
        <v/>
      </c>
      <c r="T102" s="93" t="str">
        <f t="shared" si="20"/>
        <v/>
      </c>
      <c r="U102" s="100" t="str">
        <f t="shared" si="21"/>
        <v/>
      </c>
      <c r="V102" s="95" t="str">
        <f t="shared" si="22"/>
        <v/>
      </c>
      <c r="W102" s="95" t="str">
        <f t="shared" si="23"/>
        <v/>
      </c>
      <c r="X102" s="96" t="str">
        <f>IFERROR(U102*V102*Assumptions!$B$15/3956,"")</f>
        <v/>
      </c>
      <c r="Y102" s="102" t="str">
        <f t="shared" si="24"/>
        <v/>
      </c>
      <c r="Z102" s="95" t="str">
        <f t="shared" si="25"/>
        <v/>
      </c>
      <c r="AA102" s="96" t="str">
        <f>IFERROR(Y102*Z102*Assumptions!$B$15/3956,"")</f>
        <v/>
      </c>
      <c r="AB102" s="100" t="str">
        <f t="shared" si="26"/>
        <v/>
      </c>
      <c r="AC102" s="95" t="str">
        <f t="shared" si="27"/>
        <v/>
      </c>
      <c r="AD102" s="96" t="str">
        <f>IFERROR(AB102*AC102*Assumptions!$B$15/3956,"")</f>
        <v/>
      </c>
      <c r="AE102" s="94" t="str">
        <f>IFERROR(
IF(P102&lt;=5,
(Assumptions!$W$8*(W102/P102)^2+(Assumptions!$X$8*(W102/P102))+Assumptions!$Y$8),
IF(P102&lt;=20,
(Assumptions!$W$9*(W102/P102)^2+(Assumptions!$X$9*(W102/P102))+Assumptions!$Y$9),
IF(P102&lt;=50,
(Assumptions!$W$10*(W102/P102)^2+(Assumptions!$X$10*(W102/P102))+Assumptions!$Y$10),
(Assumptions!$W$11*(W102/P102)^2+(Assumptions!$X$11+(W102/P102))+Assumptions!$Y$11)))),
"")</f>
        <v/>
      </c>
      <c r="AF102" s="99" t="str">
        <f t="shared" si="28"/>
        <v/>
      </c>
      <c r="AG102" s="95" t="str">
        <f>IFERROR(
IF(P102&lt;=5,
(Assumptions!$W$8*(AF102/P102)^2+(Assumptions!$X$8*(AF102/P102))+Assumptions!$Y$8),
IF(P102&lt;=20,
(Assumptions!$W$9*(AF102/P102)^2+(Assumptions!$X$9*(AF102/P102))+Assumptions!$Y$9),
IF(P102&lt;=50,
(Assumptions!$W$10*(AF102/P102)^2+(Assumptions!$X$10*(AF102/P102))+Assumptions!$Y$10),
(Assumptions!$W$11*(AF102/P102)^2+(Assumptions!$X$11+(AF102/P102))+Assumptions!$Y$11)))),
"")</f>
        <v/>
      </c>
      <c r="AH102" s="95" t="str">
        <f t="shared" si="29"/>
        <v/>
      </c>
      <c r="AI102" s="95" t="str">
        <f>IFERROR(
IF(P102&lt;=5,
(Assumptions!$W$8*(AH102/P102)^2+(Assumptions!$X$8*(AH102/P102))+Assumptions!$Y$8),
IF(P102&lt;=20,
(Assumptions!$W$9*(AH102/P102)^2+(Assumptions!$X$9*(AH102/P102))+Assumptions!$Y$9),
IF(P102&lt;=50,
(Assumptions!$W$10*(AH102/P102)^2+(Assumptions!$X$10*(AH102/P102))+Assumptions!$Y$10),
(Assumptions!$W$11*(AH102/P102)^2+(Assumptions!$X$11+(AH102/P102))+Assumptions!$Y$11)))),"")</f>
        <v/>
      </c>
      <c r="AJ102" s="95" t="str">
        <f t="shared" si="30"/>
        <v/>
      </c>
      <c r="AK102" s="96" t="str">
        <f>IFERROR(
IF(P102&lt;=5,
(Assumptions!$W$8*(AJ102/P102)^2+(Assumptions!$X$8*(AJ102/P102))+Assumptions!$Y$8),
IF(P102&lt;=20,
(Assumptions!$W$9*(AJ102/P102)^2+(Assumptions!$X$9*(AJ102/P102))+Assumptions!$Y$9),
IF(P102&lt;=50,
(Assumptions!$W$10*(AJ102/P102)^2+(Assumptions!$X$10*(AJ102/P102))+Assumptions!$Y$10),
(Assumptions!$W$11*(AJ102/P102)^2+(Assumptions!$X$11+(AJ102/P102))+Assumptions!$Y$11)))),
"")</f>
        <v/>
      </c>
      <c r="AL102" s="99" t="str">
        <f>IFERROR(
IF(C102="VTS",
IF(P102&gt;=AVERAGE(
INDEX(Assumptions!$I$38:$I$57,MATCH(P102,Assumptions!$I$38:$I$57,-1)),
INDEX(Assumptions!$I$38:$I$57,MATCH(P102,Assumptions!$I$38:$I$57,-1)+1)),
INDEX(Assumptions!$I$38:$I$57,MATCH(P102,Assumptions!$I$38:$I$57,-1)),
INDEX(Assumptions!$I$38:$I$57,MATCH(P102,Assumptions!$I$38:$I$57,-1)+1)),
IF(P102&gt;=AVERAGE(
INDEX(Assumptions!$I$13:$I$32,MATCH(P102,Assumptions!$I$13:$I$32,-1)),
INDEX(Assumptions!$I$13:$I$32,MATCH(P102,Assumptions!$I$13:$I$32,-1)+1)),
INDEX(Assumptions!$I$13:$I$32,MATCH(P102,Assumptions!$I$13:$I$32,-1)),
INDEX(Assumptions!$I$13:$I$32,MATCH(P102,Assumptions!$I$13:$I$32,-1)+1))),
"")</f>
        <v/>
      </c>
      <c r="AM102" s="95" t="str">
        <f>IFERROR(
IF(C102="VTS",
VLOOKUP(AL102,Assumptions!$I$38:$K$57,MATCH(R102,Assumptions!$I$37:$K$37,0),FALSE),
VLOOKUP(AL102,Assumptions!$I$13:$K$32,MATCH(R102,Assumptions!$I$12:$K$12,0),FALSE)),
"")</f>
        <v/>
      </c>
      <c r="AN102" s="95" t="str">
        <f t="shared" si="31"/>
        <v/>
      </c>
      <c r="AO102" s="95" t="str">
        <f>IFERROR(AN102*
(Assumptions!$S$7*(X102/(AR102*Assumptions!$AB$9/100)/P102)^3+
Assumptions!$S$8*(X102/(AR102*Assumptions!$AB$9/100)/P102)^2+
Assumptions!$S$9*(X102/(AR102*Assumptions!$AB$9/100)/P102)+
Assumptions!$S$10),"")</f>
        <v/>
      </c>
      <c r="AP102" s="95" t="str">
        <f>IFERROR(AN102*
(Assumptions!$S$7*(AA102/(AR102*Assumptions!$AB$8/100)/P102)^3+
Assumptions!$S$8*(AA102/(AR102*Assumptions!$AB$8/100)/P102)^2+
Assumptions!$S$9*(AA102/(AR102*Assumptions!$AB$8/100)/P102)+
Assumptions!$S$10),"")</f>
        <v/>
      </c>
      <c r="AQ102" s="95" t="str">
        <f>IFERROR(AN102*
(Assumptions!$S$7*(AD102/(AR102*Assumptions!$AB$10/100)/P102)^3+
Assumptions!$S$8*(AD102/(AR102*Assumptions!$AB$10/100)/P102)^2+
Assumptions!$S$9*(AD102/(AR102*Assumptions!$AB$10/100)/P102)+
Assumptions!$S$10),"")</f>
        <v/>
      </c>
      <c r="AR102" s="95" t="str">
        <f>IFERROR(
Assumptions!$AD$8*LN(U102)^2+
Assumptions!$AE$8*LN(T102)*LN(U102)+
Assumptions!$AF$8*LN(T102)^2+
Assumptions!$AG$8*LN(U102)+
Assumptions!$AH$8*LN(T102)-
(IF(S102=1800,
VLOOKUP(C102,Assumptions!$AA$13:$AC$17,3),
IF(S102=3600,
VLOOKUP(C102,Assumptions!$AA$18:$AC$22,3),
""))+Assumptions!$AI$8),
"")</f>
        <v/>
      </c>
      <c r="AS102" s="96" t="str">
        <f>IFERROR(
Assumptions!$D$11*(X102/(Assumptions!$AB$9*AR102/100)+AO102)+
Assumptions!$D$10*(AA102/(Assumptions!$AB$8*AR102/100)+AP102)+
Assumptions!$D$12*(AD102/(Assumptions!$AB$10*AR102/100)+AQ102),
"")</f>
        <v/>
      </c>
      <c r="AT102" s="76" t="str">
        <f>IFERROR(
(W102+AE102)*Assumptions!$F$11+
(AF102+AG102)*Assumptions!$F$8+
(AH102+AI102)*Assumptions!$F$9+
(AJ102+AK102)*Assumptions!$F$10,
"")</f>
        <v/>
      </c>
      <c r="AU102" s="77" t="str">
        <f t="shared" si="32"/>
        <v/>
      </c>
      <c r="AV102" s="68" t="str">
        <f t="shared" si="18"/>
        <v/>
      </c>
    </row>
    <row r="103" spans="1:48" x14ac:dyDescent="0.25">
      <c r="A103" s="264"/>
      <c r="B103" s="265"/>
      <c r="C103" s="265"/>
      <c r="D103" s="265"/>
      <c r="E103" s="266"/>
      <c r="F103" s="270"/>
      <c r="G103" s="271"/>
      <c r="H103" s="271"/>
      <c r="I103" s="272"/>
      <c r="J103" s="270"/>
      <c r="K103" s="271"/>
      <c r="L103" s="272"/>
      <c r="M103" s="270"/>
      <c r="N103" s="271"/>
      <c r="O103" s="272"/>
      <c r="P103" s="290"/>
      <c r="Q103" s="314"/>
      <c r="R103" s="51" t="str">
        <f t="shared" si="17"/>
        <v/>
      </c>
      <c r="S103" s="84" t="str">
        <f t="shared" si="19"/>
        <v/>
      </c>
      <c r="T103" s="93" t="str">
        <f t="shared" si="20"/>
        <v/>
      </c>
      <c r="U103" s="100" t="str">
        <f t="shared" si="21"/>
        <v/>
      </c>
      <c r="V103" s="95" t="str">
        <f t="shared" si="22"/>
        <v/>
      </c>
      <c r="W103" s="95" t="str">
        <f t="shared" si="23"/>
        <v/>
      </c>
      <c r="X103" s="96" t="str">
        <f>IFERROR(U103*V103*Assumptions!$B$15/3956,"")</f>
        <v/>
      </c>
      <c r="Y103" s="102" t="str">
        <f t="shared" si="24"/>
        <v/>
      </c>
      <c r="Z103" s="95" t="str">
        <f t="shared" si="25"/>
        <v/>
      </c>
      <c r="AA103" s="96" t="str">
        <f>IFERROR(Y103*Z103*Assumptions!$B$15/3956,"")</f>
        <v/>
      </c>
      <c r="AB103" s="100" t="str">
        <f t="shared" si="26"/>
        <v/>
      </c>
      <c r="AC103" s="95" t="str">
        <f t="shared" si="27"/>
        <v/>
      </c>
      <c r="AD103" s="96" t="str">
        <f>IFERROR(AB103*AC103*Assumptions!$B$15/3956,"")</f>
        <v/>
      </c>
      <c r="AE103" s="94" t="str">
        <f>IFERROR(
IF(P103&lt;=5,
(Assumptions!$W$8*(W103/P103)^2+(Assumptions!$X$8*(W103/P103))+Assumptions!$Y$8),
IF(P103&lt;=20,
(Assumptions!$W$9*(W103/P103)^2+(Assumptions!$X$9*(W103/P103))+Assumptions!$Y$9),
IF(P103&lt;=50,
(Assumptions!$W$10*(W103/P103)^2+(Assumptions!$X$10*(W103/P103))+Assumptions!$Y$10),
(Assumptions!$W$11*(W103/P103)^2+(Assumptions!$X$11+(W103/P103))+Assumptions!$Y$11)))),
"")</f>
        <v/>
      </c>
      <c r="AF103" s="99" t="str">
        <f t="shared" si="28"/>
        <v/>
      </c>
      <c r="AG103" s="95" t="str">
        <f>IFERROR(
IF(P103&lt;=5,
(Assumptions!$W$8*(AF103/P103)^2+(Assumptions!$X$8*(AF103/P103))+Assumptions!$Y$8),
IF(P103&lt;=20,
(Assumptions!$W$9*(AF103/P103)^2+(Assumptions!$X$9*(AF103/P103))+Assumptions!$Y$9),
IF(P103&lt;=50,
(Assumptions!$W$10*(AF103/P103)^2+(Assumptions!$X$10*(AF103/P103))+Assumptions!$Y$10),
(Assumptions!$W$11*(AF103/P103)^2+(Assumptions!$X$11+(AF103/P103))+Assumptions!$Y$11)))),
"")</f>
        <v/>
      </c>
      <c r="AH103" s="95" t="str">
        <f t="shared" si="29"/>
        <v/>
      </c>
      <c r="AI103" s="95" t="str">
        <f>IFERROR(
IF(P103&lt;=5,
(Assumptions!$W$8*(AH103/P103)^2+(Assumptions!$X$8*(AH103/P103))+Assumptions!$Y$8),
IF(P103&lt;=20,
(Assumptions!$W$9*(AH103/P103)^2+(Assumptions!$X$9*(AH103/P103))+Assumptions!$Y$9),
IF(P103&lt;=50,
(Assumptions!$W$10*(AH103/P103)^2+(Assumptions!$X$10*(AH103/P103))+Assumptions!$Y$10),
(Assumptions!$W$11*(AH103/P103)^2+(Assumptions!$X$11+(AH103/P103))+Assumptions!$Y$11)))),"")</f>
        <v/>
      </c>
      <c r="AJ103" s="95" t="str">
        <f t="shared" si="30"/>
        <v/>
      </c>
      <c r="AK103" s="96" t="str">
        <f>IFERROR(
IF(P103&lt;=5,
(Assumptions!$W$8*(AJ103/P103)^2+(Assumptions!$X$8*(AJ103/P103))+Assumptions!$Y$8),
IF(P103&lt;=20,
(Assumptions!$W$9*(AJ103/P103)^2+(Assumptions!$X$9*(AJ103/P103))+Assumptions!$Y$9),
IF(P103&lt;=50,
(Assumptions!$W$10*(AJ103/P103)^2+(Assumptions!$X$10*(AJ103/P103))+Assumptions!$Y$10),
(Assumptions!$W$11*(AJ103/P103)^2+(Assumptions!$X$11+(AJ103/P103))+Assumptions!$Y$11)))),
"")</f>
        <v/>
      </c>
      <c r="AL103" s="99" t="str">
        <f>IFERROR(
IF(C103="VTS",
IF(P103&gt;=AVERAGE(
INDEX(Assumptions!$I$38:$I$57,MATCH(P103,Assumptions!$I$38:$I$57,-1)),
INDEX(Assumptions!$I$38:$I$57,MATCH(P103,Assumptions!$I$38:$I$57,-1)+1)),
INDEX(Assumptions!$I$38:$I$57,MATCH(P103,Assumptions!$I$38:$I$57,-1)),
INDEX(Assumptions!$I$38:$I$57,MATCH(P103,Assumptions!$I$38:$I$57,-1)+1)),
IF(P103&gt;=AVERAGE(
INDEX(Assumptions!$I$13:$I$32,MATCH(P103,Assumptions!$I$13:$I$32,-1)),
INDEX(Assumptions!$I$13:$I$32,MATCH(P103,Assumptions!$I$13:$I$32,-1)+1)),
INDEX(Assumptions!$I$13:$I$32,MATCH(P103,Assumptions!$I$13:$I$32,-1)),
INDEX(Assumptions!$I$13:$I$32,MATCH(P103,Assumptions!$I$13:$I$32,-1)+1))),
"")</f>
        <v/>
      </c>
      <c r="AM103" s="95" t="str">
        <f>IFERROR(
IF(C103="VTS",
VLOOKUP(AL103,Assumptions!$I$38:$K$57,MATCH(R103,Assumptions!$I$37:$K$37,0),FALSE),
VLOOKUP(AL103,Assumptions!$I$13:$K$32,MATCH(R103,Assumptions!$I$12:$K$12,0),FALSE)),
"")</f>
        <v/>
      </c>
      <c r="AN103" s="95" t="str">
        <f t="shared" si="31"/>
        <v/>
      </c>
      <c r="AO103" s="95" t="str">
        <f>IFERROR(AN103*
(Assumptions!$S$7*(X103/(AR103*Assumptions!$AB$9/100)/P103)^3+
Assumptions!$S$8*(X103/(AR103*Assumptions!$AB$9/100)/P103)^2+
Assumptions!$S$9*(X103/(AR103*Assumptions!$AB$9/100)/P103)+
Assumptions!$S$10),"")</f>
        <v/>
      </c>
      <c r="AP103" s="95" t="str">
        <f>IFERROR(AN103*
(Assumptions!$S$7*(AA103/(AR103*Assumptions!$AB$8/100)/P103)^3+
Assumptions!$S$8*(AA103/(AR103*Assumptions!$AB$8/100)/P103)^2+
Assumptions!$S$9*(AA103/(AR103*Assumptions!$AB$8/100)/P103)+
Assumptions!$S$10),"")</f>
        <v/>
      </c>
      <c r="AQ103" s="95" t="str">
        <f>IFERROR(AN103*
(Assumptions!$S$7*(AD103/(AR103*Assumptions!$AB$10/100)/P103)^3+
Assumptions!$S$8*(AD103/(AR103*Assumptions!$AB$10/100)/P103)^2+
Assumptions!$S$9*(AD103/(AR103*Assumptions!$AB$10/100)/P103)+
Assumptions!$S$10),"")</f>
        <v/>
      </c>
      <c r="AR103" s="95" t="str">
        <f>IFERROR(
Assumptions!$AD$8*LN(U103)^2+
Assumptions!$AE$8*LN(T103)*LN(U103)+
Assumptions!$AF$8*LN(T103)^2+
Assumptions!$AG$8*LN(U103)+
Assumptions!$AH$8*LN(T103)-
(IF(S103=1800,
VLOOKUP(C103,Assumptions!$AA$13:$AC$17,3),
IF(S103=3600,
VLOOKUP(C103,Assumptions!$AA$18:$AC$22,3),
""))+Assumptions!$AI$8),
"")</f>
        <v/>
      </c>
      <c r="AS103" s="96" t="str">
        <f>IFERROR(
Assumptions!$D$11*(X103/(Assumptions!$AB$9*AR103/100)+AO103)+
Assumptions!$D$10*(AA103/(Assumptions!$AB$8*AR103/100)+AP103)+
Assumptions!$D$12*(AD103/(Assumptions!$AB$10*AR103/100)+AQ103),
"")</f>
        <v/>
      </c>
      <c r="AT103" s="76" t="str">
        <f>IFERROR(
(W103+AE103)*Assumptions!$F$11+
(AF103+AG103)*Assumptions!$F$8+
(AH103+AI103)*Assumptions!$F$9+
(AJ103+AK103)*Assumptions!$F$10,
"")</f>
        <v/>
      </c>
      <c r="AU103" s="77" t="str">
        <f t="shared" si="32"/>
        <v/>
      </c>
      <c r="AV103" s="68" t="str">
        <f t="shared" si="18"/>
        <v/>
      </c>
    </row>
    <row r="104" spans="1:48" x14ac:dyDescent="0.25">
      <c r="A104" s="264"/>
      <c r="B104" s="265"/>
      <c r="C104" s="265"/>
      <c r="D104" s="265"/>
      <c r="E104" s="266"/>
      <c r="F104" s="270"/>
      <c r="G104" s="271"/>
      <c r="H104" s="271"/>
      <c r="I104" s="272"/>
      <c r="J104" s="270"/>
      <c r="K104" s="271"/>
      <c r="L104" s="272"/>
      <c r="M104" s="270"/>
      <c r="N104" s="271"/>
      <c r="O104" s="272"/>
      <c r="P104" s="290"/>
      <c r="Q104" s="314"/>
      <c r="R104" s="51" t="str">
        <f t="shared" si="17"/>
        <v/>
      </c>
      <c r="S104" s="84" t="str">
        <f t="shared" si="19"/>
        <v/>
      </c>
      <c r="T104" s="93" t="str">
        <f t="shared" si="20"/>
        <v/>
      </c>
      <c r="U104" s="100" t="str">
        <f t="shared" si="21"/>
        <v/>
      </c>
      <c r="V104" s="95" t="str">
        <f t="shared" si="22"/>
        <v/>
      </c>
      <c r="W104" s="95" t="str">
        <f t="shared" si="23"/>
        <v/>
      </c>
      <c r="X104" s="96" t="str">
        <f>IFERROR(U104*V104*Assumptions!$B$15/3956,"")</f>
        <v/>
      </c>
      <c r="Y104" s="102" t="str">
        <f t="shared" si="24"/>
        <v/>
      </c>
      <c r="Z104" s="95" t="str">
        <f t="shared" si="25"/>
        <v/>
      </c>
      <c r="AA104" s="96" t="str">
        <f>IFERROR(Y104*Z104*Assumptions!$B$15/3956,"")</f>
        <v/>
      </c>
      <c r="AB104" s="100" t="str">
        <f t="shared" si="26"/>
        <v/>
      </c>
      <c r="AC104" s="95" t="str">
        <f t="shared" si="27"/>
        <v/>
      </c>
      <c r="AD104" s="96" t="str">
        <f>IFERROR(AB104*AC104*Assumptions!$B$15/3956,"")</f>
        <v/>
      </c>
      <c r="AE104" s="94" t="str">
        <f>IFERROR(
IF(P104&lt;=5,
(Assumptions!$W$8*(W104/P104)^2+(Assumptions!$X$8*(W104/P104))+Assumptions!$Y$8),
IF(P104&lt;=20,
(Assumptions!$W$9*(W104/P104)^2+(Assumptions!$X$9*(W104/P104))+Assumptions!$Y$9),
IF(P104&lt;=50,
(Assumptions!$W$10*(W104/P104)^2+(Assumptions!$X$10*(W104/P104))+Assumptions!$Y$10),
(Assumptions!$W$11*(W104/P104)^2+(Assumptions!$X$11+(W104/P104))+Assumptions!$Y$11)))),
"")</f>
        <v/>
      </c>
      <c r="AF104" s="99" t="str">
        <f t="shared" si="28"/>
        <v/>
      </c>
      <c r="AG104" s="95" t="str">
        <f>IFERROR(
IF(P104&lt;=5,
(Assumptions!$W$8*(AF104/P104)^2+(Assumptions!$X$8*(AF104/P104))+Assumptions!$Y$8),
IF(P104&lt;=20,
(Assumptions!$W$9*(AF104/P104)^2+(Assumptions!$X$9*(AF104/P104))+Assumptions!$Y$9),
IF(P104&lt;=50,
(Assumptions!$W$10*(AF104/P104)^2+(Assumptions!$X$10*(AF104/P104))+Assumptions!$Y$10),
(Assumptions!$W$11*(AF104/P104)^2+(Assumptions!$X$11+(AF104/P104))+Assumptions!$Y$11)))),
"")</f>
        <v/>
      </c>
      <c r="AH104" s="95" t="str">
        <f t="shared" si="29"/>
        <v/>
      </c>
      <c r="AI104" s="95" t="str">
        <f>IFERROR(
IF(P104&lt;=5,
(Assumptions!$W$8*(AH104/P104)^2+(Assumptions!$X$8*(AH104/P104))+Assumptions!$Y$8),
IF(P104&lt;=20,
(Assumptions!$W$9*(AH104/P104)^2+(Assumptions!$X$9*(AH104/P104))+Assumptions!$Y$9),
IF(P104&lt;=50,
(Assumptions!$W$10*(AH104/P104)^2+(Assumptions!$X$10*(AH104/P104))+Assumptions!$Y$10),
(Assumptions!$W$11*(AH104/P104)^2+(Assumptions!$X$11+(AH104/P104))+Assumptions!$Y$11)))),"")</f>
        <v/>
      </c>
      <c r="AJ104" s="95" t="str">
        <f t="shared" si="30"/>
        <v/>
      </c>
      <c r="AK104" s="96" t="str">
        <f>IFERROR(
IF(P104&lt;=5,
(Assumptions!$W$8*(AJ104/P104)^2+(Assumptions!$X$8*(AJ104/P104))+Assumptions!$Y$8),
IF(P104&lt;=20,
(Assumptions!$W$9*(AJ104/P104)^2+(Assumptions!$X$9*(AJ104/P104))+Assumptions!$Y$9),
IF(P104&lt;=50,
(Assumptions!$W$10*(AJ104/P104)^2+(Assumptions!$X$10*(AJ104/P104))+Assumptions!$Y$10),
(Assumptions!$W$11*(AJ104/P104)^2+(Assumptions!$X$11+(AJ104/P104))+Assumptions!$Y$11)))),
"")</f>
        <v/>
      </c>
      <c r="AL104" s="99" t="str">
        <f>IFERROR(
IF(C104="VTS",
IF(P104&gt;=AVERAGE(
INDEX(Assumptions!$I$38:$I$57,MATCH(P104,Assumptions!$I$38:$I$57,-1)),
INDEX(Assumptions!$I$38:$I$57,MATCH(P104,Assumptions!$I$38:$I$57,-1)+1)),
INDEX(Assumptions!$I$38:$I$57,MATCH(P104,Assumptions!$I$38:$I$57,-1)),
INDEX(Assumptions!$I$38:$I$57,MATCH(P104,Assumptions!$I$38:$I$57,-1)+1)),
IF(P104&gt;=AVERAGE(
INDEX(Assumptions!$I$13:$I$32,MATCH(P104,Assumptions!$I$13:$I$32,-1)),
INDEX(Assumptions!$I$13:$I$32,MATCH(P104,Assumptions!$I$13:$I$32,-1)+1)),
INDEX(Assumptions!$I$13:$I$32,MATCH(P104,Assumptions!$I$13:$I$32,-1)),
INDEX(Assumptions!$I$13:$I$32,MATCH(P104,Assumptions!$I$13:$I$32,-1)+1))),
"")</f>
        <v/>
      </c>
      <c r="AM104" s="95" t="str">
        <f>IFERROR(
IF(C104="VTS",
VLOOKUP(AL104,Assumptions!$I$38:$K$57,MATCH(R104,Assumptions!$I$37:$K$37,0),FALSE),
VLOOKUP(AL104,Assumptions!$I$13:$K$32,MATCH(R104,Assumptions!$I$12:$K$12,0),FALSE)),
"")</f>
        <v/>
      </c>
      <c r="AN104" s="95" t="str">
        <f t="shared" si="31"/>
        <v/>
      </c>
      <c r="AO104" s="95" t="str">
        <f>IFERROR(AN104*
(Assumptions!$S$7*(X104/(AR104*Assumptions!$AB$9/100)/P104)^3+
Assumptions!$S$8*(X104/(AR104*Assumptions!$AB$9/100)/P104)^2+
Assumptions!$S$9*(X104/(AR104*Assumptions!$AB$9/100)/P104)+
Assumptions!$S$10),"")</f>
        <v/>
      </c>
      <c r="AP104" s="95" t="str">
        <f>IFERROR(AN104*
(Assumptions!$S$7*(AA104/(AR104*Assumptions!$AB$8/100)/P104)^3+
Assumptions!$S$8*(AA104/(AR104*Assumptions!$AB$8/100)/P104)^2+
Assumptions!$S$9*(AA104/(AR104*Assumptions!$AB$8/100)/P104)+
Assumptions!$S$10),"")</f>
        <v/>
      </c>
      <c r="AQ104" s="95" t="str">
        <f>IFERROR(AN104*
(Assumptions!$S$7*(AD104/(AR104*Assumptions!$AB$10/100)/P104)^3+
Assumptions!$S$8*(AD104/(AR104*Assumptions!$AB$10/100)/P104)^2+
Assumptions!$S$9*(AD104/(AR104*Assumptions!$AB$10/100)/P104)+
Assumptions!$S$10),"")</f>
        <v/>
      </c>
      <c r="AR104" s="95" t="str">
        <f>IFERROR(
Assumptions!$AD$8*LN(U104)^2+
Assumptions!$AE$8*LN(T104)*LN(U104)+
Assumptions!$AF$8*LN(T104)^2+
Assumptions!$AG$8*LN(U104)+
Assumptions!$AH$8*LN(T104)-
(IF(S104=1800,
VLOOKUP(C104,Assumptions!$AA$13:$AC$17,3),
IF(S104=3600,
VLOOKUP(C104,Assumptions!$AA$18:$AC$22,3),
""))+Assumptions!$AI$8),
"")</f>
        <v/>
      </c>
      <c r="AS104" s="96" t="str">
        <f>IFERROR(
Assumptions!$D$11*(X104/(Assumptions!$AB$9*AR104/100)+AO104)+
Assumptions!$D$10*(AA104/(Assumptions!$AB$8*AR104/100)+AP104)+
Assumptions!$D$12*(AD104/(Assumptions!$AB$10*AR104/100)+AQ104),
"")</f>
        <v/>
      </c>
      <c r="AT104" s="76" t="str">
        <f>IFERROR(
(W104+AE104)*Assumptions!$F$11+
(AF104+AG104)*Assumptions!$F$8+
(AH104+AI104)*Assumptions!$F$9+
(AJ104+AK104)*Assumptions!$F$10,
"")</f>
        <v/>
      </c>
      <c r="AU104" s="77" t="str">
        <f t="shared" si="32"/>
        <v/>
      </c>
      <c r="AV104" s="68" t="str">
        <f t="shared" si="18"/>
        <v/>
      </c>
    </row>
    <row r="105" spans="1:48" x14ac:dyDescent="0.25">
      <c r="A105" s="264"/>
      <c r="B105" s="265"/>
      <c r="C105" s="265"/>
      <c r="D105" s="265"/>
      <c r="E105" s="266"/>
      <c r="F105" s="270"/>
      <c r="G105" s="271"/>
      <c r="H105" s="271"/>
      <c r="I105" s="272"/>
      <c r="J105" s="270"/>
      <c r="K105" s="271"/>
      <c r="L105" s="272"/>
      <c r="M105" s="270"/>
      <c r="N105" s="271"/>
      <c r="O105" s="272"/>
      <c r="P105" s="290"/>
      <c r="Q105" s="314"/>
      <c r="R105" s="51" t="str">
        <f t="shared" si="17"/>
        <v/>
      </c>
      <c r="S105" s="84" t="str">
        <f t="shared" si="19"/>
        <v/>
      </c>
      <c r="T105" s="93" t="str">
        <f t="shared" si="20"/>
        <v/>
      </c>
      <c r="U105" s="100" t="str">
        <f t="shared" si="21"/>
        <v/>
      </c>
      <c r="V105" s="95" t="str">
        <f t="shared" si="22"/>
        <v/>
      </c>
      <c r="W105" s="95" t="str">
        <f t="shared" si="23"/>
        <v/>
      </c>
      <c r="X105" s="96" t="str">
        <f>IFERROR(U105*V105*Assumptions!$B$15/3956,"")</f>
        <v/>
      </c>
      <c r="Y105" s="102" t="str">
        <f t="shared" si="24"/>
        <v/>
      </c>
      <c r="Z105" s="95" t="str">
        <f t="shared" si="25"/>
        <v/>
      </c>
      <c r="AA105" s="96" t="str">
        <f>IFERROR(Y105*Z105*Assumptions!$B$15/3956,"")</f>
        <v/>
      </c>
      <c r="AB105" s="100" t="str">
        <f t="shared" si="26"/>
        <v/>
      </c>
      <c r="AC105" s="95" t="str">
        <f t="shared" si="27"/>
        <v/>
      </c>
      <c r="AD105" s="96" t="str">
        <f>IFERROR(AB105*AC105*Assumptions!$B$15/3956,"")</f>
        <v/>
      </c>
      <c r="AE105" s="94" t="str">
        <f>IFERROR(
IF(P105&lt;=5,
(Assumptions!$W$8*(W105/P105)^2+(Assumptions!$X$8*(W105/P105))+Assumptions!$Y$8),
IF(P105&lt;=20,
(Assumptions!$W$9*(W105/P105)^2+(Assumptions!$X$9*(W105/P105))+Assumptions!$Y$9),
IF(P105&lt;=50,
(Assumptions!$W$10*(W105/P105)^2+(Assumptions!$X$10*(W105/P105))+Assumptions!$Y$10),
(Assumptions!$W$11*(W105/P105)^2+(Assumptions!$X$11+(W105/P105))+Assumptions!$Y$11)))),
"")</f>
        <v/>
      </c>
      <c r="AF105" s="99" t="str">
        <f t="shared" si="28"/>
        <v/>
      </c>
      <c r="AG105" s="95" t="str">
        <f>IFERROR(
IF(P105&lt;=5,
(Assumptions!$W$8*(AF105/P105)^2+(Assumptions!$X$8*(AF105/P105))+Assumptions!$Y$8),
IF(P105&lt;=20,
(Assumptions!$W$9*(AF105/P105)^2+(Assumptions!$X$9*(AF105/P105))+Assumptions!$Y$9),
IF(P105&lt;=50,
(Assumptions!$W$10*(AF105/P105)^2+(Assumptions!$X$10*(AF105/P105))+Assumptions!$Y$10),
(Assumptions!$W$11*(AF105/P105)^2+(Assumptions!$X$11+(AF105/P105))+Assumptions!$Y$11)))),
"")</f>
        <v/>
      </c>
      <c r="AH105" s="95" t="str">
        <f t="shared" si="29"/>
        <v/>
      </c>
      <c r="AI105" s="95" t="str">
        <f>IFERROR(
IF(P105&lt;=5,
(Assumptions!$W$8*(AH105/P105)^2+(Assumptions!$X$8*(AH105/P105))+Assumptions!$Y$8),
IF(P105&lt;=20,
(Assumptions!$W$9*(AH105/P105)^2+(Assumptions!$X$9*(AH105/P105))+Assumptions!$Y$9),
IF(P105&lt;=50,
(Assumptions!$W$10*(AH105/P105)^2+(Assumptions!$X$10*(AH105/P105))+Assumptions!$Y$10),
(Assumptions!$W$11*(AH105/P105)^2+(Assumptions!$X$11+(AH105/P105))+Assumptions!$Y$11)))),"")</f>
        <v/>
      </c>
      <c r="AJ105" s="95" t="str">
        <f t="shared" si="30"/>
        <v/>
      </c>
      <c r="AK105" s="96" t="str">
        <f>IFERROR(
IF(P105&lt;=5,
(Assumptions!$W$8*(AJ105/P105)^2+(Assumptions!$X$8*(AJ105/P105))+Assumptions!$Y$8),
IF(P105&lt;=20,
(Assumptions!$W$9*(AJ105/P105)^2+(Assumptions!$X$9*(AJ105/P105))+Assumptions!$Y$9),
IF(P105&lt;=50,
(Assumptions!$W$10*(AJ105/P105)^2+(Assumptions!$X$10*(AJ105/P105))+Assumptions!$Y$10),
(Assumptions!$W$11*(AJ105/P105)^2+(Assumptions!$X$11+(AJ105/P105))+Assumptions!$Y$11)))),
"")</f>
        <v/>
      </c>
      <c r="AL105" s="99" t="str">
        <f>IFERROR(
IF(C105="VTS",
IF(P105&gt;=AVERAGE(
INDEX(Assumptions!$I$38:$I$57,MATCH(P105,Assumptions!$I$38:$I$57,-1)),
INDEX(Assumptions!$I$38:$I$57,MATCH(P105,Assumptions!$I$38:$I$57,-1)+1)),
INDEX(Assumptions!$I$38:$I$57,MATCH(P105,Assumptions!$I$38:$I$57,-1)),
INDEX(Assumptions!$I$38:$I$57,MATCH(P105,Assumptions!$I$38:$I$57,-1)+1)),
IF(P105&gt;=AVERAGE(
INDEX(Assumptions!$I$13:$I$32,MATCH(P105,Assumptions!$I$13:$I$32,-1)),
INDEX(Assumptions!$I$13:$I$32,MATCH(P105,Assumptions!$I$13:$I$32,-1)+1)),
INDEX(Assumptions!$I$13:$I$32,MATCH(P105,Assumptions!$I$13:$I$32,-1)),
INDEX(Assumptions!$I$13:$I$32,MATCH(P105,Assumptions!$I$13:$I$32,-1)+1))),
"")</f>
        <v/>
      </c>
      <c r="AM105" s="95" t="str">
        <f>IFERROR(
IF(C105="VTS",
VLOOKUP(AL105,Assumptions!$I$38:$K$57,MATCH(R105,Assumptions!$I$37:$K$37,0),FALSE),
VLOOKUP(AL105,Assumptions!$I$13:$K$32,MATCH(R105,Assumptions!$I$12:$K$12,0),FALSE)),
"")</f>
        <v/>
      </c>
      <c r="AN105" s="95" t="str">
        <f t="shared" si="31"/>
        <v/>
      </c>
      <c r="AO105" s="95" t="str">
        <f>IFERROR(AN105*
(Assumptions!$S$7*(X105/(AR105*Assumptions!$AB$9/100)/P105)^3+
Assumptions!$S$8*(X105/(AR105*Assumptions!$AB$9/100)/P105)^2+
Assumptions!$S$9*(X105/(AR105*Assumptions!$AB$9/100)/P105)+
Assumptions!$S$10),"")</f>
        <v/>
      </c>
      <c r="AP105" s="95" t="str">
        <f>IFERROR(AN105*
(Assumptions!$S$7*(AA105/(AR105*Assumptions!$AB$8/100)/P105)^3+
Assumptions!$S$8*(AA105/(AR105*Assumptions!$AB$8/100)/P105)^2+
Assumptions!$S$9*(AA105/(AR105*Assumptions!$AB$8/100)/P105)+
Assumptions!$S$10),"")</f>
        <v/>
      </c>
      <c r="AQ105" s="95" t="str">
        <f>IFERROR(AN105*
(Assumptions!$S$7*(AD105/(AR105*Assumptions!$AB$10/100)/P105)^3+
Assumptions!$S$8*(AD105/(AR105*Assumptions!$AB$10/100)/P105)^2+
Assumptions!$S$9*(AD105/(AR105*Assumptions!$AB$10/100)/P105)+
Assumptions!$S$10),"")</f>
        <v/>
      </c>
      <c r="AR105" s="95" t="str">
        <f>IFERROR(
Assumptions!$AD$8*LN(U105)^2+
Assumptions!$AE$8*LN(T105)*LN(U105)+
Assumptions!$AF$8*LN(T105)^2+
Assumptions!$AG$8*LN(U105)+
Assumptions!$AH$8*LN(T105)-
(IF(S105=1800,
VLOOKUP(C105,Assumptions!$AA$13:$AC$17,3),
IF(S105=3600,
VLOOKUP(C105,Assumptions!$AA$18:$AC$22,3),
""))+Assumptions!$AI$8),
"")</f>
        <v/>
      </c>
      <c r="AS105" s="96" t="str">
        <f>IFERROR(
Assumptions!$D$11*(X105/(Assumptions!$AB$9*AR105/100)+AO105)+
Assumptions!$D$10*(AA105/(Assumptions!$AB$8*AR105/100)+AP105)+
Assumptions!$D$12*(AD105/(Assumptions!$AB$10*AR105/100)+AQ105),
"")</f>
        <v/>
      </c>
      <c r="AT105" s="76" t="str">
        <f>IFERROR(
(W105+AE105)*Assumptions!$F$11+
(AF105+AG105)*Assumptions!$F$8+
(AH105+AI105)*Assumptions!$F$9+
(AJ105+AK105)*Assumptions!$F$10,
"")</f>
        <v/>
      </c>
      <c r="AU105" s="77" t="str">
        <f t="shared" si="32"/>
        <v/>
      </c>
      <c r="AV105" s="68" t="str">
        <f t="shared" si="18"/>
        <v/>
      </c>
    </row>
    <row r="106" spans="1:48" x14ac:dyDescent="0.25">
      <c r="A106" s="264"/>
      <c r="B106" s="265"/>
      <c r="C106" s="265"/>
      <c r="D106" s="265"/>
      <c r="E106" s="266"/>
      <c r="F106" s="270"/>
      <c r="G106" s="271"/>
      <c r="H106" s="271"/>
      <c r="I106" s="272"/>
      <c r="J106" s="270"/>
      <c r="K106" s="271"/>
      <c r="L106" s="272"/>
      <c r="M106" s="270"/>
      <c r="N106" s="271"/>
      <c r="O106" s="272"/>
      <c r="P106" s="290"/>
      <c r="Q106" s="314"/>
      <c r="R106" s="51" t="str">
        <f t="shared" si="17"/>
        <v/>
      </c>
      <c r="S106" s="84" t="str">
        <f t="shared" si="19"/>
        <v/>
      </c>
      <c r="T106" s="93" t="str">
        <f t="shared" si="20"/>
        <v/>
      </c>
      <c r="U106" s="100" t="str">
        <f t="shared" si="21"/>
        <v/>
      </c>
      <c r="V106" s="95" t="str">
        <f t="shared" si="22"/>
        <v/>
      </c>
      <c r="W106" s="95" t="str">
        <f t="shared" si="23"/>
        <v/>
      </c>
      <c r="X106" s="96" t="str">
        <f>IFERROR(U106*V106*Assumptions!$B$15/3956,"")</f>
        <v/>
      </c>
      <c r="Y106" s="102" t="str">
        <f t="shared" si="24"/>
        <v/>
      </c>
      <c r="Z106" s="95" t="str">
        <f t="shared" si="25"/>
        <v/>
      </c>
      <c r="AA106" s="96" t="str">
        <f>IFERROR(Y106*Z106*Assumptions!$B$15/3956,"")</f>
        <v/>
      </c>
      <c r="AB106" s="100" t="str">
        <f t="shared" si="26"/>
        <v/>
      </c>
      <c r="AC106" s="95" t="str">
        <f t="shared" si="27"/>
        <v/>
      </c>
      <c r="AD106" s="96" t="str">
        <f>IFERROR(AB106*AC106*Assumptions!$B$15/3956,"")</f>
        <v/>
      </c>
      <c r="AE106" s="94" t="str">
        <f>IFERROR(
IF(P106&lt;=5,
(Assumptions!$W$8*(W106/P106)^2+(Assumptions!$X$8*(W106/P106))+Assumptions!$Y$8),
IF(P106&lt;=20,
(Assumptions!$W$9*(W106/P106)^2+(Assumptions!$X$9*(W106/P106))+Assumptions!$Y$9),
IF(P106&lt;=50,
(Assumptions!$W$10*(W106/P106)^2+(Assumptions!$X$10*(W106/P106))+Assumptions!$Y$10),
(Assumptions!$W$11*(W106/P106)^2+(Assumptions!$X$11+(W106/P106))+Assumptions!$Y$11)))),
"")</f>
        <v/>
      </c>
      <c r="AF106" s="99" t="str">
        <f t="shared" si="28"/>
        <v/>
      </c>
      <c r="AG106" s="95" t="str">
        <f>IFERROR(
IF(P106&lt;=5,
(Assumptions!$W$8*(AF106/P106)^2+(Assumptions!$X$8*(AF106/P106))+Assumptions!$Y$8),
IF(P106&lt;=20,
(Assumptions!$W$9*(AF106/P106)^2+(Assumptions!$X$9*(AF106/P106))+Assumptions!$Y$9),
IF(P106&lt;=50,
(Assumptions!$W$10*(AF106/P106)^2+(Assumptions!$X$10*(AF106/P106))+Assumptions!$Y$10),
(Assumptions!$W$11*(AF106/P106)^2+(Assumptions!$X$11+(AF106/P106))+Assumptions!$Y$11)))),
"")</f>
        <v/>
      </c>
      <c r="AH106" s="95" t="str">
        <f t="shared" si="29"/>
        <v/>
      </c>
      <c r="AI106" s="95" t="str">
        <f>IFERROR(
IF(P106&lt;=5,
(Assumptions!$W$8*(AH106/P106)^2+(Assumptions!$X$8*(AH106/P106))+Assumptions!$Y$8),
IF(P106&lt;=20,
(Assumptions!$W$9*(AH106/P106)^2+(Assumptions!$X$9*(AH106/P106))+Assumptions!$Y$9),
IF(P106&lt;=50,
(Assumptions!$W$10*(AH106/P106)^2+(Assumptions!$X$10*(AH106/P106))+Assumptions!$Y$10),
(Assumptions!$W$11*(AH106/P106)^2+(Assumptions!$X$11+(AH106/P106))+Assumptions!$Y$11)))),"")</f>
        <v/>
      </c>
      <c r="AJ106" s="95" t="str">
        <f t="shared" si="30"/>
        <v/>
      </c>
      <c r="AK106" s="96" t="str">
        <f>IFERROR(
IF(P106&lt;=5,
(Assumptions!$W$8*(AJ106/P106)^2+(Assumptions!$X$8*(AJ106/P106))+Assumptions!$Y$8),
IF(P106&lt;=20,
(Assumptions!$W$9*(AJ106/P106)^2+(Assumptions!$X$9*(AJ106/P106))+Assumptions!$Y$9),
IF(P106&lt;=50,
(Assumptions!$W$10*(AJ106/P106)^2+(Assumptions!$X$10*(AJ106/P106))+Assumptions!$Y$10),
(Assumptions!$W$11*(AJ106/P106)^2+(Assumptions!$X$11+(AJ106/P106))+Assumptions!$Y$11)))),
"")</f>
        <v/>
      </c>
      <c r="AL106" s="99" t="str">
        <f>IFERROR(
IF(C106="VTS",
IF(P106&gt;=AVERAGE(
INDEX(Assumptions!$I$38:$I$57,MATCH(P106,Assumptions!$I$38:$I$57,-1)),
INDEX(Assumptions!$I$38:$I$57,MATCH(P106,Assumptions!$I$38:$I$57,-1)+1)),
INDEX(Assumptions!$I$38:$I$57,MATCH(P106,Assumptions!$I$38:$I$57,-1)),
INDEX(Assumptions!$I$38:$I$57,MATCH(P106,Assumptions!$I$38:$I$57,-1)+1)),
IF(P106&gt;=AVERAGE(
INDEX(Assumptions!$I$13:$I$32,MATCH(P106,Assumptions!$I$13:$I$32,-1)),
INDEX(Assumptions!$I$13:$I$32,MATCH(P106,Assumptions!$I$13:$I$32,-1)+1)),
INDEX(Assumptions!$I$13:$I$32,MATCH(P106,Assumptions!$I$13:$I$32,-1)),
INDEX(Assumptions!$I$13:$I$32,MATCH(P106,Assumptions!$I$13:$I$32,-1)+1))),
"")</f>
        <v/>
      </c>
      <c r="AM106" s="95" t="str">
        <f>IFERROR(
IF(C106="VTS",
VLOOKUP(AL106,Assumptions!$I$38:$K$57,MATCH(R106,Assumptions!$I$37:$K$37,0),FALSE),
VLOOKUP(AL106,Assumptions!$I$13:$K$32,MATCH(R106,Assumptions!$I$12:$K$12,0),FALSE)),
"")</f>
        <v/>
      </c>
      <c r="AN106" s="95" t="str">
        <f t="shared" si="31"/>
        <v/>
      </c>
      <c r="AO106" s="95" t="str">
        <f>IFERROR(AN106*
(Assumptions!$S$7*(X106/(AR106*Assumptions!$AB$9/100)/P106)^3+
Assumptions!$S$8*(X106/(AR106*Assumptions!$AB$9/100)/P106)^2+
Assumptions!$S$9*(X106/(AR106*Assumptions!$AB$9/100)/P106)+
Assumptions!$S$10),"")</f>
        <v/>
      </c>
      <c r="AP106" s="95" t="str">
        <f>IFERROR(AN106*
(Assumptions!$S$7*(AA106/(AR106*Assumptions!$AB$8/100)/P106)^3+
Assumptions!$S$8*(AA106/(AR106*Assumptions!$AB$8/100)/P106)^2+
Assumptions!$S$9*(AA106/(AR106*Assumptions!$AB$8/100)/P106)+
Assumptions!$S$10),"")</f>
        <v/>
      </c>
      <c r="AQ106" s="95" t="str">
        <f>IFERROR(AN106*
(Assumptions!$S$7*(AD106/(AR106*Assumptions!$AB$10/100)/P106)^3+
Assumptions!$S$8*(AD106/(AR106*Assumptions!$AB$10/100)/P106)^2+
Assumptions!$S$9*(AD106/(AR106*Assumptions!$AB$10/100)/P106)+
Assumptions!$S$10),"")</f>
        <v/>
      </c>
      <c r="AR106" s="95" t="str">
        <f>IFERROR(
Assumptions!$AD$8*LN(U106)^2+
Assumptions!$AE$8*LN(T106)*LN(U106)+
Assumptions!$AF$8*LN(T106)^2+
Assumptions!$AG$8*LN(U106)+
Assumptions!$AH$8*LN(T106)-
(IF(S106=1800,
VLOOKUP(C106,Assumptions!$AA$13:$AC$17,3),
IF(S106=3600,
VLOOKUP(C106,Assumptions!$AA$18:$AC$22,3),
""))+Assumptions!$AI$8),
"")</f>
        <v/>
      </c>
      <c r="AS106" s="96" t="str">
        <f>IFERROR(
Assumptions!$D$11*(X106/(Assumptions!$AB$9*AR106/100)+AO106)+
Assumptions!$D$10*(AA106/(Assumptions!$AB$8*AR106/100)+AP106)+
Assumptions!$D$12*(AD106/(Assumptions!$AB$10*AR106/100)+AQ106),
"")</f>
        <v/>
      </c>
      <c r="AT106" s="76" t="str">
        <f>IFERROR(
(W106+AE106)*Assumptions!$F$11+
(AF106+AG106)*Assumptions!$F$8+
(AH106+AI106)*Assumptions!$F$9+
(AJ106+AK106)*Assumptions!$F$10,
"")</f>
        <v/>
      </c>
      <c r="AU106" s="77" t="str">
        <f t="shared" si="32"/>
        <v/>
      </c>
      <c r="AV106" s="68" t="str">
        <f t="shared" si="18"/>
        <v/>
      </c>
    </row>
    <row r="107" spans="1:48" ht="15.75" thickBot="1" x14ac:dyDescent="0.3">
      <c r="A107" s="273"/>
      <c r="B107" s="274"/>
      <c r="C107" s="274"/>
      <c r="D107" s="274"/>
      <c r="E107" s="292"/>
      <c r="F107" s="293"/>
      <c r="G107" s="294"/>
      <c r="H107" s="294"/>
      <c r="I107" s="295"/>
      <c r="J107" s="293"/>
      <c r="K107" s="294"/>
      <c r="L107" s="295"/>
      <c r="M107" s="293"/>
      <c r="N107" s="294"/>
      <c r="O107" s="295"/>
      <c r="P107" s="296"/>
      <c r="Q107" s="315"/>
      <c r="R107" s="51" t="str">
        <f t="shared" si="17"/>
        <v/>
      </c>
      <c r="S107" s="84" t="str">
        <f t="shared" si="19"/>
        <v/>
      </c>
      <c r="T107" s="93" t="str">
        <f t="shared" si="20"/>
        <v/>
      </c>
      <c r="U107" s="100" t="str">
        <f t="shared" si="21"/>
        <v/>
      </c>
      <c r="V107" s="95" t="str">
        <f t="shared" si="22"/>
        <v/>
      </c>
      <c r="W107" s="95" t="str">
        <f t="shared" si="23"/>
        <v/>
      </c>
      <c r="X107" s="96" t="str">
        <f>IFERROR(U107*V107*Assumptions!$B$15/3956,"")</f>
        <v/>
      </c>
      <c r="Y107" s="102" t="str">
        <f t="shared" si="24"/>
        <v/>
      </c>
      <c r="Z107" s="95" t="str">
        <f t="shared" si="25"/>
        <v/>
      </c>
      <c r="AA107" s="96" t="str">
        <f>IFERROR(Y107*Z107*Assumptions!$B$15/3956,"")</f>
        <v/>
      </c>
      <c r="AB107" s="100" t="str">
        <f t="shared" si="26"/>
        <v/>
      </c>
      <c r="AC107" s="95" t="str">
        <f t="shared" si="27"/>
        <v/>
      </c>
      <c r="AD107" s="62" t="str">
        <f>IFERROR(AB107*AC107*Assumptions!$B$15/3956,"")</f>
        <v/>
      </c>
      <c r="AE107" s="94" t="str">
        <f>IFERROR(
IF(P107&lt;=5,
(Assumptions!$W$8*(W107/P107)^2+(Assumptions!$X$8*(W107/P107))+Assumptions!$Y$8),
IF(P107&lt;=20,
(Assumptions!$W$9*(W107/P107)^2+(Assumptions!$X$9*(W107/P107))+Assumptions!$Y$9),
IF(P107&lt;=50,
(Assumptions!$W$10*(W107/P107)^2+(Assumptions!$X$10*(W107/P107))+Assumptions!$Y$10),
(Assumptions!$W$11*(W107/P107)^2+(Assumptions!$X$11+(W107/P107))+Assumptions!$Y$11)))),
"")</f>
        <v/>
      </c>
      <c r="AF107" s="99" t="str">
        <f t="shared" si="28"/>
        <v/>
      </c>
      <c r="AG107" s="95" t="str">
        <f>IFERROR(
IF(P107&lt;=5,
(Assumptions!$W$8*(AF107/P107)^2+(Assumptions!$X$8*(AF107/P107))+Assumptions!$Y$8),
IF(P107&lt;=20,
(Assumptions!$W$9*(AF107/P107)^2+(Assumptions!$X$9*(AF107/P107))+Assumptions!$Y$9),
IF(P107&lt;=50,
(Assumptions!$W$10*(AF107/P107)^2+(Assumptions!$X$10*(AF107/P107))+Assumptions!$Y$10),
(Assumptions!$W$11*(AF107/P107)^2+(Assumptions!$X$11+(AF107/P107))+Assumptions!$Y$11)))),
"")</f>
        <v/>
      </c>
      <c r="AH107" s="95" t="str">
        <f t="shared" si="29"/>
        <v/>
      </c>
      <c r="AI107" s="95" t="str">
        <f>IFERROR(
IF(P107&lt;=5,
(Assumptions!$W$8*(AH107/P107)^2+(Assumptions!$X$8*(AH107/P107))+Assumptions!$Y$8),
IF(P107&lt;=20,
(Assumptions!$W$9*(AH107/P107)^2+(Assumptions!$X$9*(AH107/P107))+Assumptions!$Y$9),
IF(P107&lt;=50,
(Assumptions!$W$10*(AH107/P107)^2+(Assumptions!$X$10*(AH107/P107))+Assumptions!$Y$10),
(Assumptions!$W$11*(AH107/P107)^2+(Assumptions!$X$11+(AH107/P107))+Assumptions!$Y$11)))),"")</f>
        <v/>
      </c>
      <c r="AJ107" s="95" t="str">
        <f t="shared" si="30"/>
        <v/>
      </c>
      <c r="AK107" s="96" t="str">
        <f>IFERROR(
IF(P107&lt;=5,
(Assumptions!$W$8*(AJ107/P107)^2+(Assumptions!$X$8*(AJ107/P107))+Assumptions!$Y$8),
IF(P107&lt;=20,
(Assumptions!$W$9*(AJ107/P107)^2+(Assumptions!$X$9*(AJ107/P107))+Assumptions!$Y$9),
IF(P107&lt;=50,
(Assumptions!$W$10*(AJ107/P107)^2+(Assumptions!$X$10*(AJ107/P107))+Assumptions!$Y$10),
(Assumptions!$W$11*(AJ107/P107)^2+(Assumptions!$X$11+(AJ107/P107))+Assumptions!$Y$11)))),
"")</f>
        <v/>
      </c>
      <c r="AL107" s="99" t="str">
        <f>IFERROR(
IF(C107="VTS",
IF(P107&gt;=AVERAGE(
INDEX(Assumptions!$I$38:$I$57,MATCH(P107,Assumptions!$I$38:$I$57,-1)),
INDEX(Assumptions!$I$38:$I$57,MATCH(P107,Assumptions!$I$38:$I$57,-1)+1)),
INDEX(Assumptions!$I$38:$I$57,MATCH(P107,Assumptions!$I$38:$I$57,-1)),
INDEX(Assumptions!$I$38:$I$57,MATCH(P107,Assumptions!$I$38:$I$57,-1)+1)),
IF(P107&gt;=AVERAGE(
INDEX(Assumptions!$I$13:$I$32,MATCH(P107,Assumptions!$I$13:$I$32,-1)),
INDEX(Assumptions!$I$13:$I$32,MATCH(P107,Assumptions!$I$13:$I$32,-1)+1)),
INDEX(Assumptions!$I$13:$I$32,MATCH(P107,Assumptions!$I$13:$I$32,-1)),
INDEX(Assumptions!$I$13:$I$32,MATCH(P107,Assumptions!$I$13:$I$32,-1)+1))),
"")</f>
        <v/>
      </c>
      <c r="AM107" s="95" t="str">
        <f>IFERROR(
IF(C107="VTS",
VLOOKUP(AL107,Assumptions!$I$38:$K$57,MATCH(R107,Assumptions!$I$37:$K$37,0),FALSE),
VLOOKUP(AL107,Assumptions!$I$13:$K$32,MATCH(R107,Assumptions!$I$12:$K$12,0),FALSE)),
"")</f>
        <v/>
      </c>
      <c r="AN107" s="95" t="str">
        <f t="shared" si="31"/>
        <v/>
      </c>
      <c r="AO107" s="95" t="str">
        <f>IFERROR(AN107*
(Assumptions!$S$7*(X107/(AR107*Assumptions!$AB$9/100)/P107)^3+
Assumptions!$S$8*(X107/(AR107*Assumptions!$AB$9/100)/P107)^2+
Assumptions!$S$9*(X107/(AR107*Assumptions!$AB$9/100)/P107)+
Assumptions!$S$10),"")</f>
        <v/>
      </c>
      <c r="AP107" s="95" t="str">
        <f>IFERROR(AN107*
(Assumptions!$S$7*(AA107/(AR107*Assumptions!$AB$8/100)/P107)^3+
Assumptions!$S$8*(AA107/(AR107*Assumptions!$AB$8/100)/P107)^2+
Assumptions!$S$9*(AA107/(AR107*Assumptions!$AB$8/100)/P107)+
Assumptions!$S$10),"")</f>
        <v/>
      </c>
      <c r="AQ107" s="95" t="str">
        <f>IFERROR(AN107*
(Assumptions!$S$7*(AD107/(AR107*Assumptions!$AB$10/100)/P107)^3+
Assumptions!$S$8*(AD107/(AR107*Assumptions!$AB$10/100)/P107)^2+
Assumptions!$S$9*(AD107/(AR107*Assumptions!$AB$10/100)/P107)+
Assumptions!$S$10),"")</f>
        <v/>
      </c>
      <c r="AR107" s="95" t="str">
        <f>IFERROR(
Assumptions!$AD$8*LN(U107)^2+
Assumptions!$AE$8*LN(T107)*LN(U107)+
Assumptions!$AF$8*LN(T107)^2+
Assumptions!$AG$8*LN(U107)+
Assumptions!$AH$8*LN(T107)-
(IF(S107=1800,
VLOOKUP(C107,Assumptions!$AA$13:$AC$17,3),
IF(S107=3600,
VLOOKUP(C107,Assumptions!$AA$18:$AC$22,3),
""))+Assumptions!$AI$8),
"")</f>
        <v/>
      </c>
      <c r="AS107" s="96" t="str">
        <f>IFERROR(
Assumptions!$D$11*(X107/(Assumptions!$AB$9*AR107/100)+AO107)+
Assumptions!$D$10*(AA107/(Assumptions!$AB$8*AR107/100)+AP107)+
Assumptions!$D$12*(AD107/(Assumptions!$AB$10*AR107/100)+AQ107),
"")</f>
        <v/>
      </c>
      <c r="AT107" s="76" t="str">
        <f>IFERROR(
(W107+AE107)*Assumptions!$F$11+
(AF107+AG107)*Assumptions!$F$8+
(AH107+AI107)*Assumptions!$F$9+
(AJ107+AK107)*Assumptions!$F$10,
"")</f>
        <v/>
      </c>
      <c r="AU107" s="77" t="str">
        <f t="shared" si="32"/>
        <v/>
      </c>
      <c r="AV107" s="69" t="str">
        <f t="shared" si="18"/>
        <v/>
      </c>
    </row>
    <row r="108" spans="1:48" x14ac:dyDescent="0.25">
      <c r="T108" s="39"/>
      <c r="W108" s="25"/>
      <c r="X108" s="39"/>
      <c r="AA108" s="39"/>
    </row>
    <row r="109" spans="1:48" x14ac:dyDescent="0.25">
      <c r="T109" s="39"/>
      <c r="W109" s="25"/>
      <c r="X109" s="39"/>
      <c r="AA109" s="39"/>
    </row>
  </sheetData>
  <sheetProtection password="8ABE" sheet="1" objects="1" scenarios="1"/>
  <mergeCells count="18">
    <mergeCell ref="B3:M5"/>
    <mergeCell ref="N4:Q4"/>
    <mergeCell ref="N5:Q5"/>
    <mergeCell ref="N3:Q3"/>
    <mergeCell ref="R7:AS7"/>
    <mergeCell ref="AE8:AK8"/>
    <mergeCell ref="A7:Q7"/>
    <mergeCell ref="AT7:AV7"/>
    <mergeCell ref="A8:E8"/>
    <mergeCell ref="F8:I8"/>
    <mergeCell ref="J8:L8"/>
    <mergeCell ref="M8:O8"/>
    <mergeCell ref="P8:Q8"/>
    <mergeCell ref="R8:T8"/>
    <mergeCell ref="U8:X8"/>
    <mergeCell ref="Y8:AA8"/>
    <mergeCell ref="AB8:AD8"/>
    <mergeCell ref="AL8:AS8"/>
  </mergeCells>
  <conditionalFormatting sqref="AV10:AV107">
    <cfRule type="containsText" dxfId="3" priority="1" operator="containsText" text="FAIL">
      <formula>NOT(ISERROR(SEARCH("FAIL",AV10)))</formula>
    </cfRule>
    <cfRule type="containsText" dxfId="2" priority="2" operator="containsText" text="PASS">
      <formula>NOT(ISERROR(SEARCH("PASS",AV10)))</formula>
    </cfRule>
  </conditionalFormatting>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Assumptions!$AA$13:$AA$17</xm:f>
          </x14:formula1>
          <xm:sqref>C10:C107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AW109"/>
  <sheetViews>
    <sheetView showGridLines="0" zoomScale="80" zoomScaleNormal="80" workbookViewId="0"/>
  </sheetViews>
  <sheetFormatPr defaultColWidth="8.85546875" defaultRowHeight="15" outlineLevelCol="1" x14ac:dyDescent="0.25"/>
  <cols>
    <col min="1" max="1" width="10.7109375" style="25" customWidth="1"/>
    <col min="2" max="2" width="30.42578125" style="25" customWidth="1"/>
    <col min="3" max="4" width="10.5703125" style="25" customWidth="1"/>
    <col min="5" max="5" width="8" style="25" customWidth="1"/>
    <col min="6" max="7" width="11.140625" style="39" customWidth="1"/>
    <col min="8" max="8" width="10.28515625" style="39" customWidth="1"/>
    <col min="9" max="9" width="9.42578125" style="39" customWidth="1"/>
    <col min="10" max="10" width="11.28515625" style="39" customWidth="1"/>
    <col min="11" max="11" width="10.7109375" style="39" customWidth="1"/>
    <col min="12" max="12" width="9.42578125" style="39" customWidth="1"/>
    <col min="13" max="14" width="12" style="39" customWidth="1"/>
    <col min="15" max="15" width="9.42578125" style="39" customWidth="1"/>
    <col min="16" max="17" width="12" style="39" customWidth="1"/>
    <col min="18" max="18" width="14.85546875" style="39" customWidth="1"/>
    <col min="19" max="19" width="14.42578125" style="39" bestFit="1" customWidth="1"/>
    <col min="20" max="20" width="12.85546875" style="92" customWidth="1"/>
    <col min="21" max="21" width="14" style="25" customWidth="1" outlineLevel="1"/>
    <col min="22" max="22" width="14" style="92" customWidth="1" outlineLevel="1"/>
    <col min="23" max="23" width="14" style="25" customWidth="1" outlineLevel="1"/>
    <col min="24" max="25" width="10.42578125" style="39" customWidth="1" outlineLevel="1"/>
    <col min="26" max="26" width="10.28515625" style="39" customWidth="1" outlineLevel="1"/>
    <col min="27" max="27" width="11.5703125" style="25" customWidth="1" outlineLevel="1"/>
    <col min="28" max="28" width="9.42578125" style="39" customWidth="1" outlineLevel="1"/>
    <col min="29" max="29" width="11.28515625" style="39" customWidth="1" outlineLevel="1"/>
    <col min="30" max="30" width="10.7109375" style="39" customWidth="1" outlineLevel="1"/>
    <col min="31" max="31" width="9.42578125" style="39" customWidth="1" outlineLevel="1"/>
    <col min="32" max="33" width="12" style="39" customWidth="1" outlineLevel="1"/>
    <col min="34" max="34" width="9.42578125" style="39" customWidth="1" outlineLevel="1"/>
    <col min="35" max="36" width="12" style="39" customWidth="1" outlineLevel="1"/>
    <col min="37" max="38" width="21.140625" style="25" customWidth="1" outlineLevel="1"/>
    <col min="39" max="41" width="12.28515625" style="25" customWidth="1" outlineLevel="1"/>
    <col min="42" max="44" width="13.140625" style="25" customWidth="1" outlineLevel="1"/>
    <col min="45" max="45" width="13.28515625" style="25" customWidth="1" outlineLevel="1"/>
    <col min="46" max="46" width="11.42578125" style="25" customWidth="1" outlineLevel="1"/>
    <col min="47" max="47" width="11" style="25" customWidth="1"/>
    <col min="48" max="48" width="11.7109375" style="25" customWidth="1"/>
    <col min="49" max="16384" width="8.85546875" style="25"/>
  </cols>
  <sheetData>
    <row r="1" spans="1:49" s="92" customFormat="1" ht="15.75" thickBot="1" x14ac:dyDescent="0.3">
      <c r="F1" s="39"/>
      <c r="G1" s="39"/>
      <c r="H1" s="39"/>
      <c r="I1" s="39"/>
      <c r="J1" s="39"/>
      <c r="K1" s="39"/>
      <c r="L1" s="39"/>
      <c r="M1" s="39"/>
      <c r="N1" s="39"/>
      <c r="O1" s="39"/>
      <c r="P1" s="39"/>
      <c r="Q1" s="39"/>
      <c r="R1" s="39"/>
      <c r="S1" s="39"/>
      <c r="X1" s="39"/>
      <c r="Y1" s="39"/>
      <c r="Z1" s="39"/>
      <c r="AB1" s="39"/>
      <c r="AC1" s="39"/>
      <c r="AD1" s="39"/>
      <c r="AE1" s="39"/>
      <c r="AF1" s="39"/>
      <c r="AG1" s="39"/>
      <c r="AH1" s="39"/>
      <c r="AI1" s="39"/>
      <c r="AJ1" s="39"/>
    </row>
    <row r="2" spans="1:49" s="92" customFormat="1" ht="24" thickBot="1" x14ac:dyDescent="0.3">
      <c r="B2" s="237" t="s">
        <v>154</v>
      </c>
      <c r="C2" s="238"/>
      <c r="D2" s="238"/>
      <c r="E2" s="238"/>
      <c r="F2" s="238"/>
      <c r="G2" s="238"/>
      <c r="H2" s="238"/>
      <c r="I2" s="238"/>
      <c r="J2" s="238"/>
      <c r="K2" s="238"/>
      <c r="L2" s="238"/>
      <c r="M2" s="238"/>
      <c r="N2" s="238"/>
      <c r="O2" s="323"/>
      <c r="P2" s="323"/>
      <c r="Q2" s="323"/>
      <c r="R2" s="323"/>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9"/>
    </row>
    <row r="3" spans="1:49" s="92" customFormat="1" ht="19.5" customHeight="1" thickBot="1" x14ac:dyDescent="0.3">
      <c r="B3" s="553" t="s">
        <v>149</v>
      </c>
      <c r="C3" s="554"/>
      <c r="D3" s="554"/>
      <c r="E3" s="554"/>
      <c r="F3" s="554"/>
      <c r="G3" s="554"/>
      <c r="H3" s="554"/>
      <c r="I3" s="554"/>
      <c r="J3" s="554"/>
      <c r="K3" s="554"/>
      <c r="L3" s="554"/>
      <c r="M3" s="554"/>
      <c r="N3" s="554"/>
      <c r="O3" s="561" t="s">
        <v>7</v>
      </c>
      <c r="P3" s="562"/>
      <c r="Q3" s="562"/>
      <c r="R3" s="563"/>
      <c r="S3" s="324"/>
      <c r="T3" s="324"/>
      <c r="U3" s="210"/>
      <c r="V3" s="210"/>
      <c r="W3" s="210"/>
      <c r="X3" s="211"/>
      <c r="Y3" s="211"/>
      <c r="Z3" s="211"/>
      <c r="AA3" s="210"/>
      <c r="AB3" s="211"/>
      <c r="AC3" s="211"/>
      <c r="AD3" s="211"/>
      <c r="AE3" s="211"/>
      <c r="AF3" s="211"/>
      <c r="AG3" s="211"/>
      <c r="AH3" s="211"/>
      <c r="AI3" s="211"/>
      <c r="AJ3" s="211"/>
      <c r="AK3" s="210"/>
      <c r="AL3" s="210"/>
      <c r="AM3" s="210"/>
      <c r="AN3" s="210"/>
      <c r="AO3" s="210"/>
      <c r="AP3" s="210"/>
      <c r="AQ3" s="210"/>
      <c r="AR3" s="210"/>
      <c r="AS3" s="210"/>
      <c r="AT3" s="210"/>
      <c r="AU3" s="210"/>
      <c r="AV3" s="210"/>
      <c r="AW3" s="217"/>
    </row>
    <row r="4" spans="1:49" s="92" customFormat="1" ht="18.75" x14ac:dyDescent="0.25">
      <c r="B4" s="487"/>
      <c r="C4" s="488"/>
      <c r="D4" s="488"/>
      <c r="E4" s="488"/>
      <c r="F4" s="488"/>
      <c r="G4" s="488"/>
      <c r="H4" s="488"/>
      <c r="I4" s="488"/>
      <c r="J4" s="488"/>
      <c r="K4" s="488"/>
      <c r="L4" s="488"/>
      <c r="M4" s="488"/>
      <c r="N4" s="488"/>
      <c r="O4" s="555" t="s">
        <v>6</v>
      </c>
      <c r="P4" s="556"/>
      <c r="Q4" s="556"/>
      <c r="R4" s="557"/>
      <c r="S4" s="325"/>
      <c r="T4" s="325"/>
      <c r="U4" s="210"/>
      <c r="V4" s="210"/>
      <c r="W4" s="210"/>
      <c r="X4" s="211"/>
      <c r="Y4" s="211"/>
      <c r="Z4" s="211"/>
      <c r="AA4" s="210"/>
      <c r="AB4" s="211"/>
      <c r="AC4" s="211"/>
      <c r="AD4" s="211"/>
      <c r="AE4" s="211"/>
      <c r="AF4" s="211"/>
      <c r="AG4" s="211"/>
      <c r="AH4" s="211"/>
      <c r="AI4" s="211"/>
      <c r="AJ4" s="211"/>
      <c r="AK4" s="210"/>
      <c r="AL4" s="210"/>
      <c r="AM4" s="210"/>
      <c r="AN4" s="210"/>
      <c r="AO4" s="210"/>
      <c r="AP4" s="210"/>
      <c r="AQ4" s="210"/>
      <c r="AR4" s="210"/>
      <c r="AS4" s="210"/>
      <c r="AT4" s="210"/>
      <c r="AU4" s="81" t="s">
        <v>82</v>
      </c>
      <c r="AV4" s="79"/>
      <c r="AW4" s="74">
        <f>COUNTIF(AW10:AW109,"FAIL")</f>
        <v>0</v>
      </c>
    </row>
    <row r="5" spans="1:49" s="92" customFormat="1" ht="19.5" thickBot="1" x14ac:dyDescent="0.3">
      <c r="B5" s="489"/>
      <c r="C5" s="490"/>
      <c r="D5" s="490"/>
      <c r="E5" s="490"/>
      <c r="F5" s="490"/>
      <c r="G5" s="490"/>
      <c r="H5" s="490"/>
      <c r="I5" s="490"/>
      <c r="J5" s="490"/>
      <c r="K5" s="490"/>
      <c r="L5" s="490"/>
      <c r="M5" s="490"/>
      <c r="N5" s="490"/>
      <c r="O5" s="558" t="s">
        <v>8</v>
      </c>
      <c r="P5" s="559"/>
      <c r="Q5" s="559"/>
      <c r="R5" s="560"/>
      <c r="S5" s="326"/>
      <c r="T5" s="326"/>
      <c r="U5" s="210"/>
      <c r="V5" s="210"/>
      <c r="W5" s="210"/>
      <c r="X5" s="211"/>
      <c r="Y5" s="211"/>
      <c r="Z5" s="211"/>
      <c r="AA5" s="210"/>
      <c r="AB5" s="211"/>
      <c r="AC5" s="211"/>
      <c r="AD5" s="211"/>
      <c r="AE5" s="211"/>
      <c r="AF5" s="211"/>
      <c r="AG5" s="211"/>
      <c r="AH5" s="211"/>
      <c r="AI5" s="211"/>
      <c r="AJ5" s="211"/>
      <c r="AK5" s="210"/>
      <c r="AL5" s="210"/>
      <c r="AM5" s="210"/>
      <c r="AN5" s="210"/>
      <c r="AO5" s="210"/>
      <c r="AP5" s="210"/>
      <c r="AQ5" s="210"/>
      <c r="AR5" s="210"/>
      <c r="AS5" s="210"/>
      <c r="AT5" s="217"/>
      <c r="AU5" s="82" t="s">
        <v>83</v>
      </c>
      <c r="AV5" s="80"/>
      <c r="AW5" s="75">
        <f>AW4/COUNTA($A$10:$A$1245)</f>
        <v>0</v>
      </c>
    </row>
    <row r="6" spans="1:49" s="27" customFormat="1" ht="15.75" thickBot="1" x14ac:dyDescent="0.3">
      <c r="A6" s="28"/>
      <c r="B6" s="28"/>
      <c r="C6" s="28"/>
      <c r="D6" s="28"/>
      <c r="E6" s="29"/>
      <c r="F6" s="41"/>
      <c r="G6" s="41"/>
      <c r="H6" s="40"/>
      <c r="I6" s="40"/>
      <c r="J6" s="40"/>
      <c r="K6" s="40"/>
      <c r="L6" s="40"/>
      <c r="M6" s="40"/>
      <c r="N6" s="40"/>
      <c r="O6" s="40"/>
      <c r="P6" s="40"/>
      <c r="Q6" s="40"/>
      <c r="R6" s="40"/>
      <c r="S6" s="40"/>
      <c r="U6" s="29"/>
      <c r="V6" s="29"/>
      <c r="W6" s="29"/>
      <c r="X6" s="41"/>
      <c r="Y6" s="41"/>
      <c r="Z6" s="40"/>
      <c r="AB6" s="40"/>
      <c r="AC6" s="40"/>
      <c r="AD6" s="40"/>
      <c r="AE6" s="40"/>
      <c r="AF6" s="40"/>
      <c r="AG6" s="40"/>
      <c r="AH6" s="40"/>
      <c r="AI6" s="40"/>
      <c r="AJ6" s="40"/>
      <c r="AN6" s="71"/>
    </row>
    <row r="7" spans="1:49" s="35" customFormat="1" ht="19.5" customHeight="1" thickBot="1" x14ac:dyDescent="0.3">
      <c r="A7" s="320" t="s">
        <v>120</v>
      </c>
      <c r="B7" s="321"/>
      <c r="C7" s="321"/>
      <c r="D7" s="321"/>
      <c r="E7" s="321"/>
      <c r="F7" s="321"/>
      <c r="G7" s="321"/>
      <c r="H7" s="321"/>
      <c r="I7" s="321"/>
      <c r="J7" s="321"/>
      <c r="K7" s="321"/>
      <c r="L7" s="321"/>
      <c r="M7" s="321"/>
      <c r="N7" s="321"/>
      <c r="O7" s="321"/>
      <c r="P7" s="321"/>
      <c r="Q7" s="321"/>
      <c r="R7" s="321"/>
      <c r="S7" s="321"/>
      <c r="T7" s="322"/>
      <c r="U7" s="496" t="s">
        <v>36</v>
      </c>
      <c r="V7" s="497"/>
      <c r="W7" s="497"/>
      <c r="X7" s="497"/>
      <c r="Y7" s="497"/>
      <c r="Z7" s="497"/>
      <c r="AA7" s="497"/>
      <c r="AB7" s="497"/>
      <c r="AC7" s="497"/>
      <c r="AD7" s="497"/>
      <c r="AE7" s="497"/>
      <c r="AF7" s="497"/>
      <c r="AG7" s="497"/>
      <c r="AH7" s="497"/>
      <c r="AI7" s="497"/>
      <c r="AJ7" s="497"/>
      <c r="AK7" s="497"/>
      <c r="AL7" s="497"/>
      <c r="AM7" s="497"/>
      <c r="AN7" s="497"/>
      <c r="AO7" s="497"/>
      <c r="AP7" s="497"/>
      <c r="AQ7" s="497"/>
      <c r="AR7" s="497"/>
      <c r="AS7" s="497"/>
      <c r="AT7" s="498"/>
      <c r="AU7" s="491" t="s">
        <v>80</v>
      </c>
      <c r="AV7" s="492"/>
      <c r="AW7" s="493"/>
    </row>
    <row r="8" spans="1:49" s="31" customFormat="1" ht="47.25" x14ac:dyDescent="0.25">
      <c r="A8" s="465" t="s">
        <v>23</v>
      </c>
      <c r="B8" s="466"/>
      <c r="C8" s="466"/>
      <c r="D8" s="466"/>
      <c r="E8" s="466"/>
      <c r="F8" s="564" t="s">
        <v>185</v>
      </c>
      <c r="G8" s="565"/>
      <c r="H8" s="566"/>
      <c r="I8" s="576" t="s">
        <v>171</v>
      </c>
      <c r="J8" s="577"/>
      <c r="K8" s="578"/>
      <c r="L8" s="567" t="s">
        <v>172</v>
      </c>
      <c r="M8" s="568"/>
      <c r="N8" s="569"/>
      <c r="O8" s="573" t="s">
        <v>173</v>
      </c>
      <c r="P8" s="574"/>
      <c r="Q8" s="575"/>
      <c r="R8" s="262" t="s">
        <v>183</v>
      </c>
      <c r="S8" s="261" t="s">
        <v>182</v>
      </c>
      <c r="T8" s="212" t="s">
        <v>37</v>
      </c>
      <c r="U8" s="480" t="s">
        <v>23</v>
      </c>
      <c r="V8" s="480"/>
      <c r="W8" s="480"/>
      <c r="X8" s="467" t="s">
        <v>168</v>
      </c>
      <c r="Y8" s="468"/>
      <c r="Z8" s="468"/>
      <c r="AA8" s="582"/>
      <c r="AB8" s="583" t="s">
        <v>100</v>
      </c>
      <c r="AC8" s="584"/>
      <c r="AD8" s="585"/>
      <c r="AE8" s="570" t="s">
        <v>101</v>
      </c>
      <c r="AF8" s="571"/>
      <c r="AG8" s="572"/>
      <c r="AH8" s="579" t="s">
        <v>102</v>
      </c>
      <c r="AI8" s="580"/>
      <c r="AJ8" s="581"/>
      <c r="AK8" s="251" t="s">
        <v>169</v>
      </c>
      <c r="AL8" s="263" t="s">
        <v>170</v>
      </c>
      <c r="AM8" s="476" t="s">
        <v>77</v>
      </c>
      <c r="AN8" s="477"/>
      <c r="AO8" s="477"/>
      <c r="AP8" s="477"/>
      <c r="AQ8" s="477"/>
      <c r="AR8" s="477"/>
      <c r="AS8" s="477"/>
      <c r="AT8" s="478"/>
      <c r="AU8" s="230" t="s">
        <v>155</v>
      </c>
      <c r="AV8" s="55" t="s">
        <v>136</v>
      </c>
      <c r="AW8" s="72"/>
    </row>
    <row r="9" spans="1:49" s="26" customFormat="1" ht="75" x14ac:dyDescent="0.25">
      <c r="A9" s="34" t="s">
        <v>1</v>
      </c>
      <c r="B9" s="32" t="s">
        <v>3</v>
      </c>
      <c r="C9" s="32" t="s">
        <v>33</v>
      </c>
      <c r="D9" s="32" t="s">
        <v>34</v>
      </c>
      <c r="E9" s="32" t="s">
        <v>184</v>
      </c>
      <c r="F9" s="43" t="s">
        <v>2</v>
      </c>
      <c r="G9" s="44" t="s">
        <v>35</v>
      </c>
      <c r="H9" s="63" t="s">
        <v>98</v>
      </c>
      <c r="I9" s="43" t="s">
        <v>2</v>
      </c>
      <c r="J9" s="44" t="s">
        <v>35</v>
      </c>
      <c r="K9" s="42" t="s">
        <v>98</v>
      </c>
      <c r="L9" s="64" t="s">
        <v>2</v>
      </c>
      <c r="M9" s="44" t="s">
        <v>35</v>
      </c>
      <c r="N9" s="63" t="s">
        <v>98</v>
      </c>
      <c r="O9" s="43" t="s">
        <v>2</v>
      </c>
      <c r="P9" s="44" t="s">
        <v>35</v>
      </c>
      <c r="Q9" s="42" t="s">
        <v>98</v>
      </c>
      <c r="R9" s="42" t="s">
        <v>158</v>
      </c>
      <c r="S9" s="85" t="str">
        <f>R9</f>
        <v>Hydraulic Output Power (hp) @ Full Speed</v>
      </c>
      <c r="T9" s="213" t="s">
        <v>181</v>
      </c>
      <c r="U9" s="83" t="s">
        <v>127</v>
      </c>
      <c r="V9" s="83" t="s">
        <v>167</v>
      </c>
      <c r="W9" s="57" t="s">
        <v>126</v>
      </c>
      <c r="X9" s="43" t="s">
        <v>2</v>
      </c>
      <c r="Y9" s="44" t="s">
        <v>35</v>
      </c>
      <c r="Z9" s="44" t="s">
        <v>98</v>
      </c>
      <c r="AA9" s="48" t="s">
        <v>21</v>
      </c>
      <c r="AB9" s="43" t="s">
        <v>2</v>
      </c>
      <c r="AC9" s="44" t="s">
        <v>35</v>
      </c>
      <c r="AD9" s="44" t="s">
        <v>98</v>
      </c>
      <c r="AE9" s="43" t="s">
        <v>2</v>
      </c>
      <c r="AF9" s="44" t="s">
        <v>35</v>
      </c>
      <c r="AG9" s="63" t="s">
        <v>98</v>
      </c>
      <c r="AH9" s="43" t="s">
        <v>2</v>
      </c>
      <c r="AI9" s="44" t="s">
        <v>35</v>
      </c>
      <c r="AJ9" s="63" t="s">
        <v>98</v>
      </c>
      <c r="AK9" s="34" t="s">
        <v>103</v>
      </c>
      <c r="AL9" s="49" t="s">
        <v>103</v>
      </c>
      <c r="AM9" s="242" t="s">
        <v>180</v>
      </c>
      <c r="AN9" s="32" t="s">
        <v>128</v>
      </c>
      <c r="AO9" s="32" t="s">
        <v>130</v>
      </c>
      <c r="AP9" s="232" t="s">
        <v>129</v>
      </c>
      <c r="AQ9" s="232" t="s">
        <v>131</v>
      </c>
      <c r="AR9" s="232" t="s">
        <v>132</v>
      </c>
      <c r="AS9" s="232" t="s">
        <v>78</v>
      </c>
      <c r="AT9" s="233" t="s">
        <v>79</v>
      </c>
      <c r="AU9" s="231" t="s">
        <v>52</v>
      </c>
      <c r="AV9" s="33" t="s">
        <v>104</v>
      </c>
      <c r="AW9" s="73" t="s">
        <v>81</v>
      </c>
    </row>
    <row r="10" spans="1:49" x14ac:dyDescent="0.25">
      <c r="A10" s="264" t="s">
        <v>55</v>
      </c>
      <c r="B10" s="265" t="s">
        <v>85</v>
      </c>
      <c r="C10" s="265" t="s">
        <v>38</v>
      </c>
      <c r="D10" s="265">
        <v>1</v>
      </c>
      <c r="E10" s="266">
        <v>1750</v>
      </c>
      <c r="F10" s="264">
        <v>940</v>
      </c>
      <c r="G10" s="269">
        <v>162.58000000000001</v>
      </c>
      <c r="H10" s="305">
        <v>52.34</v>
      </c>
      <c r="I10" s="268">
        <v>705</v>
      </c>
      <c r="J10" s="269">
        <v>110.82</v>
      </c>
      <c r="K10" s="267">
        <v>27.83</v>
      </c>
      <c r="L10" s="316">
        <v>500</v>
      </c>
      <c r="M10" s="269">
        <v>65.2</v>
      </c>
      <c r="N10" s="305">
        <v>11.5</v>
      </c>
      <c r="O10" s="268">
        <v>238</v>
      </c>
      <c r="P10" s="269">
        <v>40.25</v>
      </c>
      <c r="Q10" s="267">
        <v>3.45</v>
      </c>
      <c r="R10" s="267">
        <v>33.194475283255962</v>
      </c>
      <c r="S10" s="305">
        <v>42.757024753192283</v>
      </c>
      <c r="T10" s="306">
        <v>60</v>
      </c>
      <c r="U10" s="84">
        <f t="shared" ref="U10:U41" si="0">IF(AND(E10&gt;=1440,E10&lt;=2160),4,IF(AND(E10&gt;=2880,E10&lt;=4320),2,""))</f>
        <v>4</v>
      </c>
      <c r="V10" s="84">
        <f>IF(U10=4,1800,IF(U10=2,3600,""))</f>
        <v>1800</v>
      </c>
      <c r="W10" s="47">
        <f t="shared" ref="W10:W41" si="1">IFERROR(V10*X10^0.5/(Y10/D10)^0.75,"")</f>
        <v>1178.4241552820752</v>
      </c>
      <c r="X10" s="56">
        <f t="shared" ref="X10:X41" si="2">IFERROR(F10*V10/E10,"")</f>
        <v>966.85714285714289</v>
      </c>
      <c r="Y10" s="45">
        <f t="shared" ref="Y10:Y41" si="3">IFERROR(G10*(V10/E10)^2,"")</f>
        <v>172.00300408163264</v>
      </c>
      <c r="Z10" s="45">
        <f t="shared" ref="Z10:Z41" si="4">IFERROR(H10*(V10/E10)^3,"")</f>
        <v>56.955686064139933</v>
      </c>
      <c r="AA10" s="52">
        <f>IFERROR(X10*Y10*Assumptions!$B$15/3956,"")</f>
        <v>42.038001286454204</v>
      </c>
      <c r="AB10" s="56">
        <f>IF(X10="","",(X10*0.75))</f>
        <v>725.14285714285711</v>
      </c>
      <c r="AC10" s="45">
        <f>IFERROR((0.8*(AB10/X10)^2+0.2)*Y10,"")</f>
        <v>111.80195265306121</v>
      </c>
      <c r="AD10" s="45">
        <f t="shared" ref="AD10:AD41" si="5">IFERROR(K10*(AC10/J10)*(AB10/I10),"")</f>
        <v>28.878784212248679</v>
      </c>
      <c r="AE10" s="56">
        <f t="shared" ref="AE10:AE41" si="6">IF(X10="","",(X10*0.5))</f>
        <v>483.42857142857144</v>
      </c>
      <c r="AF10" s="45">
        <f t="shared" ref="AF10:AF41" si="7">IFERROR((0.8*(AE10/X10)^2+0.2)*Y10,"")</f>
        <v>68.801201632653061</v>
      </c>
      <c r="AG10" s="52">
        <f t="shared" ref="AG10:AG41" si="8">IFERROR(N10*(AF10/M10)*(AE10/L10),"")</f>
        <v>11.732986690343237</v>
      </c>
      <c r="AH10" s="56">
        <f t="shared" ref="AH10:AH41" si="9">IF(X10="","",(X10*0.25))</f>
        <v>241.71428571428572</v>
      </c>
      <c r="AI10" s="45">
        <f t="shared" ref="AI10:AI41" si="10">IFERROR((0.8*(AH10/X10)^2+0.2)*Y10,"")</f>
        <v>43.00075102040816</v>
      </c>
      <c r="AJ10" s="98">
        <f t="shared" ref="AJ10:AJ41" si="11">IFERROR(Q10*(AI10/P10)*(AH10/O10),"")</f>
        <v>3.7432998144330627</v>
      </c>
      <c r="AK10" s="94">
        <f t="shared" ref="AK10:AK41" si="12">IFERROR(R10*(V10/E10)^3,"")</f>
        <v>36.121782829518125</v>
      </c>
      <c r="AL10" s="96">
        <f t="shared" ref="AL10:AL41" si="13">IFERROR(S10*(V10/E10)^3,"")</f>
        <v>46.527620918599155</v>
      </c>
      <c r="AM10" s="244">
        <f>IFERROR(
IF(C10="VTS",
IF(T10&gt;=AVERAGE(
INDEX(Assumptions!$I$38:$I$57,MATCH(T10,Assumptions!$I$38:$I$57,-1)),
INDEX(Assumptions!$I$38:$I$57,MATCH(T10,Assumptions!$I$38:$I$57,-1)+1)),
INDEX(Assumptions!$I$38:$I$57,MATCH(T10,Assumptions!$I$38:$I$57,-1)),
INDEX(Assumptions!$I$38:$I$57,MATCH(T10,Assumptions!$I$38:$I$57,-1)+1)),
IF(T10&gt;=AVERAGE(
INDEX(Assumptions!$I$13:$I$32,MATCH(T10,Assumptions!$I$13:$I$32,-1)),
INDEX(Assumptions!$I$13:$I$32,MATCH(T10,Assumptions!$I$13:$I$32,-1)+1)),
INDEX(Assumptions!$I$13:$I$32,MATCH(T10,Assumptions!$I$13:$I$32,-1)),
INDEX(Assumptions!$I$13:$I$32,MATCH(T10,Assumptions!$I$13:$I$32,-1)+1))),
"")</f>
        <v>60</v>
      </c>
      <c r="AN10" s="95">
        <f>IFERROR(
IF(C10="VTS",
VLOOKUP(AM10,Assumptions!$I$38:$K$57,MATCH(U10,Assumptions!$I$37:$K$37,0),FALSE),
VLOOKUP(AM10,Assumptions!$I$13:$K$32,MATCH(U10,Assumptions!$I$12:$K$12,0),FALSE)),
"")</f>
        <v>95</v>
      </c>
      <c r="AO10" s="95">
        <f t="shared" ref="AO10:AO41" si="14">IFERROR(T10/(AN10/100)-T10,"")</f>
        <v>3.1578947368421098</v>
      </c>
      <c r="AP10" s="95">
        <f>IFERROR(AO10*
(Assumptions!$S$7*(AA10/(AS10*Assumptions!$AB$9/100)/T10)^3+
Assumptions!$S$8*(AA10/(AS10*Assumptions!$AB$9/100)/T10)^2+
Assumptions!$S$9*(AA10/(AS10*Assumptions!$AB$9/100)/T10)+
Assumptions!$S$10),"")</f>
        <v>2.9565320665308032</v>
      </c>
      <c r="AQ10" s="95">
        <f>IFERROR(AO10*
(Assumptions!$S$7*(AK10/(AS10*Assumptions!$AB$8/100)/T10)^3+
Assumptions!$S$8*(AK10/(AS10*Assumptions!$AB$8/100)/T10)^2+
Assumptions!$S$9*(AK10/(AS10*Assumptions!$AB$8/100)/T10)+
Assumptions!$S$10),"")</f>
        <v>2.769616642793757</v>
      </c>
      <c r="AR10" s="95">
        <f>IFERROR(AO10*
(Assumptions!$S$7*(AL10/(AS10*Assumptions!$AB$10/100)/T10)^3+
Assumptions!$S$8*(AL10/(AS10*Assumptions!$AB$10/100)/T10)^2+
Assumptions!$S$9*(AL10/(AS10*Assumptions!$AB$10/100)/T10)+
Assumptions!$S$10),"")</f>
        <v>3.2058213842684191</v>
      </c>
      <c r="AS10" s="95">
        <f>IFERROR(
Assumptions!$AD$8*LN(X10)^2+
Assumptions!$AE$8*LN(W10)*LN(X10)+
Assumptions!$AF$8*LN(W10)^2+
Assumptions!$AG$8*LN(X10)+
Assumptions!$AH$8*LN(W10)-
(IF(V10=1800,
VLOOKUP(C10,Assumptions!$AA$13:$AC$17,3),
IF(V10=3600,
VLOOKUP(C10,Assumptions!$AA$18:$AC$22,3),""))+Assumptions!$AI$8),
"")</f>
        <v>77.04362710133546</v>
      </c>
      <c r="AT10" s="96">
        <f>IFERROR(
Assumptions!$D$11*(AA10/(Assumptions!$AB$9*AS10/100)+AP10)+
Assumptions!$D$10*(AK10/(Assumptions!$AB$8*AS10/100)+AQ10)+
Assumptions!$D$12*(AL10/(Assumptions!$AB$10*AS10/100)+AR10),
"")</f>
        <v>58.105199837144248</v>
      </c>
      <c r="AU10" s="76">
        <f>IFERROR(
Z10*Assumptions!$F$11+
AD10*Assumptions!$F$10+
AG10*Assumptions!$F$9+
AJ10*Assumptions!$F$8,
"")</f>
        <v>25.327689195291228</v>
      </c>
      <c r="AV10" s="77">
        <f>IFERROR(AU10/AT10,"")</f>
        <v>0.4358936767497405</v>
      </c>
      <c r="AW10" s="68" t="str">
        <f>IF(AV10="","",IF(AV10&gt;1,"FAIL","PASS"))</f>
        <v>PASS</v>
      </c>
    </row>
    <row r="11" spans="1:49" x14ac:dyDescent="0.25">
      <c r="A11" s="264" t="s">
        <v>55</v>
      </c>
      <c r="B11" s="265" t="s">
        <v>84</v>
      </c>
      <c r="C11" s="265" t="s">
        <v>42</v>
      </c>
      <c r="D11" s="265">
        <v>9</v>
      </c>
      <c r="E11" s="266">
        <v>3450</v>
      </c>
      <c r="F11" s="268">
        <v>398.82512700000001</v>
      </c>
      <c r="G11" s="269">
        <v>382.44670789999998</v>
      </c>
      <c r="H11" s="305">
        <v>57.25</v>
      </c>
      <c r="I11" s="268">
        <v>299.11884529999998</v>
      </c>
      <c r="J11" s="269">
        <v>248.59</v>
      </c>
      <c r="K11" s="267">
        <v>27.77</v>
      </c>
      <c r="L11" s="316">
        <v>212</v>
      </c>
      <c r="M11" s="269">
        <v>153.02000000000001</v>
      </c>
      <c r="N11" s="305">
        <v>11.65</v>
      </c>
      <c r="O11" s="268">
        <v>98</v>
      </c>
      <c r="P11" s="269">
        <v>95.22</v>
      </c>
      <c r="Q11" s="267">
        <v>3.55</v>
      </c>
      <c r="R11" s="267">
        <v>34.967288430389829</v>
      </c>
      <c r="S11" s="305">
        <v>44.14322730353306</v>
      </c>
      <c r="T11" s="306">
        <v>75</v>
      </c>
      <c r="U11" s="84">
        <f t="shared" si="0"/>
        <v>2</v>
      </c>
      <c r="V11" s="84">
        <f t="shared" ref="V11:V74" si="15">IF(U11=4,1800,IF(U11=2,3600,""))</f>
        <v>3600</v>
      </c>
      <c r="W11" s="93">
        <f t="shared" si="1"/>
        <v>4139.6539483994293</v>
      </c>
      <c r="X11" s="100">
        <f t="shared" si="2"/>
        <v>416.16534991304349</v>
      </c>
      <c r="Y11" s="95">
        <f t="shared" si="3"/>
        <v>416.42590501020788</v>
      </c>
      <c r="Z11" s="95">
        <f t="shared" si="4"/>
        <v>65.046765842031718</v>
      </c>
      <c r="AA11" s="98">
        <f>IFERROR(X11*Y11*Assumptions!$B$15/3956,"")</f>
        <v>43.80738940127123</v>
      </c>
      <c r="AB11" s="100">
        <f t="shared" ref="AB11:AB74" si="16">IF(X11="","",(X11*0.75))</f>
        <v>312.12401243478263</v>
      </c>
      <c r="AC11" s="95">
        <f t="shared" ref="AC11:AC74" si="17">IFERROR((0.8*(AB11/X11)^2+0.2)*Y11,"")</f>
        <v>270.67683825663511</v>
      </c>
      <c r="AD11" s="95">
        <f t="shared" si="5"/>
        <v>31.551987842934473</v>
      </c>
      <c r="AE11" s="100">
        <f t="shared" si="6"/>
        <v>208.08267495652174</v>
      </c>
      <c r="AF11" s="95">
        <f t="shared" si="7"/>
        <v>166.57036200408317</v>
      </c>
      <c r="AG11" s="98">
        <f t="shared" si="8"/>
        <v>12.447310366952571</v>
      </c>
      <c r="AH11" s="100">
        <f t="shared" si="9"/>
        <v>104.04133747826087</v>
      </c>
      <c r="AI11" s="95">
        <f t="shared" si="10"/>
        <v>104.10647625255197</v>
      </c>
      <c r="AJ11" s="98">
        <f t="shared" si="11"/>
        <v>4.120574529296098</v>
      </c>
      <c r="AK11" s="94">
        <f t="shared" si="12"/>
        <v>39.729415243010514</v>
      </c>
      <c r="AL11" s="96">
        <f t="shared" si="13"/>
        <v>50.155007334925699</v>
      </c>
      <c r="AM11" s="244">
        <f>IFERROR(
IF(C11="VTS",
IF(T11&gt;=AVERAGE(
INDEX(Assumptions!$I$38:$I$57,MATCH(T11,Assumptions!$I$38:$I$57,-1)),
INDEX(Assumptions!$I$38:$I$57,MATCH(T11,Assumptions!$I$38:$I$57,-1)+1)),
INDEX(Assumptions!$I$38:$I$57,MATCH(T11,Assumptions!$I$38:$I$57,-1)),
INDEX(Assumptions!$I$38:$I$57,MATCH(T11,Assumptions!$I$38:$I$57,-1)+1)),
IF(T11&gt;=AVERAGE(
INDEX(Assumptions!$I$13:$I$32,MATCH(T11,Assumptions!$I$13:$I$32,-1)),
INDEX(Assumptions!$I$13:$I$32,MATCH(T11,Assumptions!$I$13:$I$32,-1)+1)),
INDEX(Assumptions!$I$13:$I$32,MATCH(T11,Assumptions!$I$13:$I$32,-1)),
INDEX(Assumptions!$I$13:$I$32,MATCH(T11,Assumptions!$I$13:$I$32,-1)+1))),
"")</f>
        <v>75</v>
      </c>
      <c r="AN11" s="95">
        <f>IFERROR(
IF(C11="VTS",
VLOOKUP(AM11,Assumptions!$I$38:$K$57,MATCH(U11,Assumptions!$I$37:$K$37,0),FALSE),
VLOOKUP(AM11,Assumptions!$I$13:$K$32,MATCH(U11,Assumptions!$I$12:$K$12,0),FALSE)),
"")</f>
        <v>82.5</v>
      </c>
      <c r="AO11" s="95">
        <f t="shared" si="14"/>
        <v>15.909090909090921</v>
      </c>
      <c r="AP11" s="95">
        <f>IFERROR(AO11*
(Assumptions!$S$7*(AA11/(AS11*Assumptions!$AB$9/100)/T11)^3+
Assumptions!$S$8*(AA11/(AS11*Assumptions!$AB$9/100)/T11)^2+
Assumptions!$S$9*(AA11/(AS11*Assumptions!$AB$9/100)/T11)+
Assumptions!$S$10),"")</f>
        <v>14.219513706326127</v>
      </c>
      <c r="AQ11" s="95">
        <f>IFERROR(AO11*
(Assumptions!$S$7*(AK11/(AS11*Assumptions!$AB$8/100)/T11)^3+
Assumptions!$S$8*(AK11/(AS11*Assumptions!$AB$8/100)/T11)^2+
Assumptions!$S$9*(AK11/(AS11*Assumptions!$AB$8/100)/T11)+
Assumptions!$S$10),"")</f>
        <v>13.821149346195366</v>
      </c>
      <c r="AR11" s="95">
        <f>IFERROR(AO11*
(Assumptions!$S$7*(AL11/(AS11*Assumptions!$AB$10/100)/T11)^3+
Assumptions!$S$8*(AL11/(AS11*Assumptions!$AB$10/100)/T11)^2+
Assumptions!$S$9*(AL11/(AS11*Assumptions!$AB$10/100)/T11)+
Assumptions!$S$10),"")</f>
        <v>15.764506110104536</v>
      </c>
      <c r="AS11" s="95">
        <f>IFERROR(
Assumptions!$AD$8*LN(X11)^2+
Assumptions!$AE$8*LN(W11)*LN(X11)+
Assumptions!$AF$8*LN(W11)^2+
Assumptions!$AG$8*LN(X11)+
Assumptions!$AH$8*LN(W11)-
(IF(V11=1800,
VLOOKUP(C11,Assumptions!$AA$13:$AC$17,3),
IF(V11=3600,
VLOOKUP(C11,Assumptions!$AA$18:$AC$22,3),""))+Assumptions!$AI$8),
"")</f>
        <v>68.786460281667814</v>
      </c>
      <c r="AT11" s="96">
        <f>IFERROR(
Assumptions!$D$11*(AA11/(Assumptions!$AB$9*AS11/100)+AP11)+
Assumptions!$D$10*(AK11/(Assumptions!$AB$8*AS11/100)+AQ11)+
Assumptions!$D$12*(AL11/(Assumptions!$AB$10*AS11/100)+AR11),
"")</f>
        <v>80.835251192007917</v>
      </c>
      <c r="AU11" s="76">
        <f>IFERROR(
Z11*Assumptions!$F$11+
AD11*Assumptions!$F$10+
AG11*Assumptions!$F$9+
AJ11*Assumptions!$F$8,
"")</f>
        <v>28.291659645303714</v>
      </c>
      <c r="AV11" s="77">
        <f t="shared" ref="AV11:AV74" si="18">IFERROR(AU11/AT11,"")</f>
        <v>0.34999160920651506</v>
      </c>
      <c r="AW11" s="68" t="str">
        <f t="shared" ref="AW11:AW74" si="19">IF(AV11="","",IF(AV11&gt;1,"FAIL","PASS"))</f>
        <v>PASS</v>
      </c>
    </row>
    <row r="12" spans="1:49" x14ac:dyDescent="0.25">
      <c r="A12" s="264"/>
      <c r="B12" s="265"/>
      <c r="C12" s="265"/>
      <c r="D12" s="265"/>
      <c r="E12" s="266"/>
      <c r="F12" s="270"/>
      <c r="G12" s="271"/>
      <c r="H12" s="309"/>
      <c r="I12" s="270"/>
      <c r="J12" s="271"/>
      <c r="K12" s="307"/>
      <c r="L12" s="308"/>
      <c r="M12" s="271"/>
      <c r="N12" s="309"/>
      <c r="O12" s="270"/>
      <c r="P12" s="271"/>
      <c r="Q12" s="307"/>
      <c r="R12" s="307"/>
      <c r="S12" s="317"/>
      <c r="T12" s="306"/>
      <c r="U12" s="84" t="str">
        <f t="shared" si="0"/>
        <v/>
      </c>
      <c r="V12" s="84" t="str">
        <f t="shared" si="15"/>
        <v/>
      </c>
      <c r="W12" s="93" t="str">
        <f t="shared" si="1"/>
        <v/>
      </c>
      <c r="X12" s="100" t="str">
        <f t="shared" si="2"/>
        <v/>
      </c>
      <c r="Y12" s="95" t="str">
        <f t="shared" si="3"/>
        <v/>
      </c>
      <c r="Z12" s="95" t="str">
        <f t="shared" si="4"/>
        <v/>
      </c>
      <c r="AA12" s="98" t="str">
        <f>IFERROR(X12*Y12*Assumptions!$B$15/3956,"")</f>
        <v/>
      </c>
      <c r="AB12" s="100" t="str">
        <f t="shared" si="16"/>
        <v/>
      </c>
      <c r="AC12" s="95" t="str">
        <f t="shared" si="17"/>
        <v/>
      </c>
      <c r="AD12" s="95" t="str">
        <f t="shared" si="5"/>
        <v/>
      </c>
      <c r="AE12" s="100" t="str">
        <f t="shared" si="6"/>
        <v/>
      </c>
      <c r="AF12" s="95" t="str">
        <f t="shared" si="7"/>
        <v/>
      </c>
      <c r="AG12" s="98" t="str">
        <f t="shared" si="8"/>
        <v/>
      </c>
      <c r="AH12" s="100" t="str">
        <f t="shared" si="9"/>
        <v/>
      </c>
      <c r="AI12" s="95" t="str">
        <f t="shared" si="10"/>
        <v/>
      </c>
      <c r="AJ12" s="98" t="str">
        <f t="shared" si="11"/>
        <v/>
      </c>
      <c r="AK12" s="94" t="str">
        <f t="shared" si="12"/>
        <v/>
      </c>
      <c r="AL12" s="96" t="str">
        <f t="shared" si="13"/>
        <v/>
      </c>
      <c r="AM12" s="244" t="str">
        <f>IFERROR(
IF(C12="VTS",
IF(T12&gt;=AVERAGE(
INDEX(Assumptions!$I$38:$I$57,MATCH(T12,Assumptions!$I$38:$I$57,-1)),
INDEX(Assumptions!$I$38:$I$57,MATCH(T12,Assumptions!$I$38:$I$57,-1)+1)),
INDEX(Assumptions!$I$38:$I$57,MATCH(T12,Assumptions!$I$38:$I$57,-1)),
INDEX(Assumptions!$I$38:$I$57,MATCH(T12,Assumptions!$I$38:$I$57,-1)+1)),
IF(T12&gt;=AVERAGE(
INDEX(Assumptions!$I$13:$I$32,MATCH(T12,Assumptions!$I$13:$I$32,-1)),
INDEX(Assumptions!$I$13:$I$32,MATCH(T12,Assumptions!$I$13:$I$32,-1)+1)),
INDEX(Assumptions!$I$13:$I$32,MATCH(T12,Assumptions!$I$13:$I$32,-1)),
INDEX(Assumptions!$I$13:$I$32,MATCH(T12,Assumptions!$I$13:$I$32,-1)+1))),
"")</f>
        <v/>
      </c>
      <c r="AN12" s="95" t="str">
        <f>IFERROR(
IF(C12="VTS",
VLOOKUP(AM12,Assumptions!$I$38:$K$57,MATCH(U12,Assumptions!$I$37:$K$37,0),FALSE),
VLOOKUP(AM12,Assumptions!$I$13:$K$32,MATCH(U12,Assumptions!$I$12:$K$12,0),FALSE)),
"")</f>
        <v/>
      </c>
      <c r="AO12" s="95" t="str">
        <f t="shared" si="14"/>
        <v/>
      </c>
      <c r="AP12" s="95" t="str">
        <f>IFERROR(AO12*
(Assumptions!$S$7*(AA12/(AS12*Assumptions!$AB$9/100)/T12)^3+
Assumptions!$S$8*(AA12/(AS12*Assumptions!$AB$9/100)/T12)^2+
Assumptions!$S$9*(AA12/(AS12*Assumptions!$AB$9/100)/T12)+
Assumptions!$S$10),"")</f>
        <v/>
      </c>
      <c r="AQ12" s="95" t="str">
        <f>IFERROR(AO12*
(Assumptions!$S$7*(AK12/(AS12*Assumptions!$AB$8/100)/T12)^3+
Assumptions!$S$8*(AK12/(AS12*Assumptions!$AB$8/100)/T12)^2+
Assumptions!$S$9*(AK12/(AS12*Assumptions!$AB$8/100)/T12)+
Assumptions!$S$10),"")</f>
        <v/>
      </c>
      <c r="AR12" s="95" t="str">
        <f>IFERROR(AO12*
(Assumptions!$S$7*(AL12/(AS12*Assumptions!$AB$10/100)/T12)^3+
Assumptions!$S$8*(AL12/(AS12*Assumptions!$AB$10/100)/T12)^2+
Assumptions!$S$9*(AL12/(AS12*Assumptions!$AB$10/100)/T12)+
Assumptions!$S$10),"")</f>
        <v/>
      </c>
      <c r="AS12" s="95" t="str">
        <f>IFERROR(
Assumptions!$AD$8*LN(X12)^2+
Assumptions!$AE$8*LN(W12)*LN(X12)+
Assumptions!$AF$8*LN(W12)^2+
Assumptions!$AG$8*LN(X12)+
Assumptions!$AH$8*LN(W12)-
(IF(V12=1800,
VLOOKUP(C12,Assumptions!$AA$13:$AC$17,3),
IF(V12=3600,
VLOOKUP(C12,Assumptions!$AA$18:$AC$22,3),""))+Assumptions!$AI$8),
"")</f>
        <v/>
      </c>
      <c r="AT12" s="96" t="str">
        <f>IFERROR(
Assumptions!$D$11*(AA12/(Assumptions!$AB$9*AS12/100)+AP12)+
Assumptions!$D$10*(AK12/(Assumptions!$AB$8*AS12/100)+AQ12)+
Assumptions!$D$12*(AL12/(Assumptions!$AB$10*AS12/100)+AR12),
"")</f>
        <v/>
      </c>
      <c r="AU12" s="76" t="str">
        <f>IFERROR(
Z12*Assumptions!$F$11+
AD12*Assumptions!$F$10+
AG12*Assumptions!$F$9+
AJ12*Assumptions!$F$8,
"")</f>
        <v/>
      </c>
      <c r="AV12" s="77" t="str">
        <f t="shared" si="18"/>
        <v/>
      </c>
      <c r="AW12" s="68" t="str">
        <f t="shared" si="19"/>
        <v/>
      </c>
    </row>
    <row r="13" spans="1:49" x14ac:dyDescent="0.25">
      <c r="A13" s="264"/>
      <c r="B13" s="265"/>
      <c r="C13" s="265"/>
      <c r="D13" s="265"/>
      <c r="E13" s="266"/>
      <c r="F13" s="270"/>
      <c r="G13" s="271"/>
      <c r="H13" s="310"/>
      <c r="I13" s="270"/>
      <c r="J13" s="271"/>
      <c r="K13" s="272"/>
      <c r="L13" s="308"/>
      <c r="M13" s="271"/>
      <c r="N13" s="310"/>
      <c r="O13" s="270"/>
      <c r="P13" s="271"/>
      <c r="Q13" s="272"/>
      <c r="R13" s="272"/>
      <c r="S13" s="318"/>
      <c r="T13" s="306"/>
      <c r="U13" s="84" t="str">
        <f t="shared" si="0"/>
        <v/>
      </c>
      <c r="V13" s="84" t="str">
        <f t="shared" si="15"/>
        <v/>
      </c>
      <c r="W13" s="93" t="str">
        <f t="shared" si="1"/>
        <v/>
      </c>
      <c r="X13" s="100" t="str">
        <f t="shared" si="2"/>
        <v/>
      </c>
      <c r="Y13" s="95" t="str">
        <f t="shared" si="3"/>
        <v/>
      </c>
      <c r="Z13" s="95" t="str">
        <f t="shared" si="4"/>
        <v/>
      </c>
      <c r="AA13" s="98" t="str">
        <f>IFERROR(X13*Y13*Assumptions!$B$15/3956,"")</f>
        <v/>
      </c>
      <c r="AB13" s="100" t="str">
        <f t="shared" si="16"/>
        <v/>
      </c>
      <c r="AC13" s="95" t="str">
        <f t="shared" si="17"/>
        <v/>
      </c>
      <c r="AD13" s="95" t="str">
        <f t="shared" si="5"/>
        <v/>
      </c>
      <c r="AE13" s="100" t="str">
        <f t="shared" si="6"/>
        <v/>
      </c>
      <c r="AF13" s="95" t="str">
        <f t="shared" si="7"/>
        <v/>
      </c>
      <c r="AG13" s="98" t="str">
        <f t="shared" si="8"/>
        <v/>
      </c>
      <c r="AH13" s="100" t="str">
        <f t="shared" si="9"/>
        <v/>
      </c>
      <c r="AI13" s="95" t="str">
        <f t="shared" si="10"/>
        <v/>
      </c>
      <c r="AJ13" s="98" t="str">
        <f t="shared" si="11"/>
        <v/>
      </c>
      <c r="AK13" s="94" t="str">
        <f t="shared" si="12"/>
        <v/>
      </c>
      <c r="AL13" s="96" t="str">
        <f t="shared" si="13"/>
        <v/>
      </c>
      <c r="AM13" s="244" t="str">
        <f>IFERROR(
IF(C13="VTS",
IF(T13&gt;=AVERAGE(
INDEX(Assumptions!$I$38:$I$57,MATCH(T13,Assumptions!$I$38:$I$57,-1)),
INDEX(Assumptions!$I$38:$I$57,MATCH(T13,Assumptions!$I$38:$I$57,-1)+1)),
INDEX(Assumptions!$I$38:$I$57,MATCH(T13,Assumptions!$I$38:$I$57,-1)),
INDEX(Assumptions!$I$38:$I$57,MATCH(T13,Assumptions!$I$38:$I$57,-1)+1)),
IF(T13&gt;=AVERAGE(
INDEX(Assumptions!$I$13:$I$32,MATCH(T13,Assumptions!$I$13:$I$32,-1)),
INDEX(Assumptions!$I$13:$I$32,MATCH(T13,Assumptions!$I$13:$I$32,-1)+1)),
INDEX(Assumptions!$I$13:$I$32,MATCH(T13,Assumptions!$I$13:$I$32,-1)),
INDEX(Assumptions!$I$13:$I$32,MATCH(T13,Assumptions!$I$13:$I$32,-1)+1))),
"")</f>
        <v/>
      </c>
      <c r="AN13" s="95" t="str">
        <f>IFERROR(
IF(C13="VTS",
VLOOKUP(AM13,Assumptions!$I$38:$K$57,MATCH(U13,Assumptions!$I$37:$K$37,0),FALSE),
VLOOKUP(AM13,Assumptions!$I$13:$K$32,MATCH(U13,Assumptions!$I$12:$K$12,0),FALSE)),
"")</f>
        <v/>
      </c>
      <c r="AO13" s="95" t="str">
        <f t="shared" si="14"/>
        <v/>
      </c>
      <c r="AP13" s="95" t="str">
        <f>IFERROR(AO13*
(Assumptions!$S$7*(AA13/(AS13*Assumptions!$AB$9/100)/T13)^3+
Assumptions!$S$8*(AA13/(AS13*Assumptions!$AB$9/100)/T13)^2+
Assumptions!$S$9*(AA13/(AS13*Assumptions!$AB$9/100)/T13)+
Assumptions!$S$10),"")</f>
        <v/>
      </c>
      <c r="AQ13" s="95" t="str">
        <f>IFERROR(AO13*
(Assumptions!$S$7*(AK13/(AS13*Assumptions!$AB$8/100)/T13)^3+
Assumptions!$S$8*(AK13/(AS13*Assumptions!$AB$8/100)/T13)^2+
Assumptions!$S$9*(AK13/(AS13*Assumptions!$AB$8/100)/T13)+
Assumptions!$S$10),"")</f>
        <v/>
      </c>
      <c r="AR13" s="95" t="str">
        <f>IFERROR(AO13*
(Assumptions!$S$7*(AL13/(AS13*Assumptions!$AB$10/100)/T13)^3+
Assumptions!$S$8*(AL13/(AS13*Assumptions!$AB$10/100)/T13)^2+
Assumptions!$S$9*(AL13/(AS13*Assumptions!$AB$10/100)/T13)+
Assumptions!$S$10),"")</f>
        <v/>
      </c>
      <c r="AS13" s="95" t="str">
        <f>IFERROR(
Assumptions!$AD$8*LN(X13)^2+
Assumptions!$AE$8*LN(W13)*LN(X13)+
Assumptions!$AF$8*LN(W13)^2+
Assumptions!$AG$8*LN(X13)+
Assumptions!$AH$8*LN(W13)-
(IF(V13=1800,
VLOOKUP(C13,Assumptions!$AA$13:$AC$17,3),
IF(V13=3600,
VLOOKUP(C13,Assumptions!$AA$18:$AC$22,3),""))+Assumptions!$AI$8),
"")</f>
        <v/>
      </c>
      <c r="AT13" s="96" t="str">
        <f>IFERROR(
Assumptions!$D$11*(AA13/(Assumptions!$AB$9*AS13/100)+AP13)+
Assumptions!$D$10*(AK13/(Assumptions!$AB$8*AS13/100)+AQ13)+
Assumptions!$D$12*(AL13/(Assumptions!$AB$10*AS13/100)+AR13),
"")</f>
        <v/>
      </c>
      <c r="AU13" s="76" t="str">
        <f>IFERROR(
Z13*Assumptions!$F$11+
AD13*Assumptions!$F$10+
AG13*Assumptions!$F$9+
AJ13*Assumptions!$F$8,
"")</f>
        <v/>
      </c>
      <c r="AV13" s="77" t="str">
        <f t="shared" si="18"/>
        <v/>
      </c>
      <c r="AW13" s="68" t="str">
        <f t="shared" si="19"/>
        <v/>
      </c>
    </row>
    <row r="14" spans="1:49" x14ac:dyDescent="0.25">
      <c r="A14" s="264"/>
      <c r="B14" s="265"/>
      <c r="C14" s="265"/>
      <c r="D14" s="265"/>
      <c r="E14" s="266"/>
      <c r="F14" s="270"/>
      <c r="G14" s="271"/>
      <c r="H14" s="310"/>
      <c r="I14" s="270"/>
      <c r="J14" s="271"/>
      <c r="K14" s="272"/>
      <c r="L14" s="308"/>
      <c r="M14" s="271"/>
      <c r="N14" s="310"/>
      <c r="O14" s="270"/>
      <c r="P14" s="271"/>
      <c r="Q14" s="272"/>
      <c r="R14" s="272"/>
      <c r="S14" s="318"/>
      <c r="T14" s="306"/>
      <c r="U14" s="84" t="str">
        <f t="shared" si="0"/>
        <v/>
      </c>
      <c r="V14" s="84" t="str">
        <f t="shared" si="15"/>
        <v/>
      </c>
      <c r="W14" s="93" t="str">
        <f t="shared" si="1"/>
        <v/>
      </c>
      <c r="X14" s="100" t="str">
        <f t="shared" si="2"/>
        <v/>
      </c>
      <c r="Y14" s="95" t="str">
        <f t="shared" si="3"/>
        <v/>
      </c>
      <c r="Z14" s="95" t="str">
        <f t="shared" si="4"/>
        <v/>
      </c>
      <c r="AA14" s="98" t="str">
        <f>IFERROR(X14*Y14*Assumptions!$B$15/3956,"")</f>
        <v/>
      </c>
      <c r="AB14" s="100" t="str">
        <f t="shared" si="16"/>
        <v/>
      </c>
      <c r="AC14" s="95" t="str">
        <f t="shared" si="17"/>
        <v/>
      </c>
      <c r="AD14" s="95" t="str">
        <f t="shared" si="5"/>
        <v/>
      </c>
      <c r="AE14" s="100" t="str">
        <f t="shared" si="6"/>
        <v/>
      </c>
      <c r="AF14" s="95" t="str">
        <f t="shared" si="7"/>
        <v/>
      </c>
      <c r="AG14" s="98" t="str">
        <f t="shared" si="8"/>
        <v/>
      </c>
      <c r="AH14" s="100" t="str">
        <f t="shared" si="9"/>
        <v/>
      </c>
      <c r="AI14" s="95" t="str">
        <f t="shared" si="10"/>
        <v/>
      </c>
      <c r="AJ14" s="98" t="str">
        <f t="shared" si="11"/>
        <v/>
      </c>
      <c r="AK14" s="94" t="str">
        <f t="shared" si="12"/>
        <v/>
      </c>
      <c r="AL14" s="96" t="str">
        <f t="shared" si="13"/>
        <v/>
      </c>
      <c r="AM14" s="244" t="str">
        <f>IFERROR(
IF(C14="VTS",
IF(T14&gt;=AVERAGE(
INDEX(Assumptions!$I$38:$I$57,MATCH(T14,Assumptions!$I$38:$I$57,-1)),
INDEX(Assumptions!$I$38:$I$57,MATCH(T14,Assumptions!$I$38:$I$57,-1)+1)),
INDEX(Assumptions!$I$38:$I$57,MATCH(T14,Assumptions!$I$38:$I$57,-1)),
INDEX(Assumptions!$I$38:$I$57,MATCH(T14,Assumptions!$I$38:$I$57,-1)+1)),
IF(T14&gt;=AVERAGE(
INDEX(Assumptions!$I$13:$I$32,MATCH(T14,Assumptions!$I$13:$I$32,-1)),
INDEX(Assumptions!$I$13:$I$32,MATCH(T14,Assumptions!$I$13:$I$32,-1)+1)),
INDEX(Assumptions!$I$13:$I$32,MATCH(T14,Assumptions!$I$13:$I$32,-1)),
INDEX(Assumptions!$I$13:$I$32,MATCH(T14,Assumptions!$I$13:$I$32,-1)+1))),
"")</f>
        <v/>
      </c>
      <c r="AN14" s="95" t="str">
        <f>IFERROR(
IF(C14="VTS",
VLOOKUP(AM14,Assumptions!$I$38:$K$57,MATCH(U14,Assumptions!$I$37:$K$37,0),FALSE),
VLOOKUP(AM14,Assumptions!$I$13:$K$32,MATCH(U14,Assumptions!$I$12:$K$12,0),FALSE)),
"")</f>
        <v/>
      </c>
      <c r="AO14" s="95" t="str">
        <f t="shared" si="14"/>
        <v/>
      </c>
      <c r="AP14" s="95" t="str">
        <f>IFERROR(AO14*
(Assumptions!$S$7*(AA14/(AS14*Assumptions!$AB$9/100)/T14)^3+
Assumptions!$S$8*(AA14/(AS14*Assumptions!$AB$9/100)/T14)^2+
Assumptions!$S$9*(AA14/(AS14*Assumptions!$AB$9/100)/T14)+
Assumptions!$S$10),"")</f>
        <v/>
      </c>
      <c r="AQ14" s="95" t="str">
        <f>IFERROR(AO14*
(Assumptions!$S$7*(AK14/(AS14*Assumptions!$AB$8/100)/T14)^3+
Assumptions!$S$8*(AK14/(AS14*Assumptions!$AB$8/100)/T14)^2+
Assumptions!$S$9*(AK14/(AS14*Assumptions!$AB$8/100)/T14)+
Assumptions!$S$10),"")</f>
        <v/>
      </c>
      <c r="AR14" s="95" t="str">
        <f>IFERROR(AO14*
(Assumptions!$S$7*(AL14/(AS14*Assumptions!$AB$10/100)/T14)^3+
Assumptions!$S$8*(AL14/(AS14*Assumptions!$AB$10/100)/T14)^2+
Assumptions!$S$9*(AL14/(AS14*Assumptions!$AB$10/100)/T14)+
Assumptions!$S$10),"")</f>
        <v/>
      </c>
      <c r="AS14" s="95" t="str">
        <f>IFERROR(
Assumptions!$AD$8*LN(X14)^2+
Assumptions!$AE$8*LN(W14)*LN(X14)+
Assumptions!$AF$8*LN(W14)^2+
Assumptions!$AG$8*LN(X14)+
Assumptions!$AH$8*LN(W14)-
(IF(V14=1800,
VLOOKUP(C14,Assumptions!$AA$13:$AC$17,3),
IF(V14=3600,
VLOOKUP(C14,Assumptions!$AA$18:$AC$22,3),""))+Assumptions!$AI$8),
"")</f>
        <v/>
      </c>
      <c r="AT14" s="96" t="str">
        <f>IFERROR(
Assumptions!$D$11*(AA14/(Assumptions!$AB$9*AS14/100)+AP14)+
Assumptions!$D$10*(AK14/(Assumptions!$AB$8*AS14/100)+AQ14)+
Assumptions!$D$12*(AL14/(Assumptions!$AB$10*AS14/100)+AR14),
"")</f>
        <v/>
      </c>
      <c r="AU14" s="76" t="str">
        <f>IFERROR(
Z14*Assumptions!$F$11+
AD14*Assumptions!$F$10+
AG14*Assumptions!$F$9+
AJ14*Assumptions!$F$8,
"")</f>
        <v/>
      </c>
      <c r="AV14" s="77" t="str">
        <f t="shared" si="18"/>
        <v/>
      </c>
      <c r="AW14" s="68" t="str">
        <f t="shared" si="19"/>
        <v/>
      </c>
    </row>
    <row r="15" spans="1:49" x14ac:dyDescent="0.25">
      <c r="A15" s="264"/>
      <c r="B15" s="265"/>
      <c r="C15" s="265"/>
      <c r="D15" s="265"/>
      <c r="E15" s="266"/>
      <c r="F15" s="270"/>
      <c r="G15" s="271"/>
      <c r="H15" s="310"/>
      <c r="I15" s="270"/>
      <c r="J15" s="271"/>
      <c r="K15" s="272"/>
      <c r="L15" s="308"/>
      <c r="M15" s="271"/>
      <c r="N15" s="310"/>
      <c r="O15" s="270"/>
      <c r="P15" s="271"/>
      <c r="Q15" s="272"/>
      <c r="R15" s="272"/>
      <c r="S15" s="318"/>
      <c r="T15" s="306"/>
      <c r="U15" s="84" t="str">
        <f t="shared" si="0"/>
        <v/>
      </c>
      <c r="V15" s="84" t="str">
        <f t="shared" si="15"/>
        <v/>
      </c>
      <c r="W15" s="93" t="str">
        <f t="shared" si="1"/>
        <v/>
      </c>
      <c r="X15" s="100" t="str">
        <f t="shared" si="2"/>
        <v/>
      </c>
      <c r="Y15" s="95" t="str">
        <f t="shared" si="3"/>
        <v/>
      </c>
      <c r="Z15" s="95" t="str">
        <f t="shared" si="4"/>
        <v/>
      </c>
      <c r="AA15" s="98" t="str">
        <f>IFERROR(X15*Y15*Assumptions!$B$15/3956,"")</f>
        <v/>
      </c>
      <c r="AB15" s="100" t="str">
        <f t="shared" si="16"/>
        <v/>
      </c>
      <c r="AC15" s="95" t="str">
        <f t="shared" si="17"/>
        <v/>
      </c>
      <c r="AD15" s="95" t="str">
        <f t="shared" si="5"/>
        <v/>
      </c>
      <c r="AE15" s="100" t="str">
        <f t="shared" si="6"/>
        <v/>
      </c>
      <c r="AF15" s="95" t="str">
        <f t="shared" si="7"/>
        <v/>
      </c>
      <c r="AG15" s="98" t="str">
        <f t="shared" si="8"/>
        <v/>
      </c>
      <c r="AH15" s="100" t="str">
        <f t="shared" si="9"/>
        <v/>
      </c>
      <c r="AI15" s="95" t="str">
        <f t="shared" si="10"/>
        <v/>
      </c>
      <c r="AJ15" s="98" t="str">
        <f t="shared" si="11"/>
        <v/>
      </c>
      <c r="AK15" s="94" t="str">
        <f t="shared" si="12"/>
        <v/>
      </c>
      <c r="AL15" s="96" t="str">
        <f t="shared" si="13"/>
        <v/>
      </c>
      <c r="AM15" s="244" t="str">
        <f>IFERROR(
IF(C15="VTS",
IF(T15&gt;=AVERAGE(
INDEX(Assumptions!$I$38:$I$57,MATCH(T15,Assumptions!$I$38:$I$57,-1)),
INDEX(Assumptions!$I$38:$I$57,MATCH(T15,Assumptions!$I$38:$I$57,-1)+1)),
INDEX(Assumptions!$I$38:$I$57,MATCH(T15,Assumptions!$I$38:$I$57,-1)),
INDEX(Assumptions!$I$38:$I$57,MATCH(T15,Assumptions!$I$38:$I$57,-1)+1)),
IF(T15&gt;=AVERAGE(
INDEX(Assumptions!$I$13:$I$32,MATCH(T15,Assumptions!$I$13:$I$32,-1)),
INDEX(Assumptions!$I$13:$I$32,MATCH(T15,Assumptions!$I$13:$I$32,-1)+1)),
INDEX(Assumptions!$I$13:$I$32,MATCH(T15,Assumptions!$I$13:$I$32,-1)),
INDEX(Assumptions!$I$13:$I$32,MATCH(T15,Assumptions!$I$13:$I$32,-1)+1))),
"")</f>
        <v/>
      </c>
      <c r="AN15" s="95" t="str">
        <f>IFERROR(
IF(C15="VTS",
VLOOKUP(AM15,Assumptions!$I$38:$K$57,MATCH(U15,Assumptions!$I$37:$K$37,0),FALSE),
VLOOKUP(AM15,Assumptions!$I$13:$K$32,MATCH(U15,Assumptions!$I$12:$K$12,0),FALSE)),
"")</f>
        <v/>
      </c>
      <c r="AO15" s="95" t="str">
        <f t="shared" si="14"/>
        <v/>
      </c>
      <c r="AP15" s="95" t="str">
        <f>IFERROR(AO15*
(Assumptions!$S$7*(AA15/(AS15*Assumptions!$AB$9/100)/T15)^3+
Assumptions!$S$8*(AA15/(AS15*Assumptions!$AB$9/100)/T15)^2+
Assumptions!$S$9*(AA15/(AS15*Assumptions!$AB$9/100)/T15)+
Assumptions!$S$10),"")</f>
        <v/>
      </c>
      <c r="AQ15" s="95" t="str">
        <f>IFERROR(AO15*
(Assumptions!$S$7*(AK15/(AS15*Assumptions!$AB$8/100)/T15)^3+
Assumptions!$S$8*(AK15/(AS15*Assumptions!$AB$8/100)/T15)^2+
Assumptions!$S$9*(AK15/(AS15*Assumptions!$AB$8/100)/T15)+
Assumptions!$S$10),"")</f>
        <v/>
      </c>
      <c r="AR15" s="95" t="str">
        <f>IFERROR(AO15*
(Assumptions!$S$7*(AL15/(AS15*Assumptions!$AB$10/100)/T15)^3+
Assumptions!$S$8*(AL15/(AS15*Assumptions!$AB$10/100)/T15)^2+
Assumptions!$S$9*(AL15/(AS15*Assumptions!$AB$10/100)/T15)+
Assumptions!$S$10),"")</f>
        <v/>
      </c>
      <c r="AS15" s="95" t="str">
        <f>IFERROR(
Assumptions!$AD$8*LN(X15)^2+
Assumptions!$AE$8*LN(W15)*LN(X15)+
Assumptions!$AF$8*LN(W15)^2+
Assumptions!$AG$8*LN(X15)+
Assumptions!$AH$8*LN(W15)-
(IF(V15=1800,
VLOOKUP(C15,Assumptions!$AA$13:$AC$17,3),
IF(V15=3600,
VLOOKUP(C15,Assumptions!$AA$18:$AC$22,3),""))+Assumptions!$AI$8),
"")</f>
        <v/>
      </c>
      <c r="AT15" s="96" t="str">
        <f>IFERROR(
Assumptions!$D$11*(AA15/(Assumptions!$AB$9*AS15/100)+AP15)+
Assumptions!$D$10*(AK15/(Assumptions!$AB$8*AS15/100)+AQ15)+
Assumptions!$D$12*(AL15/(Assumptions!$AB$10*AS15/100)+AR15),
"")</f>
        <v/>
      </c>
      <c r="AU15" s="76" t="str">
        <f>IFERROR(
Z15*Assumptions!$F$11+
AD15*Assumptions!$F$10+
AG15*Assumptions!$F$9+
AJ15*Assumptions!$F$8,
"")</f>
        <v/>
      </c>
      <c r="AV15" s="77" t="str">
        <f t="shared" si="18"/>
        <v/>
      </c>
      <c r="AW15" s="68" t="str">
        <f t="shared" si="19"/>
        <v/>
      </c>
    </row>
    <row r="16" spans="1:49" x14ac:dyDescent="0.25">
      <c r="A16" s="264"/>
      <c r="B16" s="265"/>
      <c r="C16" s="265"/>
      <c r="D16" s="265"/>
      <c r="E16" s="266"/>
      <c r="F16" s="270"/>
      <c r="G16" s="271"/>
      <c r="H16" s="310"/>
      <c r="I16" s="270"/>
      <c r="J16" s="271"/>
      <c r="K16" s="272"/>
      <c r="L16" s="308"/>
      <c r="M16" s="271"/>
      <c r="N16" s="310"/>
      <c r="O16" s="270"/>
      <c r="P16" s="271"/>
      <c r="Q16" s="272"/>
      <c r="R16" s="272"/>
      <c r="S16" s="318"/>
      <c r="T16" s="306"/>
      <c r="U16" s="84" t="str">
        <f t="shared" si="0"/>
        <v/>
      </c>
      <c r="V16" s="84" t="str">
        <f t="shared" si="15"/>
        <v/>
      </c>
      <c r="W16" s="93" t="str">
        <f t="shared" si="1"/>
        <v/>
      </c>
      <c r="X16" s="100" t="str">
        <f t="shared" si="2"/>
        <v/>
      </c>
      <c r="Y16" s="95" t="str">
        <f t="shared" si="3"/>
        <v/>
      </c>
      <c r="Z16" s="95" t="str">
        <f t="shared" si="4"/>
        <v/>
      </c>
      <c r="AA16" s="98" t="str">
        <f>IFERROR(X16*Y16*Assumptions!$B$15/3956,"")</f>
        <v/>
      </c>
      <c r="AB16" s="100" t="str">
        <f t="shared" si="16"/>
        <v/>
      </c>
      <c r="AC16" s="95" t="str">
        <f t="shared" si="17"/>
        <v/>
      </c>
      <c r="AD16" s="95" t="str">
        <f t="shared" si="5"/>
        <v/>
      </c>
      <c r="AE16" s="100" t="str">
        <f t="shared" si="6"/>
        <v/>
      </c>
      <c r="AF16" s="95" t="str">
        <f t="shared" si="7"/>
        <v/>
      </c>
      <c r="AG16" s="98" t="str">
        <f t="shared" si="8"/>
        <v/>
      </c>
      <c r="AH16" s="100" t="str">
        <f t="shared" si="9"/>
        <v/>
      </c>
      <c r="AI16" s="95" t="str">
        <f t="shared" si="10"/>
        <v/>
      </c>
      <c r="AJ16" s="98" t="str">
        <f t="shared" si="11"/>
        <v/>
      </c>
      <c r="AK16" s="94" t="str">
        <f t="shared" si="12"/>
        <v/>
      </c>
      <c r="AL16" s="96" t="str">
        <f t="shared" si="13"/>
        <v/>
      </c>
      <c r="AM16" s="244" t="str">
        <f>IFERROR(
IF(C16="VTS",
IF(T16&gt;=AVERAGE(
INDEX(Assumptions!$I$38:$I$57,MATCH(T16,Assumptions!$I$38:$I$57,-1)),
INDEX(Assumptions!$I$38:$I$57,MATCH(T16,Assumptions!$I$38:$I$57,-1)+1)),
INDEX(Assumptions!$I$38:$I$57,MATCH(T16,Assumptions!$I$38:$I$57,-1)),
INDEX(Assumptions!$I$38:$I$57,MATCH(T16,Assumptions!$I$38:$I$57,-1)+1)),
IF(T16&gt;=AVERAGE(
INDEX(Assumptions!$I$13:$I$32,MATCH(T16,Assumptions!$I$13:$I$32,-1)),
INDEX(Assumptions!$I$13:$I$32,MATCH(T16,Assumptions!$I$13:$I$32,-1)+1)),
INDEX(Assumptions!$I$13:$I$32,MATCH(T16,Assumptions!$I$13:$I$32,-1)),
INDEX(Assumptions!$I$13:$I$32,MATCH(T16,Assumptions!$I$13:$I$32,-1)+1))),
"")</f>
        <v/>
      </c>
      <c r="AN16" s="95" t="str">
        <f>IFERROR(
IF(C16="VTS",
VLOOKUP(AM16,Assumptions!$I$38:$K$57,MATCH(U16,Assumptions!$I$37:$K$37,0),FALSE),
VLOOKUP(AM16,Assumptions!$I$13:$K$32,MATCH(U16,Assumptions!$I$12:$K$12,0),FALSE)),
"")</f>
        <v/>
      </c>
      <c r="AO16" s="95" t="str">
        <f t="shared" si="14"/>
        <v/>
      </c>
      <c r="AP16" s="95" t="str">
        <f>IFERROR(AO16*
(Assumptions!$S$7*(AA16/(AS16*Assumptions!$AB$9/100)/T16)^3+
Assumptions!$S$8*(AA16/(AS16*Assumptions!$AB$9/100)/T16)^2+
Assumptions!$S$9*(AA16/(AS16*Assumptions!$AB$9/100)/T16)+
Assumptions!$S$10),"")</f>
        <v/>
      </c>
      <c r="AQ16" s="95" t="str">
        <f>IFERROR(AO16*
(Assumptions!$S$7*(AK16/(AS16*Assumptions!$AB$8/100)/T16)^3+
Assumptions!$S$8*(AK16/(AS16*Assumptions!$AB$8/100)/T16)^2+
Assumptions!$S$9*(AK16/(AS16*Assumptions!$AB$8/100)/T16)+
Assumptions!$S$10),"")</f>
        <v/>
      </c>
      <c r="AR16" s="95" t="str">
        <f>IFERROR(AO16*
(Assumptions!$S$7*(AL16/(AS16*Assumptions!$AB$10/100)/T16)^3+
Assumptions!$S$8*(AL16/(AS16*Assumptions!$AB$10/100)/T16)^2+
Assumptions!$S$9*(AL16/(AS16*Assumptions!$AB$10/100)/T16)+
Assumptions!$S$10),"")</f>
        <v/>
      </c>
      <c r="AS16" s="95" t="str">
        <f>IFERROR(
Assumptions!$AD$8*LN(X16)^2+
Assumptions!$AE$8*LN(W16)*LN(X16)+
Assumptions!$AF$8*LN(W16)^2+
Assumptions!$AG$8*LN(X16)+
Assumptions!$AH$8*LN(W16)-
(IF(V16=1800,
VLOOKUP(C16,Assumptions!$AA$13:$AC$17,3),
IF(V16=3600,
VLOOKUP(C16,Assumptions!$AA$18:$AC$22,3),""))+Assumptions!$AI$8),
"")</f>
        <v/>
      </c>
      <c r="AT16" s="96" t="str">
        <f>IFERROR(
Assumptions!$D$11*(AA16/(Assumptions!$AB$9*AS16/100)+AP16)+
Assumptions!$D$10*(AK16/(Assumptions!$AB$8*AS16/100)+AQ16)+
Assumptions!$D$12*(AL16/(Assumptions!$AB$10*AS16/100)+AR16),
"")</f>
        <v/>
      </c>
      <c r="AU16" s="76" t="str">
        <f>IFERROR(
Z16*Assumptions!$F$11+
AD16*Assumptions!$F$10+
AG16*Assumptions!$F$9+
AJ16*Assumptions!$F$8,
"")</f>
        <v/>
      </c>
      <c r="AV16" s="77" t="str">
        <f t="shared" si="18"/>
        <v/>
      </c>
      <c r="AW16" s="68" t="str">
        <f t="shared" si="19"/>
        <v/>
      </c>
    </row>
    <row r="17" spans="1:49" x14ac:dyDescent="0.25">
      <c r="A17" s="264"/>
      <c r="B17" s="265"/>
      <c r="C17" s="265"/>
      <c r="D17" s="265"/>
      <c r="E17" s="266"/>
      <c r="F17" s="270"/>
      <c r="G17" s="271"/>
      <c r="H17" s="310"/>
      <c r="I17" s="270"/>
      <c r="J17" s="271"/>
      <c r="K17" s="272"/>
      <c r="L17" s="308"/>
      <c r="M17" s="271"/>
      <c r="N17" s="310"/>
      <c r="O17" s="270"/>
      <c r="P17" s="271"/>
      <c r="Q17" s="272"/>
      <c r="R17" s="272"/>
      <c r="S17" s="318"/>
      <c r="T17" s="306"/>
      <c r="U17" s="84" t="str">
        <f t="shared" si="0"/>
        <v/>
      </c>
      <c r="V17" s="84" t="str">
        <f t="shared" si="15"/>
        <v/>
      </c>
      <c r="W17" s="93" t="str">
        <f t="shared" si="1"/>
        <v/>
      </c>
      <c r="X17" s="100" t="str">
        <f t="shared" si="2"/>
        <v/>
      </c>
      <c r="Y17" s="95" t="str">
        <f t="shared" si="3"/>
        <v/>
      </c>
      <c r="Z17" s="95" t="str">
        <f t="shared" si="4"/>
        <v/>
      </c>
      <c r="AA17" s="98" t="str">
        <f>IFERROR(X17*Y17*Assumptions!$B$15/3956,"")</f>
        <v/>
      </c>
      <c r="AB17" s="100" t="str">
        <f t="shared" si="16"/>
        <v/>
      </c>
      <c r="AC17" s="95" t="str">
        <f t="shared" si="17"/>
        <v/>
      </c>
      <c r="AD17" s="95" t="str">
        <f t="shared" si="5"/>
        <v/>
      </c>
      <c r="AE17" s="100" t="str">
        <f t="shared" si="6"/>
        <v/>
      </c>
      <c r="AF17" s="95" t="str">
        <f t="shared" si="7"/>
        <v/>
      </c>
      <c r="AG17" s="98" t="str">
        <f t="shared" si="8"/>
        <v/>
      </c>
      <c r="AH17" s="100" t="str">
        <f t="shared" si="9"/>
        <v/>
      </c>
      <c r="AI17" s="95" t="str">
        <f t="shared" si="10"/>
        <v/>
      </c>
      <c r="AJ17" s="98" t="str">
        <f t="shared" si="11"/>
        <v/>
      </c>
      <c r="AK17" s="94" t="str">
        <f t="shared" si="12"/>
        <v/>
      </c>
      <c r="AL17" s="96" t="str">
        <f t="shared" si="13"/>
        <v/>
      </c>
      <c r="AM17" s="244" t="str">
        <f>IFERROR(
IF(C17="VTS",
IF(T17&gt;=AVERAGE(
INDEX(Assumptions!$I$38:$I$57,MATCH(T17,Assumptions!$I$38:$I$57,-1)),
INDEX(Assumptions!$I$38:$I$57,MATCH(T17,Assumptions!$I$38:$I$57,-1)+1)),
INDEX(Assumptions!$I$38:$I$57,MATCH(T17,Assumptions!$I$38:$I$57,-1)),
INDEX(Assumptions!$I$38:$I$57,MATCH(T17,Assumptions!$I$38:$I$57,-1)+1)),
IF(T17&gt;=AVERAGE(
INDEX(Assumptions!$I$13:$I$32,MATCH(T17,Assumptions!$I$13:$I$32,-1)),
INDEX(Assumptions!$I$13:$I$32,MATCH(T17,Assumptions!$I$13:$I$32,-1)+1)),
INDEX(Assumptions!$I$13:$I$32,MATCH(T17,Assumptions!$I$13:$I$32,-1)),
INDEX(Assumptions!$I$13:$I$32,MATCH(T17,Assumptions!$I$13:$I$32,-1)+1))),
"")</f>
        <v/>
      </c>
      <c r="AN17" s="95" t="str">
        <f>IFERROR(
IF(C17="VTS",
VLOOKUP(AM17,Assumptions!$I$38:$K$57,MATCH(U17,Assumptions!$I$37:$K$37,0),FALSE),
VLOOKUP(AM17,Assumptions!$I$13:$K$32,MATCH(U17,Assumptions!$I$12:$K$12,0),FALSE)),
"")</f>
        <v/>
      </c>
      <c r="AO17" s="95" t="str">
        <f t="shared" si="14"/>
        <v/>
      </c>
      <c r="AP17" s="95" t="str">
        <f>IFERROR(AO17*
(Assumptions!$S$7*(AA17/(AS17*Assumptions!$AB$9/100)/T17)^3+
Assumptions!$S$8*(AA17/(AS17*Assumptions!$AB$9/100)/T17)^2+
Assumptions!$S$9*(AA17/(AS17*Assumptions!$AB$9/100)/T17)+
Assumptions!$S$10),"")</f>
        <v/>
      </c>
      <c r="AQ17" s="95" t="str">
        <f>IFERROR(AO17*
(Assumptions!$S$7*(AK17/(AS17*Assumptions!$AB$8/100)/T17)^3+
Assumptions!$S$8*(AK17/(AS17*Assumptions!$AB$8/100)/T17)^2+
Assumptions!$S$9*(AK17/(AS17*Assumptions!$AB$8/100)/T17)+
Assumptions!$S$10),"")</f>
        <v/>
      </c>
      <c r="AR17" s="95" t="str">
        <f>IFERROR(AO17*
(Assumptions!$S$7*(AL17/(AS17*Assumptions!$AB$10/100)/T17)^3+
Assumptions!$S$8*(AL17/(AS17*Assumptions!$AB$10/100)/T17)^2+
Assumptions!$S$9*(AL17/(AS17*Assumptions!$AB$10/100)/T17)+
Assumptions!$S$10),"")</f>
        <v/>
      </c>
      <c r="AS17" s="95" t="str">
        <f>IFERROR(
Assumptions!$AD$8*LN(X17)^2+
Assumptions!$AE$8*LN(W17)*LN(X17)+
Assumptions!$AF$8*LN(W17)^2+
Assumptions!$AG$8*LN(X17)+
Assumptions!$AH$8*LN(W17)-
(IF(V17=1800,
VLOOKUP(C17,Assumptions!$AA$13:$AC$17,3),
IF(V17=3600,
VLOOKUP(C17,Assumptions!$AA$18:$AC$22,3),""))+Assumptions!$AI$8),
"")</f>
        <v/>
      </c>
      <c r="AT17" s="96" t="str">
        <f>IFERROR(
Assumptions!$D$11*(AA17/(Assumptions!$AB$9*AS17/100)+AP17)+
Assumptions!$D$10*(AK17/(Assumptions!$AB$8*AS17/100)+AQ17)+
Assumptions!$D$12*(AL17/(Assumptions!$AB$10*AS17/100)+AR17),
"")</f>
        <v/>
      </c>
      <c r="AU17" s="76" t="str">
        <f>IFERROR(
Z17*Assumptions!$F$11+
AD17*Assumptions!$F$10+
AG17*Assumptions!$F$9+
AJ17*Assumptions!$F$8,
"")</f>
        <v/>
      </c>
      <c r="AV17" s="77" t="str">
        <f t="shared" si="18"/>
        <v/>
      </c>
      <c r="AW17" s="68" t="str">
        <f t="shared" si="19"/>
        <v/>
      </c>
    </row>
    <row r="18" spans="1:49" x14ac:dyDescent="0.25">
      <c r="A18" s="264"/>
      <c r="B18" s="265"/>
      <c r="C18" s="265"/>
      <c r="D18" s="265"/>
      <c r="E18" s="266"/>
      <c r="F18" s="270"/>
      <c r="G18" s="271"/>
      <c r="H18" s="310"/>
      <c r="I18" s="270"/>
      <c r="J18" s="271"/>
      <c r="K18" s="272"/>
      <c r="L18" s="308"/>
      <c r="M18" s="271"/>
      <c r="N18" s="310"/>
      <c r="O18" s="270"/>
      <c r="P18" s="271"/>
      <c r="Q18" s="272"/>
      <c r="R18" s="272"/>
      <c r="S18" s="318"/>
      <c r="T18" s="306"/>
      <c r="U18" s="84" t="str">
        <f t="shared" si="0"/>
        <v/>
      </c>
      <c r="V18" s="84" t="str">
        <f t="shared" si="15"/>
        <v/>
      </c>
      <c r="W18" s="93" t="str">
        <f t="shared" si="1"/>
        <v/>
      </c>
      <c r="X18" s="100" t="str">
        <f t="shared" si="2"/>
        <v/>
      </c>
      <c r="Y18" s="95" t="str">
        <f t="shared" si="3"/>
        <v/>
      </c>
      <c r="Z18" s="95" t="str">
        <f t="shared" si="4"/>
        <v/>
      </c>
      <c r="AA18" s="98" t="str">
        <f>IFERROR(X18*Y18*Assumptions!$B$15/3956,"")</f>
        <v/>
      </c>
      <c r="AB18" s="100" t="str">
        <f t="shared" si="16"/>
        <v/>
      </c>
      <c r="AC18" s="95" t="str">
        <f t="shared" si="17"/>
        <v/>
      </c>
      <c r="AD18" s="95" t="str">
        <f t="shared" si="5"/>
        <v/>
      </c>
      <c r="AE18" s="100" t="str">
        <f t="shared" si="6"/>
        <v/>
      </c>
      <c r="AF18" s="95" t="str">
        <f t="shared" si="7"/>
        <v/>
      </c>
      <c r="AG18" s="98" t="str">
        <f t="shared" si="8"/>
        <v/>
      </c>
      <c r="AH18" s="100" t="str">
        <f t="shared" si="9"/>
        <v/>
      </c>
      <c r="AI18" s="95" t="str">
        <f t="shared" si="10"/>
        <v/>
      </c>
      <c r="AJ18" s="98" t="str">
        <f t="shared" si="11"/>
        <v/>
      </c>
      <c r="AK18" s="94" t="str">
        <f t="shared" si="12"/>
        <v/>
      </c>
      <c r="AL18" s="96" t="str">
        <f t="shared" si="13"/>
        <v/>
      </c>
      <c r="AM18" s="244" t="str">
        <f>IFERROR(
IF(C18="VTS",
IF(T18&gt;=AVERAGE(
INDEX(Assumptions!$I$38:$I$57,MATCH(T18,Assumptions!$I$38:$I$57,-1)),
INDEX(Assumptions!$I$38:$I$57,MATCH(T18,Assumptions!$I$38:$I$57,-1)+1)),
INDEX(Assumptions!$I$38:$I$57,MATCH(T18,Assumptions!$I$38:$I$57,-1)),
INDEX(Assumptions!$I$38:$I$57,MATCH(T18,Assumptions!$I$38:$I$57,-1)+1)),
IF(T18&gt;=AVERAGE(
INDEX(Assumptions!$I$13:$I$32,MATCH(T18,Assumptions!$I$13:$I$32,-1)),
INDEX(Assumptions!$I$13:$I$32,MATCH(T18,Assumptions!$I$13:$I$32,-1)+1)),
INDEX(Assumptions!$I$13:$I$32,MATCH(T18,Assumptions!$I$13:$I$32,-1)),
INDEX(Assumptions!$I$13:$I$32,MATCH(T18,Assumptions!$I$13:$I$32,-1)+1))),
"")</f>
        <v/>
      </c>
      <c r="AN18" s="95" t="str">
        <f>IFERROR(
IF(C18="VTS",
VLOOKUP(AM18,Assumptions!$I$38:$K$57,MATCH(U18,Assumptions!$I$37:$K$37,0),FALSE),
VLOOKUP(AM18,Assumptions!$I$13:$K$32,MATCH(U18,Assumptions!$I$12:$K$12,0),FALSE)),
"")</f>
        <v/>
      </c>
      <c r="AO18" s="95" t="str">
        <f t="shared" si="14"/>
        <v/>
      </c>
      <c r="AP18" s="95" t="str">
        <f>IFERROR(AO18*
(Assumptions!$S$7*(AA18/(AS18*Assumptions!$AB$9/100)/T18)^3+
Assumptions!$S$8*(AA18/(AS18*Assumptions!$AB$9/100)/T18)^2+
Assumptions!$S$9*(AA18/(AS18*Assumptions!$AB$9/100)/T18)+
Assumptions!$S$10),"")</f>
        <v/>
      </c>
      <c r="AQ18" s="95" t="str">
        <f>IFERROR(AO18*
(Assumptions!$S$7*(AK18/(AS18*Assumptions!$AB$8/100)/T18)^3+
Assumptions!$S$8*(AK18/(AS18*Assumptions!$AB$8/100)/T18)^2+
Assumptions!$S$9*(AK18/(AS18*Assumptions!$AB$8/100)/T18)+
Assumptions!$S$10),"")</f>
        <v/>
      </c>
      <c r="AR18" s="95" t="str">
        <f>IFERROR(AO18*
(Assumptions!$S$7*(AL18/(AS18*Assumptions!$AB$10/100)/T18)^3+
Assumptions!$S$8*(AL18/(AS18*Assumptions!$AB$10/100)/T18)^2+
Assumptions!$S$9*(AL18/(AS18*Assumptions!$AB$10/100)/T18)+
Assumptions!$S$10),"")</f>
        <v/>
      </c>
      <c r="AS18" s="95" t="str">
        <f>IFERROR(
Assumptions!$AD$8*LN(X18)^2+
Assumptions!$AE$8*LN(W18)*LN(X18)+
Assumptions!$AF$8*LN(W18)^2+
Assumptions!$AG$8*LN(X18)+
Assumptions!$AH$8*LN(W18)-
(IF(V18=1800,
VLOOKUP(C18,Assumptions!$AA$13:$AC$17,3),
IF(V18=3600,
VLOOKUP(C18,Assumptions!$AA$18:$AC$22,3),""))+Assumptions!$AI$8),
"")</f>
        <v/>
      </c>
      <c r="AT18" s="96" t="str">
        <f>IFERROR(
Assumptions!$D$11*(AA18/(Assumptions!$AB$9*AS18/100)+AP18)+
Assumptions!$D$10*(AK18/(Assumptions!$AB$8*AS18/100)+AQ18)+
Assumptions!$D$12*(AL18/(Assumptions!$AB$10*AS18/100)+AR18),
"")</f>
        <v/>
      </c>
      <c r="AU18" s="76" t="str">
        <f>IFERROR(
Z18*Assumptions!$F$11+
AD18*Assumptions!$F$10+
AG18*Assumptions!$F$9+
AJ18*Assumptions!$F$8,
"")</f>
        <v/>
      </c>
      <c r="AV18" s="77" t="str">
        <f t="shared" si="18"/>
        <v/>
      </c>
      <c r="AW18" s="68" t="str">
        <f t="shared" si="19"/>
        <v/>
      </c>
    </row>
    <row r="19" spans="1:49" x14ac:dyDescent="0.25">
      <c r="A19" s="264"/>
      <c r="B19" s="265"/>
      <c r="C19" s="265"/>
      <c r="D19" s="265"/>
      <c r="E19" s="266"/>
      <c r="F19" s="270"/>
      <c r="G19" s="271"/>
      <c r="H19" s="310"/>
      <c r="I19" s="270"/>
      <c r="J19" s="271"/>
      <c r="K19" s="272"/>
      <c r="L19" s="308"/>
      <c r="M19" s="271"/>
      <c r="N19" s="310"/>
      <c r="O19" s="270"/>
      <c r="P19" s="271"/>
      <c r="Q19" s="272"/>
      <c r="R19" s="272"/>
      <c r="S19" s="318"/>
      <c r="T19" s="306"/>
      <c r="U19" s="84" t="str">
        <f t="shared" si="0"/>
        <v/>
      </c>
      <c r="V19" s="84" t="str">
        <f t="shared" si="15"/>
        <v/>
      </c>
      <c r="W19" s="93" t="str">
        <f t="shared" si="1"/>
        <v/>
      </c>
      <c r="X19" s="100" t="str">
        <f t="shared" si="2"/>
        <v/>
      </c>
      <c r="Y19" s="95" t="str">
        <f t="shared" si="3"/>
        <v/>
      </c>
      <c r="Z19" s="95" t="str">
        <f t="shared" si="4"/>
        <v/>
      </c>
      <c r="AA19" s="98" t="str">
        <f>IFERROR(X19*Y19*Assumptions!$B$15/3956,"")</f>
        <v/>
      </c>
      <c r="AB19" s="100" t="str">
        <f t="shared" si="16"/>
        <v/>
      </c>
      <c r="AC19" s="95" t="str">
        <f t="shared" si="17"/>
        <v/>
      </c>
      <c r="AD19" s="95" t="str">
        <f t="shared" si="5"/>
        <v/>
      </c>
      <c r="AE19" s="100" t="str">
        <f t="shared" si="6"/>
        <v/>
      </c>
      <c r="AF19" s="95" t="str">
        <f t="shared" si="7"/>
        <v/>
      </c>
      <c r="AG19" s="98" t="str">
        <f t="shared" si="8"/>
        <v/>
      </c>
      <c r="AH19" s="100" t="str">
        <f t="shared" si="9"/>
        <v/>
      </c>
      <c r="AI19" s="95" t="str">
        <f t="shared" si="10"/>
        <v/>
      </c>
      <c r="AJ19" s="98" t="str">
        <f t="shared" si="11"/>
        <v/>
      </c>
      <c r="AK19" s="94" t="str">
        <f t="shared" si="12"/>
        <v/>
      </c>
      <c r="AL19" s="96" t="str">
        <f t="shared" si="13"/>
        <v/>
      </c>
      <c r="AM19" s="244" t="str">
        <f>IFERROR(
IF(C19="VTS",
IF(T19&gt;=AVERAGE(
INDEX(Assumptions!$I$38:$I$57,MATCH(T19,Assumptions!$I$38:$I$57,-1)),
INDEX(Assumptions!$I$38:$I$57,MATCH(T19,Assumptions!$I$38:$I$57,-1)+1)),
INDEX(Assumptions!$I$38:$I$57,MATCH(T19,Assumptions!$I$38:$I$57,-1)),
INDEX(Assumptions!$I$38:$I$57,MATCH(T19,Assumptions!$I$38:$I$57,-1)+1)),
IF(T19&gt;=AVERAGE(
INDEX(Assumptions!$I$13:$I$32,MATCH(T19,Assumptions!$I$13:$I$32,-1)),
INDEX(Assumptions!$I$13:$I$32,MATCH(T19,Assumptions!$I$13:$I$32,-1)+1)),
INDEX(Assumptions!$I$13:$I$32,MATCH(T19,Assumptions!$I$13:$I$32,-1)),
INDEX(Assumptions!$I$13:$I$32,MATCH(T19,Assumptions!$I$13:$I$32,-1)+1))),
"")</f>
        <v/>
      </c>
      <c r="AN19" s="95" t="str">
        <f>IFERROR(
IF(C19="VTS",
VLOOKUP(AM19,Assumptions!$I$38:$K$57,MATCH(U19,Assumptions!$I$37:$K$37,0),FALSE),
VLOOKUP(AM19,Assumptions!$I$13:$K$32,MATCH(U19,Assumptions!$I$12:$K$12,0),FALSE)),
"")</f>
        <v/>
      </c>
      <c r="AO19" s="95" t="str">
        <f t="shared" si="14"/>
        <v/>
      </c>
      <c r="AP19" s="95" t="str">
        <f>IFERROR(AO19*
(Assumptions!$S$7*(AA19/(AS19*Assumptions!$AB$9/100)/T19)^3+
Assumptions!$S$8*(AA19/(AS19*Assumptions!$AB$9/100)/T19)^2+
Assumptions!$S$9*(AA19/(AS19*Assumptions!$AB$9/100)/T19)+
Assumptions!$S$10),"")</f>
        <v/>
      </c>
      <c r="AQ19" s="95" t="str">
        <f>IFERROR(AO19*
(Assumptions!$S$7*(AK19/(AS19*Assumptions!$AB$8/100)/T19)^3+
Assumptions!$S$8*(AK19/(AS19*Assumptions!$AB$8/100)/T19)^2+
Assumptions!$S$9*(AK19/(AS19*Assumptions!$AB$8/100)/T19)+
Assumptions!$S$10),"")</f>
        <v/>
      </c>
      <c r="AR19" s="95" t="str">
        <f>IFERROR(AO19*
(Assumptions!$S$7*(AL19/(AS19*Assumptions!$AB$10/100)/T19)^3+
Assumptions!$S$8*(AL19/(AS19*Assumptions!$AB$10/100)/T19)^2+
Assumptions!$S$9*(AL19/(AS19*Assumptions!$AB$10/100)/T19)+
Assumptions!$S$10),"")</f>
        <v/>
      </c>
      <c r="AS19" s="95" t="str">
        <f>IFERROR(
Assumptions!$AD$8*LN(X19)^2+
Assumptions!$AE$8*LN(W19)*LN(X19)+
Assumptions!$AF$8*LN(W19)^2+
Assumptions!$AG$8*LN(X19)+
Assumptions!$AH$8*LN(W19)-
(IF(V19=1800,
VLOOKUP(C19,Assumptions!$AA$13:$AC$17,3),
IF(V19=3600,
VLOOKUP(C19,Assumptions!$AA$18:$AC$22,3),""))+Assumptions!$AI$8),
"")</f>
        <v/>
      </c>
      <c r="AT19" s="96" t="str">
        <f>IFERROR(
Assumptions!$D$11*(AA19/(Assumptions!$AB$9*AS19/100)+AP19)+
Assumptions!$D$10*(AK19/(Assumptions!$AB$8*AS19/100)+AQ19)+
Assumptions!$D$12*(AL19/(Assumptions!$AB$10*AS19/100)+AR19),
"")</f>
        <v/>
      </c>
      <c r="AU19" s="76" t="str">
        <f>IFERROR(
Z19*Assumptions!$F$11+
AD19*Assumptions!$F$10+
AG19*Assumptions!$F$9+
AJ19*Assumptions!$F$8,
"")</f>
        <v/>
      </c>
      <c r="AV19" s="77" t="str">
        <f t="shared" si="18"/>
        <v/>
      </c>
      <c r="AW19" s="68" t="str">
        <f t="shared" si="19"/>
        <v/>
      </c>
    </row>
    <row r="20" spans="1:49" x14ac:dyDescent="0.25">
      <c r="A20" s="264"/>
      <c r="B20" s="265"/>
      <c r="C20" s="265"/>
      <c r="D20" s="265"/>
      <c r="E20" s="266"/>
      <c r="F20" s="270"/>
      <c r="G20" s="271"/>
      <c r="H20" s="310"/>
      <c r="I20" s="270"/>
      <c r="J20" s="271"/>
      <c r="K20" s="272"/>
      <c r="L20" s="308"/>
      <c r="M20" s="271"/>
      <c r="N20" s="310"/>
      <c r="O20" s="270"/>
      <c r="P20" s="271"/>
      <c r="Q20" s="272"/>
      <c r="R20" s="272"/>
      <c r="S20" s="318"/>
      <c r="T20" s="306"/>
      <c r="U20" s="84" t="str">
        <f t="shared" si="0"/>
        <v/>
      </c>
      <c r="V20" s="84" t="str">
        <f t="shared" si="15"/>
        <v/>
      </c>
      <c r="W20" s="93" t="str">
        <f t="shared" si="1"/>
        <v/>
      </c>
      <c r="X20" s="100" t="str">
        <f t="shared" si="2"/>
        <v/>
      </c>
      <c r="Y20" s="95" t="str">
        <f t="shared" si="3"/>
        <v/>
      </c>
      <c r="Z20" s="95" t="str">
        <f t="shared" si="4"/>
        <v/>
      </c>
      <c r="AA20" s="98" t="str">
        <f>IFERROR(X20*Y20*Assumptions!$B$15/3956,"")</f>
        <v/>
      </c>
      <c r="AB20" s="100" t="str">
        <f t="shared" si="16"/>
        <v/>
      </c>
      <c r="AC20" s="95" t="str">
        <f t="shared" si="17"/>
        <v/>
      </c>
      <c r="AD20" s="95" t="str">
        <f t="shared" si="5"/>
        <v/>
      </c>
      <c r="AE20" s="100" t="str">
        <f t="shared" si="6"/>
        <v/>
      </c>
      <c r="AF20" s="95" t="str">
        <f t="shared" si="7"/>
        <v/>
      </c>
      <c r="AG20" s="98" t="str">
        <f t="shared" si="8"/>
        <v/>
      </c>
      <c r="AH20" s="100" t="str">
        <f t="shared" si="9"/>
        <v/>
      </c>
      <c r="AI20" s="95" t="str">
        <f t="shared" si="10"/>
        <v/>
      </c>
      <c r="AJ20" s="98" t="str">
        <f t="shared" si="11"/>
        <v/>
      </c>
      <c r="AK20" s="94" t="str">
        <f t="shared" si="12"/>
        <v/>
      </c>
      <c r="AL20" s="96" t="str">
        <f t="shared" si="13"/>
        <v/>
      </c>
      <c r="AM20" s="244" t="str">
        <f>IFERROR(
IF(C20="VTS",
IF(T20&gt;=AVERAGE(
INDEX(Assumptions!$I$38:$I$57,MATCH(T20,Assumptions!$I$38:$I$57,-1)),
INDEX(Assumptions!$I$38:$I$57,MATCH(T20,Assumptions!$I$38:$I$57,-1)+1)),
INDEX(Assumptions!$I$38:$I$57,MATCH(T20,Assumptions!$I$38:$I$57,-1)),
INDEX(Assumptions!$I$38:$I$57,MATCH(T20,Assumptions!$I$38:$I$57,-1)+1)),
IF(T20&gt;=AVERAGE(
INDEX(Assumptions!$I$13:$I$32,MATCH(T20,Assumptions!$I$13:$I$32,-1)),
INDEX(Assumptions!$I$13:$I$32,MATCH(T20,Assumptions!$I$13:$I$32,-1)+1)),
INDEX(Assumptions!$I$13:$I$32,MATCH(T20,Assumptions!$I$13:$I$32,-1)),
INDEX(Assumptions!$I$13:$I$32,MATCH(T20,Assumptions!$I$13:$I$32,-1)+1))),
"")</f>
        <v/>
      </c>
      <c r="AN20" s="95" t="str">
        <f>IFERROR(
IF(C20="VTS",
VLOOKUP(AM20,Assumptions!$I$38:$K$57,MATCH(U20,Assumptions!$I$37:$K$37,0),FALSE),
VLOOKUP(AM20,Assumptions!$I$13:$K$32,MATCH(U20,Assumptions!$I$12:$K$12,0),FALSE)),
"")</f>
        <v/>
      </c>
      <c r="AO20" s="95" t="str">
        <f t="shared" si="14"/>
        <v/>
      </c>
      <c r="AP20" s="95" t="str">
        <f>IFERROR(AO20*
(Assumptions!$S$7*(AA20/(AS20*Assumptions!$AB$9/100)/T20)^3+
Assumptions!$S$8*(AA20/(AS20*Assumptions!$AB$9/100)/T20)^2+
Assumptions!$S$9*(AA20/(AS20*Assumptions!$AB$9/100)/T20)+
Assumptions!$S$10),"")</f>
        <v/>
      </c>
      <c r="AQ20" s="95" t="str">
        <f>IFERROR(AO20*
(Assumptions!$S$7*(AK20/(AS20*Assumptions!$AB$8/100)/T20)^3+
Assumptions!$S$8*(AK20/(AS20*Assumptions!$AB$8/100)/T20)^2+
Assumptions!$S$9*(AK20/(AS20*Assumptions!$AB$8/100)/T20)+
Assumptions!$S$10),"")</f>
        <v/>
      </c>
      <c r="AR20" s="95" t="str">
        <f>IFERROR(AO20*
(Assumptions!$S$7*(AL20/(AS20*Assumptions!$AB$10/100)/T20)^3+
Assumptions!$S$8*(AL20/(AS20*Assumptions!$AB$10/100)/T20)^2+
Assumptions!$S$9*(AL20/(AS20*Assumptions!$AB$10/100)/T20)+
Assumptions!$S$10),"")</f>
        <v/>
      </c>
      <c r="AS20" s="95" t="str">
        <f>IFERROR(
Assumptions!$AD$8*LN(X20)^2+
Assumptions!$AE$8*LN(W20)*LN(X20)+
Assumptions!$AF$8*LN(W20)^2+
Assumptions!$AG$8*LN(X20)+
Assumptions!$AH$8*LN(W20)-
(IF(V20=1800,
VLOOKUP(C20,Assumptions!$AA$13:$AC$17,3),
IF(V20=3600,
VLOOKUP(C20,Assumptions!$AA$18:$AC$22,3),""))+Assumptions!$AI$8),
"")</f>
        <v/>
      </c>
      <c r="AT20" s="96" t="str">
        <f>IFERROR(
Assumptions!$D$11*(AA20/(Assumptions!$AB$9*AS20/100)+AP20)+
Assumptions!$D$10*(AK20/(Assumptions!$AB$8*AS20/100)+AQ20)+
Assumptions!$D$12*(AL20/(Assumptions!$AB$10*AS20/100)+AR20),
"")</f>
        <v/>
      </c>
      <c r="AU20" s="76" t="str">
        <f>IFERROR(
Z20*Assumptions!$F$11+
AD20*Assumptions!$F$10+
AG20*Assumptions!$F$9+
AJ20*Assumptions!$F$8,
"")</f>
        <v/>
      </c>
      <c r="AV20" s="77" t="str">
        <f t="shared" si="18"/>
        <v/>
      </c>
      <c r="AW20" s="68" t="str">
        <f t="shared" si="19"/>
        <v/>
      </c>
    </row>
    <row r="21" spans="1:49" x14ac:dyDescent="0.25">
      <c r="A21" s="264"/>
      <c r="B21" s="265"/>
      <c r="C21" s="265"/>
      <c r="D21" s="265"/>
      <c r="E21" s="266"/>
      <c r="F21" s="270"/>
      <c r="G21" s="271"/>
      <c r="H21" s="310"/>
      <c r="I21" s="270"/>
      <c r="J21" s="271"/>
      <c r="K21" s="272"/>
      <c r="L21" s="308"/>
      <c r="M21" s="271"/>
      <c r="N21" s="310"/>
      <c r="O21" s="270"/>
      <c r="P21" s="271"/>
      <c r="Q21" s="272"/>
      <c r="R21" s="272"/>
      <c r="S21" s="318"/>
      <c r="T21" s="306"/>
      <c r="U21" s="84" t="str">
        <f t="shared" si="0"/>
        <v/>
      </c>
      <c r="V21" s="84" t="str">
        <f t="shared" si="15"/>
        <v/>
      </c>
      <c r="W21" s="93" t="str">
        <f t="shared" si="1"/>
        <v/>
      </c>
      <c r="X21" s="100" t="str">
        <f t="shared" si="2"/>
        <v/>
      </c>
      <c r="Y21" s="95" t="str">
        <f t="shared" si="3"/>
        <v/>
      </c>
      <c r="Z21" s="95" t="str">
        <f t="shared" si="4"/>
        <v/>
      </c>
      <c r="AA21" s="98" t="str">
        <f>IFERROR(X21*Y21*Assumptions!$B$15/3956,"")</f>
        <v/>
      </c>
      <c r="AB21" s="100" t="str">
        <f t="shared" si="16"/>
        <v/>
      </c>
      <c r="AC21" s="95" t="str">
        <f t="shared" si="17"/>
        <v/>
      </c>
      <c r="AD21" s="95" t="str">
        <f t="shared" si="5"/>
        <v/>
      </c>
      <c r="AE21" s="100" t="str">
        <f t="shared" si="6"/>
        <v/>
      </c>
      <c r="AF21" s="95" t="str">
        <f t="shared" si="7"/>
        <v/>
      </c>
      <c r="AG21" s="98" t="str">
        <f t="shared" si="8"/>
        <v/>
      </c>
      <c r="AH21" s="100" t="str">
        <f t="shared" si="9"/>
        <v/>
      </c>
      <c r="AI21" s="95" t="str">
        <f t="shared" si="10"/>
        <v/>
      </c>
      <c r="AJ21" s="98" t="str">
        <f t="shared" si="11"/>
        <v/>
      </c>
      <c r="AK21" s="94" t="str">
        <f t="shared" si="12"/>
        <v/>
      </c>
      <c r="AL21" s="96" t="str">
        <f t="shared" si="13"/>
        <v/>
      </c>
      <c r="AM21" s="244" t="str">
        <f>IFERROR(
IF(C21="VTS",
IF(T21&gt;=AVERAGE(
INDEX(Assumptions!$I$38:$I$57,MATCH(T21,Assumptions!$I$38:$I$57,-1)),
INDEX(Assumptions!$I$38:$I$57,MATCH(T21,Assumptions!$I$38:$I$57,-1)+1)),
INDEX(Assumptions!$I$38:$I$57,MATCH(T21,Assumptions!$I$38:$I$57,-1)),
INDEX(Assumptions!$I$38:$I$57,MATCH(T21,Assumptions!$I$38:$I$57,-1)+1)),
IF(T21&gt;=AVERAGE(
INDEX(Assumptions!$I$13:$I$32,MATCH(T21,Assumptions!$I$13:$I$32,-1)),
INDEX(Assumptions!$I$13:$I$32,MATCH(T21,Assumptions!$I$13:$I$32,-1)+1)),
INDEX(Assumptions!$I$13:$I$32,MATCH(T21,Assumptions!$I$13:$I$32,-1)),
INDEX(Assumptions!$I$13:$I$32,MATCH(T21,Assumptions!$I$13:$I$32,-1)+1))),
"")</f>
        <v/>
      </c>
      <c r="AN21" s="95" t="str">
        <f>IFERROR(
IF(C21="VTS",
VLOOKUP(AM21,Assumptions!$I$38:$K$57,MATCH(U21,Assumptions!$I$37:$K$37,0),FALSE),
VLOOKUP(AM21,Assumptions!$I$13:$K$32,MATCH(U21,Assumptions!$I$12:$K$12,0),FALSE)),
"")</f>
        <v/>
      </c>
      <c r="AO21" s="95" t="str">
        <f t="shared" si="14"/>
        <v/>
      </c>
      <c r="AP21" s="95" t="str">
        <f>IFERROR(AO21*
(Assumptions!$S$7*(AA21/(AS21*Assumptions!$AB$9/100)/T21)^3+
Assumptions!$S$8*(AA21/(AS21*Assumptions!$AB$9/100)/T21)^2+
Assumptions!$S$9*(AA21/(AS21*Assumptions!$AB$9/100)/T21)+
Assumptions!$S$10),"")</f>
        <v/>
      </c>
      <c r="AQ21" s="95" t="str">
        <f>IFERROR(AO21*
(Assumptions!$S$7*(AK21/(AS21*Assumptions!$AB$8/100)/T21)^3+
Assumptions!$S$8*(AK21/(AS21*Assumptions!$AB$8/100)/T21)^2+
Assumptions!$S$9*(AK21/(AS21*Assumptions!$AB$8/100)/T21)+
Assumptions!$S$10),"")</f>
        <v/>
      </c>
      <c r="AR21" s="95" t="str">
        <f>IFERROR(AO21*
(Assumptions!$S$7*(AL21/(AS21*Assumptions!$AB$10/100)/T21)^3+
Assumptions!$S$8*(AL21/(AS21*Assumptions!$AB$10/100)/T21)^2+
Assumptions!$S$9*(AL21/(AS21*Assumptions!$AB$10/100)/T21)+
Assumptions!$S$10),"")</f>
        <v/>
      </c>
      <c r="AS21" s="95" t="str">
        <f>IFERROR(
Assumptions!$AD$8*LN(X21)^2+
Assumptions!$AE$8*LN(W21)*LN(X21)+
Assumptions!$AF$8*LN(W21)^2+
Assumptions!$AG$8*LN(X21)+
Assumptions!$AH$8*LN(W21)-
(IF(V21=1800,
VLOOKUP(C21,Assumptions!$AA$13:$AC$17,3),
IF(V21=3600,
VLOOKUP(C21,Assumptions!$AA$18:$AC$22,3),""))+Assumptions!$AI$8),
"")</f>
        <v/>
      </c>
      <c r="AT21" s="96" t="str">
        <f>IFERROR(
Assumptions!$D$11*(AA21/(Assumptions!$AB$9*AS21/100)+AP21)+
Assumptions!$D$10*(AK21/(Assumptions!$AB$8*AS21/100)+AQ21)+
Assumptions!$D$12*(AL21/(Assumptions!$AB$10*AS21/100)+AR21),
"")</f>
        <v/>
      </c>
      <c r="AU21" s="76" t="str">
        <f>IFERROR(
Z21*Assumptions!$F$11+
AD21*Assumptions!$F$10+
AG21*Assumptions!$F$9+
AJ21*Assumptions!$F$8,
"")</f>
        <v/>
      </c>
      <c r="AV21" s="77" t="str">
        <f t="shared" si="18"/>
        <v/>
      </c>
      <c r="AW21" s="68" t="str">
        <f t="shared" si="19"/>
        <v/>
      </c>
    </row>
    <row r="22" spans="1:49" x14ac:dyDescent="0.25">
      <c r="A22" s="264"/>
      <c r="B22" s="265"/>
      <c r="C22" s="265"/>
      <c r="D22" s="265"/>
      <c r="E22" s="266"/>
      <c r="F22" s="270"/>
      <c r="G22" s="271"/>
      <c r="H22" s="310"/>
      <c r="I22" s="270"/>
      <c r="J22" s="271"/>
      <c r="K22" s="272"/>
      <c r="L22" s="308"/>
      <c r="M22" s="271"/>
      <c r="N22" s="310"/>
      <c r="O22" s="270"/>
      <c r="P22" s="271"/>
      <c r="Q22" s="272"/>
      <c r="R22" s="272"/>
      <c r="S22" s="318"/>
      <c r="T22" s="306"/>
      <c r="U22" s="84" t="str">
        <f t="shared" si="0"/>
        <v/>
      </c>
      <c r="V22" s="84" t="str">
        <f t="shared" si="15"/>
        <v/>
      </c>
      <c r="W22" s="93" t="str">
        <f t="shared" si="1"/>
        <v/>
      </c>
      <c r="X22" s="100" t="str">
        <f t="shared" si="2"/>
        <v/>
      </c>
      <c r="Y22" s="95" t="str">
        <f t="shared" si="3"/>
        <v/>
      </c>
      <c r="Z22" s="95" t="str">
        <f t="shared" si="4"/>
        <v/>
      </c>
      <c r="AA22" s="98" t="str">
        <f>IFERROR(X22*Y22*Assumptions!$B$15/3956,"")</f>
        <v/>
      </c>
      <c r="AB22" s="100" t="str">
        <f t="shared" si="16"/>
        <v/>
      </c>
      <c r="AC22" s="95" t="str">
        <f t="shared" si="17"/>
        <v/>
      </c>
      <c r="AD22" s="95" t="str">
        <f t="shared" si="5"/>
        <v/>
      </c>
      <c r="AE22" s="100" t="str">
        <f t="shared" si="6"/>
        <v/>
      </c>
      <c r="AF22" s="95" t="str">
        <f t="shared" si="7"/>
        <v/>
      </c>
      <c r="AG22" s="98" t="str">
        <f t="shared" si="8"/>
        <v/>
      </c>
      <c r="AH22" s="100" t="str">
        <f t="shared" si="9"/>
        <v/>
      </c>
      <c r="AI22" s="95" t="str">
        <f t="shared" si="10"/>
        <v/>
      </c>
      <c r="AJ22" s="98" t="str">
        <f t="shared" si="11"/>
        <v/>
      </c>
      <c r="AK22" s="94" t="str">
        <f t="shared" si="12"/>
        <v/>
      </c>
      <c r="AL22" s="96" t="str">
        <f t="shared" si="13"/>
        <v/>
      </c>
      <c r="AM22" s="244" t="str">
        <f>IFERROR(
IF(C22="VTS",
IF(T22&gt;=AVERAGE(
INDEX(Assumptions!$I$38:$I$57,MATCH(T22,Assumptions!$I$38:$I$57,-1)),
INDEX(Assumptions!$I$38:$I$57,MATCH(T22,Assumptions!$I$38:$I$57,-1)+1)),
INDEX(Assumptions!$I$38:$I$57,MATCH(T22,Assumptions!$I$38:$I$57,-1)),
INDEX(Assumptions!$I$38:$I$57,MATCH(T22,Assumptions!$I$38:$I$57,-1)+1)),
IF(T22&gt;=AVERAGE(
INDEX(Assumptions!$I$13:$I$32,MATCH(T22,Assumptions!$I$13:$I$32,-1)),
INDEX(Assumptions!$I$13:$I$32,MATCH(T22,Assumptions!$I$13:$I$32,-1)+1)),
INDEX(Assumptions!$I$13:$I$32,MATCH(T22,Assumptions!$I$13:$I$32,-1)),
INDEX(Assumptions!$I$13:$I$32,MATCH(T22,Assumptions!$I$13:$I$32,-1)+1))),
"")</f>
        <v/>
      </c>
      <c r="AN22" s="95" t="str">
        <f>IFERROR(
IF(C22="VTS",
VLOOKUP(AM22,Assumptions!$I$38:$K$57,MATCH(U22,Assumptions!$I$37:$K$37,0),FALSE),
VLOOKUP(AM22,Assumptions!$I$13:$K$32,MATCH(U22,Assumptions!$I$12:$K$12,0),FALSE)),
"")</f>
        <v/>
      </c>
      <c r="AO22" s="95" t="str">
        <f t="shared" si="14"/>
        <v/>
      </c>
      <c r="AP22" s="95" t="str">
        <f>IFERROR(AO22*
(Assumptions!$S$7*(AA22/(AS22*Assumptions!$AB$9/100)/T22)^3+
Assumptions!$S$8*(AA22/(AS22*Assumptions!$AB$9/100)/T22)^2+
Assumptions!$S$9*(AA22/(AS22*Assumptions!$AB$9/100)/T22)+
Assumptions!$S$10),"")</f>
        <v/>
      </c>
      <c r="AQ22" s="95" t="str">
        <f>IFERROR(AO22*
(Assumptions!$S$7*(AK22/(AS22*Assumptions!$AB$8/100)/T22)^3+
Assumptions!$S$8*(AK22/(AS22*Assumptions!$AB$8/100)/T22)^2+
Assumptions!$S$9*(AK22/(AS22*Assumptions!$AB$8/100)/T22)+
Assumptions!$S$10),"")</f>
        <v/>
      </c>
      <c r="AR22" s="95" t="str">
        <f>IFERROR(AO22*
(Assumptions!$S$7*(AL22/(AS22*Assumptions!$AB$10/100)/T22)^3+
Assumptions!$S$8*(AL22/(AS22*Assumptions!$AB$10/100)/T22)^2+
Assumptions!$S$9*(AL22/(AS22*Assumptions!$AB$10/100)/T22)+
Assumptions!$S$10),"")</f>
        <v/>
      </c>
      <c r="AS22" s="95" t="str">
        <f>IFERROR(
Assumptions!$AD$8*LN(X22)^2+
Assumptions!$AE$8*LN(W22)*LN(X22)+
Assumptions!$AF$8*LN(W22)^2+
Assumptions!$AG$8*LN(X22)+
Assumptions!$AH$8*LN(W22)-
(IF(V22=1800,
VLOOKUP(C22,Assumptions!$AA$13:$AC$17,3),
IF(V22=3600,
VLOOKUP(C22,Assumptions!$AA$18:$AC$22,3),""))+Assumptions!$AI$8),
"")</f>
        <v/>
      </c>
      <c r="AT22" s="96" t="str">
        <f>IFERROR(
Assumptions!$D$11*(AA22/(Assumptions!$AB$9*AS22/100)+AP22)+
Assumptions!$D$10*(AK22/(Assumptions!$AB$8*AS22/100)+AQ22)+
Assumptions!$D$12*(AL22/(Assumptions!$AB$10*AS22/100)+AR22),
"")</f>
        <v/>
      </c>
      <c r="AU22" s="76" t="str">
        <f>IFERROR(
Z22*Assumptions!$F$11+
AD22*Assumptions!$F$10+
AG22*Assumptions!$F$9+
AJ22*Assumptions!$F$8,
"")</f>
        <v/>
      </c>
      <c r="AV22" s="77" t="str">
        <f t="shared" si="18"/>
        <v/>
      </c>
      <c r="AW22" s="68" t="str">
        <f t="shared" si="19"/>
        <v/>
      </c>
    </row>
    <row r="23" spans="1:49" x14ac:dyDescent="0.25">
      <c r="A23" s="264"/>
      <c r="B23" s="265"/>
      <c r="C23" s="265"/>
      <c r="D23" s="265"/>
      <c r="E23" s="266"/>
      <c r="F23" s="270"/>
      <c r="G23" s="271"/>
      <c r="H23" s="310"/>
      <c r="I23" s="270"/>
      <c r="J23" s="271"/>
      <c r="K23" s="272"/>
      <c r="L23" s="308"/>
      <c r="M23" s="271"/>
      <c r="N23" s="310"/>
      <c r="O23" s="270"/>
      <c r="P23" s="271"/>
      <c r="Q23" s="272"/>
      <c r="R23" s="272"/>
      <c r="S23" s="318"/>
      <c r="T23" s="306"/>
      <c r="U23" s="84" t="str">
        <f t="shared" si="0"/>
        <v/>
      </c>
      <c r="V23" s="84" t="str">
        <f t="shared" si="15"/>
        <v/>
      </c>
      <c r="W23" s="93" t="str">
        <f t="shared" si="1"/>
        <v/>
      </c>
      <c r="X23" s="100" t="str">
        <f t="shared" si="2"/>
        <v/>
      </c>
      <c r="Y23" s="95" t="str">
        <f t="shared" si="3"/>
        <v/>
      </c>
      <c r="Z23" s="95" t="str">
        <f t="shared" si="4"/>
        <v/>
      </c>
      <c r="AA23" s="98" t="str">
        <f>IFERROR(X23*Y23*Assumptions!$B$15/3956,"")</f>
        <v/>
      </c>
      <c r="AB23" s="100" t="str">
        <f t="shared" si="16"/>
        <v/>
      </c>
      <c r="AC23" s="95" t="str">
        <f t="shared" si="17"/>
        <v/>
      </c>
      <c r="AD23" s="95" t="str">
        <f t="shared" si="5"/>
        <v/>
      </c>
      <c r="AE23" s="100" t="str">
        <f t="shared" si="6"/>
        <v/>
      </c>
      <c r="AF23" s="95" t="str">
        <f t="shared" si="7"/>
        <v/>
      </c>
      <c r="AG23" s="98" t="str">
        <f t="shared" si="8"/>
        <v/>
      </c>
      <c r="AH23" s="100" t="str">
        <f t="shared" si="9"/>
        <v/>
      </c>
      <c r="AI23" s="95" t="str">
        <f t="shared" si="10"/>
        <v/>
      </c>
      <c r="AJ23" s="98" t="str">
        <f t="shared" si="11"/>
        <v/>
      </c>
      <c r="AK23" s="94" t="str">
        <f t="shared" si="12"/>
        <v/>
      </c>
      <c r="AL23" s="96" t="str">
        <f t="shared" si="13"/>
        <v/>
      </c>
      <c r="AM23" s="244" t="str">
        <f>IFERROR(
IF(C23="VTS",
IF(T23&gt;=AVERAGE(
INDEX(Assumptions!$I$38:$I$57,MATCH(T23,Assumptions!$I$38:$I$57,-1)),
INDEX(Assumptions!$I$38:$I$57,MATCH(T23,Assumptions!$I$38:$I$57,-1)+1)),
INDEX(Assumptions!$I$38:$I$57,MATCH(T23,Assumptions!$I$38:$I$57,-1)),
INDEX(Assumptions!$I$38:$I$57,MATCH(T23,Assumptions!$I$38:$I$57,-1)+1)),
IF(T23&gt;=AVERAGE(
INDEX(Assumptions!$I$13:$I$32,MATCH(T23,Assumptions!$I$13:$I$32,-1)),
INDEX(Assumptions!$I$13:$I$32,MATCH(T23,Assumptions!$I$13:$I$32,-1)+1)),
INDEX(Assumptions!$I$13:$I$32,MATCH(T23,Assumptions!$I$13:$I$32,-1)),
INDEX(Assumptions!$I$13:$I$32,MATCH(T23,Assumptions!$I$13:$I$32,-1)+1))),
"")</f>
        <v/>
      </c>
      <c r="AN23" s="95" t="str">
        <f>IFERROR(
IF(C23="VTS",
VLOOKUP(AM23,Assumptions!$I$38:$K$57,MATCH(U23,Assumptions!$I$37:$K$37,0),FALSE),
VLOOKUP(AM23,Assumptions!$I$13:$K$32,MATCH(U23,Assumptions!$I$12:$K$12,0),FALSE)),
"")</f>
        <v/>
      </c>
      <c r="AO23" s="95" t="str">
        <f t="shared" si="14"/>
        <v/>
      </c>
      <c r="AP23" s="95" t="str">
        <f>IFERROR(AO23*
(Assumptions!$S$7*(AA23/(AS23*Assumptions!$AB$9/100)/T23)^3+
Assumptions!$S$8*(AA23/(AS23*Assumptions!$AB$9/100)/T23)^2+
Assumptions!$S$9*(AA23/(AS23*Assumptions!$AB$9/100)/T23)+
Assumptions!$S$10),"")</f>
        <v/>
      </c>
      <c r="AQ23" s="95" t="str">
        <f>IFERROR(AO23*
(Assumptions!$S$7*(AK23/(AS23*Assumptions!$AB$8/100)/T23)^3+
Assumptions!$S$8*(AK23/(AS23*Assumptions!$AB$8/100)/T23)^2+
Assumptions!$S$9*(AK23/(AS23*Assumptions!$AB$8/100)/T23)+
Assumptions!$S$10),"")</f>
        <v/>
      </c>
      <c r="AR23" s="95" t="str">
        <f>IFERROR(AO23*
(Assumptions!$S$7*(AL23/(AS23*Assumptions!$AB$10/100)/T23)^3+
Assumptions!$S$8*(AL23/(AS23*Assumptions!$AB$10/100)/T23)^2+
Assumptions!$S$9*(AL23/(AS23*Assumptions!$AB$10/100)/T23)+
Assumptions!$S$10),"")</f>
        <v/>
      </c>
      <c r="AS23" s="95" t="str">
        <f>IFERROR(
Assumptions!$AD$8*LN(X23)^2+
Assumptions!$AE$8*LN(W23)*LN(X23)+
Assumptions!$AF$8*LN(W23)^2+
Assumptions!$AG$8*LN(X23)+
Assumptions!$AH$8*LN(W23)-
(IF(V23=1800,
VLOOKUP(C23,Assumptions!$AA$13:$AC$17,3),
IF(V23=3600,
VLOOKUP(C23,Assumptions!$AA$18:$AC$22,3),""))+Assumptions!$AI$8),
"")</f>
        <v/>
      </c>
      <c r="AT23" s="96" t="str">
        <f>IFERROR(
Assumptions!$D$11*(AA23/(Assumptions!$AB$9*AS23/100)+AP23)+
Assumptions!$D$10*(AK23/(Assumptions!$AB$8*AS23/100)+AQ23)+
Assumptions!$D$12*(AL23/(Assumptions!$AB$10*AS23/100)+AR23),
"")</f>
        <v/>
      </c>
      <c r="AU23" s="76" t="str">
        <f>IFERROR(
Z23*Assumptions!$F$11+
AD23*Assumptions!$F$10+
AG23*Assumptions!$F$9+
AJ23*Assumptions!$F$8,
"")</f>
        <v/>
      </c>
      <c r="AV23" s="77" t="str">
        <f t="shared" si="18"/>
        <v/>
      </c>
      <c r="AW23" s="68" t="str">
        <f t="shared" si="19"/>
        <v/>
      </c>
    </row>
    <row r="24" spans="1:49" x14ac:dyDescent="0.25">
      <c r="A24" s="264"/>
      <c r="B24" s="265"/>
      <c r="C24" s="265"/>
      <c r="D24" s="265"/>
      <c r="E24" s="266"/>
      <c r="F24" s="270"/>
      <c r="G24" s="271"/>
      <c r="H24" s="310"/>
      <c r="I24" s="270"/>
      <c r="J24" s="271"/>
      <c r="K24" s="272"/>
      <c r="L24" s="308"/>
      <c r="M24" s="271"/>
      <c r="N24" s="310"/>
      <c r="O24" s="270"/>
      <c r="P24" s="271"/>
      <c r="Q24" s="272"/>
      <c r="R24" s="272"/>
      <c r="S24" s="318"/>
      <c r="T24" s="306"/>
      <c r="U24" s="84" t="str">
        <f t="shared" si="0"/>
        <v/>
      </c>
      <c r="V24" s="84" t="str">
        <f t="shared" si="15"/>
        <v/>
      </c>
      <c r="W24" s="93" t="str">
        <f t="shared" si="1"/>
        <v/>
      </c>
      <c r="X24" s="100" t="str">
        <f t="shared" si="2"/>
        <v/>
      </c>
      <c r="Y24" s="95" t="str">
        <f t="shared" si="3"/>
        <v/>
      </c>
      <c r="Z24" s="95" t="str">
        <f t="shared" si="4"/>
        <v/>
      </c>
      <c r="AA24" s="98" t="str">
        <f>IFERROR(X24*Y24*Assumptions!$B$15/3956,"")</f>
        <v/>
      </c>
      <c r="AB24" s="100" t="str">
        <f t="shared" si="16"/>
        <v/>
      </c>
      <c r="AC24" s="95" t="str">
        <f t="shared" si="17"/>
        <v/>
      </c>
      <c r="AD24" s="95" t="str">
        <f t="shared" si="5"/>
        <v/>
      </c>
      <c r="AE24" s="100" t="str">
        <f t="shared" si="6"/>
        <v/>
      </c>
      <c r="AF24" s="95" t="str">
        <f t="shared" si="7"/>
        <v/>
      </c>
      <c r="AG24" s="98" t="str">
        <f t="shared" si="8"/>
        <v/>
      </c>
      <c r="AH24" s="100" t="str">
        <f t="shared" si="9"/>
        <v/>
      </c>
      <c r="AI24" s="95" t="str">
        <f t="shared" si="10"/>
        <v/>
      </c>
      <c r="AJ24" s="98" t="str">
        <f t="shared" si="11"/>
        <v/>
      </c>
      <c r="AK24" s="94" t="str">
        <f t="shared" si="12"/>
        <v/>
      </c>
      <c r="AL24" s="96" t="str">
        <f t="shared" si="13"/>
        <v/>
      </c>
      <c r="AM24" s="244" t="str">
        <f>IFERROR(
IF(C24="VTS",
IF(T24&gt;=AVERAGE(
INDEX(Assumptions!$I$38:$I$57,MATCH(T24,Assumptions!$I$38:$I$57,-1)),
INDEX(Assumptions!$I$38:$I$57,MATCH(T24,Assumptions!$I$38:$I$57,-1)+1)),
INDEX(Assumptions!$I$38:$I$57,MATCH(T24,Assumptions!$I$38:$I$57,-1)),
INDEX(Assumptions!$I$38:$I$57,MATCH(T24,Assumptions!$I$38:$I$57,-1)+1)),
IF(T24&gt;=AVERAGE(
INDEX(Assumptions!$I$13:$I$32,MATCH(T24,Assumptions!$I$13:$I$32,-1)),
INDEX(Assumptions!$I$13:$I$32,MATCH(T24,Assumptions!$I$13:$I$32,-1)+1)),
INDEX(Assumptions!$I$13:$I$32,MATCH(T24,Assumptions!$I$13:$I$32,-1)),
INDEX(Assumptions!$I$13:$I$32,MATCH(T24,Assumptions!$I$13:$I$32,-1)+1))),
"")</f>
        <v/>
      </c>
      <c r="AN24" s="95" t="str">
        <f>IFERROR(
IF(C24="VTS",
VLOOKUP(AM24,Assumptions!$I$38:$K$57,MATCH(U24,Assumptions!$I$37:$K$37,0),FALSE),
VLOOKUP(AM24,Assumptions!$I$13:$K$32,MATCH(U24,Assumptions!$I$12:$K$12,0),FALSE)),
"")</f>
        <v/>
      </c>
      <c r="AO24" s="95" t="str">
        <f t="shared" si="14"/>
        <v/>
      </c>
      <c r="AP24" s="95" t="str">
        <f>IFERROR(AO24*
(Assumptions!$S$7*(AA24/(AS24*Assumptions!$AB$9/100)/T24)^3+
Assumptions!$S$8*(AA24/(AS24*Assumptions!$AB$9/100)/T24)^2+
Assumptions!$S$9*(AA24/(AS24*Assumptions!$AB$9/100)/T24)+
Assumptions!$S$10),"")</f>
        <v/>
      </c>
      <c r="AQ24" s="95" t="str">
        <f>IFERROR(AO24*
(Assumptions!$S$7*(AK24/(AS24*Assumptions!$AB$8/100)/T24)^3+
Assumptions!$S$8*(AK24/(AS24*Assumptions!$AB$8/100)/T24)^2+
Assumptions!$S$9*(AK24/(AS24*Assumptions!$AB$8/100)/T24)+
Assumptions!$S$10),"")</f>
        <v/>
      </c>
      <c r="AR24" s="95" t="str">
        <f>IFERROR(AO24*
(Assumptions!$S$7*(AL24/(AS24*Assumptions!$AB$10/100)/T24)^3+
Assumptions!$S$8*(AL24/(AS24*Assumptions!$AB$10/100)/T24)^2+
Assumptions!$S$9*(AL24/(AS24*Assumptions!$AB$10/100)/T24)+
Assumptions!$S$10),"")</f>
        <v/>
      </c>
      <c r="AS24" s="95" t="str">
        <f>IFERROR(
Assumptions!$AD$8*LN(X24)^2+
Assumptions!$AE$8*LN(W24)*LN(X24)+
Assumptions!$AF$8*LN(W24)^2+
Assumptions!$AG$8*LN(X24)+
Assumptions!$AH$8*LN(W24)-
(IF(V24=1800,
VLOOKUP(C24,Assumptions!$AA$13:$AC$17,3),
IF(V24=3600,
VLOOKUP(C24,Assumptions!$AA$18:$AC$22,3),""))+Assumptions!$AI$8),
"")</f>
        <v/>
      </c>
      <c r="AT24" s="96" t="str">
        <f>IFERROR(
Assumptions!$D$11*(AA24/(Assumptions!$AB$9*AS24/100)+AP24)+
Assumptions!$D$10*(AK24/(Assumptions!$AB$8*AS24/100)+AQ24)+
Assumptions!$D$12*(AL24/(Assumptions!$AB$10*AS24/100)+AR24),
"")</f>
        <v/>
      </c>
      <c r="AU24" s="76" t="str">
        <f>IFERROR(
Z24*Assumptions!$F$11+
AD24*Assumptions!$F$10+
AG24*Assumptions!$F$9+
AJ24*Assumptions!$F$8,
"")</f>
        <v/>
      </c>
      <c r="AV24" s="77" t="str">
        <f t="shared" si="18"/>
        <v/>
      </c>
      <c r="AW24" s="68" t="str">
        <f t="shared" si="19"/>
        <v/>
      </c>
    </row>
    <row r="25" spans="1:49" x14ac:dyDescent="0.25">
      <c r="A25" s="264"/>
      <c r="B25" s="265"/>
      <c r="C25" s="265"/>
      <c r="D25" s="265"/>
      <c r="E25" s="266"/>
      <c r="F25" s="270"/>
      <c r="G25" s="271"/>
      <c r="H25" s="310"/>
      <c r="I25" s="270"/>
      <c r="J25" s="271"/>
      <c r="K25" s="272"/>
      <c r="L25" s="308"/>
      <c r="M25" s="271"/>
      <c r="N25" s="310"/>
      <c r="O25" s="270"/>
      <c r="P25" s="271"/>
      <c r="Q25" s="272"/>
      <c r="R25" s="272"/>
      <c r="S25" s="318"/>
      <c r="T25" s="306"/>
      <c r="U25" s="84" t="str">
        <f t="shared" si="0"/>
        <v/>
      </c>
      <c r="V25" s="84" t="str">
        <f t="shared" si="15"/>
        <v/>
      </c>
      <c r="W25" s="93" t="str">
        <f t="shared" si="1"/>
        <v/>
      </c>
      <c r="X25" s="100" t="str">
        <f t="shared" si="2"/>
        <v/>
      </c>
      <c r="Y25" s="95" t="str">
        <f t="shared" si="3"/>
        <v/>
      </c>
      <c r="Z25" s="95" t="str">
        <f t="shared" si="4"/>
        <v/>
      </c>
      <c r="AA25" s="98" t="str">
        <f>IFERROR(X25*Y25*Assumptions!$B$15/3956,"")</f>
        <v/>
      </c>
      <c r="AB25" s="100" t="str">
        <f t="shared" si="16"/>
        <v/>
      </c>
      <c r="AC25" s="95" t="str">
        <f t="shared" si="17"/>
        <v/>
      </c>
      <c r="AD25" s="95" t="str">
        <f t="shared" si="5"/>
        <v/>
      </c>
      <c r="AE25" s="100" t="str">
        <f t="shared" si="6"/>
        <v/>
      </c>
      <c r="AF25" s="95" t="str">
        <f t="shared" si="7"/>
        <v/>
      </c>
      <c r="AG25" s="98" t="str">
        <f t="shared" si="8"/>
        <v/>
      </c>
      <c r="AH25" s="100" t="str">
        <f t="shared" si="9"/>
        <v/>
      </c>
      <c r="AI25" s="95" t="str">
        <f t="shared" si="10"/>
        <v/>
      </c>
      <c r="AJ25" s="98" t="str">
        <f t="shared" si="11"/>
        <v/>
      </c>
      <c r="AK25" s="94" t="str">
        <f t="shared" si="12"/>
        <v/>
      </c>
      <c r="AL25" s="96" t="str">
        <f t="shared" si="13"/>
        <v/>
      </c>
      <c r="AM25" s="244" t="str">
        <f>IFERROR(
IF(C25="VTS",
IF(T25&gt;=AVERAGE(
INDEX(Assumptions!$I$38:$I$57,MATCH(T25,Assumptions!$I$38:$I$57,-1)),
INDEX(Assumptions!$I$38:$I$57,MATCH(T25,Assumptions!$I$38:$I$57,-1)+1)),
INDEX(Assumptions!$I$38:$I$57,MATCH(T25,Assumptions!$I$38:$I$57,-1)),
INDEX(Assumptions!$I$38:$I$57,MATCH(T25,Assumptions!$I$38:$I$57,-1)+1)),
IF(T25&gt;=AVERAGE(
INDEX(Assumptions!$I$13:$I$32,MATCH(T25,Assumptions!$I$13:$I$32,-1)),
INDEX(Assumptions!$I$13:$I$32,MATCH(T25,Assumptions!$I$13:$I$32,-1)+1)),
INDEX(Assumptions!$I$13:$I$32,MATCH(T25,Assumptions!$I$13:$I$32,-1)),
INDEX(Assumptions!$I$13:$I$32,MATCH(T25,Assumptions!$I$13:$I$32,-1)+1))),
"")</f>
        <v/>
      </c>
      <c r="AN25" s="95" t="str">
        <f>IFERROR(
IF(C25="VTS",
VLOOKUP(AM25,Assumptions!$I$38:$K$57,MATCH(U25,Assumptions!$I$37:$K$37,0),FALSE),
VLOOKUP(AM25,Assumptions!$I$13:$K$32,MATCH(U25,Assumptions!$I$12:$K$12,0),FALSE)),
"")</f>
        <v/>
      </c>
      <c r="AO25" s="95" t="str">
        <f t="shared" si="14"/>
        <v/>
      </c>
      <c r="AP25" s="95" t="str">
        <f>IFERROR(AO25*
(Assumptions!$S$7*(AA25/(AS25*Assumptions!$AB$9/100)/T25)^3+
Assumptions!$S$8*(AA25/(AS25*Assumptions!$AB$9/100)/T25)^2+
Assumptions!$S$9*(AA25/(AS25*Assumptions!$AB$9/100)/T25)+
Assumptions!$S$10),"")</f>
        <v/>
      </c>
      <c r="AQ25" s="95" t="str">
        <f>IFERROR(AO25*
(Assumptions!$S$7*(AK25/(AS25*Assumptions!$AB$8/100)/T25)^3+
Assumptions!$S$8*(AK25/(AS25*Assumptions!$AB$8/100)/T25)^2+
Assumptions!$S$9*(AK25/(AS25*Assumptions!$AB$8/100)/T25)+
Assumptions!$S$10),"")</f>
        <v/>
      </c>
      <c r="AR25" s="95" t="str">
        <f>IFERROR(AO25*
(Assumptions!$S$7*(AL25/(AS25*Assumptions!$AB$10/100)/T25)^3+
Assumptions!$S$8*(AL25/(AS25*Assumptions!$AB$10/100)/T25)^2+
Assumptions!$S$9*(AL25/(AS25*Assumptions!$AB$10/100)/T25)+
Assumptions!$S$10),"")</f>
        <v/>
      </c>
      <c r="AS25" s="95" t="str">
        <f>IFERROR(
Assumptions!$AD$8*LN(X25)^2+
Assumptions!$AE$8*LN(W25)*LN(X25)+
Assumptions!$AF$8*LN(W25)^2+
Assumptions!$AG$8*LN(X25)+
Assumptions!$AH$8*LN(W25)-
(IF(V25=1800,
VLOOKUP(C25,Assumptions!$AA$13:$AC$17,3),
IF(V25=3600,
VLOOKUP(C25,Assumptions!$AA$18:$AC$22,3),""))+Assumptions!$AI$8),
"")</f>
        <v/>
      </c>
      <c r="AT25" s="96" t="str">
        <f>IFERROR(
Assumptions!$D$11*(AA25/(Assumptions!$AB$9*AS25/100)+AP25)+
Assumptions!$D$10*(AK25/(Assumptions!$AB$8*AS25/100)+AQ25)+
Assumptions!$D$12*(AL25/(Assumptions!$AB$10*AS25/100)+AR25),
"")</f>
        <v/>
      </c>
      <c r="AU25" s="76" t="str">
        <f>IFERROR(
Z25*Assumptions!$F$11+
AD25*Assumptions!$F$10+
AG25*Assumptions!$F$9+
AJ25*Assumptions!$F$8,
"")</f>
        <v/>
      </c>
      <c r="AV25" s="77" t="str">
        <f t="shared" si="18"/>
        <v/>
      </c>
      <c r="AW25" s="68" t="str">
        <f t="shared" si="19"/>
        <v/>
      </c>
    </row>
    <row r="26" spans="1:49" x14ac:dyDescent="0.25">
      <c r="A26" s="264"/>
      <c r="B26" s="265"/>
      <c r="C26" s="265"/>
      <c r="D26" s="265"/>
      <c r="E26" s="266"/>
      <c r="F26" s="270"/>
      <c r="G26" s="271"/>
      <c r="H26" s="310"/>
      <c r="I26" s="270"/>
      <c r="J26" s="271"/>
      <c r="K26" s="272"/>
      <c r="L26" s="308"/>
      <c r="M26" s="271"/>
      <c r="N26" s="310"/>
      <c r="O26" s="270"/>
      <c r="P26" s="271"/>
      <c r="Q26" s="272"/>
      <c r="R26" s="272"/>
      <c r="S26" s="318"/>
      <c r="T26" s="306"/>
      <c r="U26" s="84" t="str">
        <f t="shared" si="0"/>
        <v/>
      </c>
      <c r="V26" s="84" t="str">
        <f t="shared" si="15"/>
        <v/>
      </c>
      <c r="W26" s="93" t="str">
        <f t="shared" si="1"/>
        <v/>
      </c>
      <c r="X26" s="100" t="str">
        <f t="shared" si="2"/>
        <v/>
      </c>
      <c r="Y26" s="95" t="str">
        <f t="shared" si="3"/>
        <v/>
      </c>
      <c r="Z26" s="95" t="str">
        <f t="shared" si="4"/>
        <v/>
      </c>
      <c r="AA26" s="98" t="str">
        <f>IFERROR(X26*Y26*Assumptions!$B$15/3956,"")</f>
        <v/>
      </c>
      <c r="AB26" s="100" t="str">
        <f t="shared" si="16"/>
        <v/>
      </c>
      <c r="AC26" s="95" t="str">
        <f t="shared" si="17"/>
        <v/>
      </c>
      <c r="AD26" s="95" t="str">
        <f t="shared" si="5"/>
        <v/>
      </c>
      <c r="AE26" s="100" t="str">
        <f t="shared" si="6"/>
        <v/>
      </c>
      <c r="AF26" s="95" t="str">
        <f t="shared" si="7"/>
        <v/>
      </c>
      <c r="AG26" s="98" t="str">
        <f t="shared" si="8"/>
        <v/>
      </c>
      <c r="AH26" s="100" t="str">
        <f t="shared" si="9"/>
        <v/>
      </c>
      <c r="AI26" s="95" t="str">
        <f t="shared" si="10"/>
        <v/>
      </c>
      <c r="AJ26" s="98" t="str">
        <f t="shared" si="11"/>
        <v/>
      </c>
      <c r="AK26" s="94" t="str">
        <f t="shared" si="12"/>
        <v/>
      </c>
      <c r="AL26" s="96" t="str">
        <f t="shared" si="13"/>
        <v/>
      </c>
      <c r="AM26" s="244" t="str">
        <f>IFERROR(
IF(C26="VTS",
IF(T26&gt;=AVERAGE(
INDEX(Assumptions!$I$38:$I$57,MATCH(T26,Assumptions!$I$38:$I$57,-1)),
INDEX(Assumptions!$I$38:$I$57,MATCH(T26,Assumptions!$I$38:$I$57,-1)+1)),
INDEX(Assumptions!$I$38:$I$57,MATCH(T26,Assumptions!$I$38:$I$57,-1)),
INDEX(Assumptions!$I$38:$I$57,MATCH(T26,Assumptions!$I$38:$I$57,-1)+1)),
IF(T26&gt;=AVERAGE(
INDEX(Assumptions!$I$13:$I$32,MATCH(T26,Assumptions!$I$13:$I$32,-1)),
INDEX(Assumptions!$I$13:$I$32,MATCH(T26,Assumptions!$I$13:$I$32,-1)+1)),
INDEX(Assumptions!$I$13:$I$32,MATCH(T26,Assumptions!$I$13:$I$32,-1)),
INDEX(Assumptions!$I$13:$I$32,MATCH(T26,Assumptions!$I$13:$I$32,-1)+1))),
"")</f>
        <v/>
      </c>
      <c r="AN26" s="95" t="str">
        <f>IFERROR(
IF(C26="VTS",
VLOOKUP(AM26,Assumptions!$I$38:$K$57,MATCH(U26,Assumptions!$I$37:$K$37,0),FALSE),
VLOOKUP(AM26,Assumptions!$I$13:$K$32,MATCH(U26,Assumptions!$I$12:$K$12,0),FALSE)),
"")</f>
        <v/>
      </c>
      <c r="AO26" s="95" t="str">
        <f t="shared" si="14"/>
        <v/>
      </c>
      <c r="AP26" s="95" t="str">
        <f>IFERROR(AO26*
(Assumptions!$S$7*(AA26/(AS26*Assumptions!$AB$9/100)/T26)^3+
Assumptions!$S$8*(AA26/(AS26*Assumptions!$AB$9/100)/T26)^2+
Assumptions!$S$9*(AA26/(AS26*Assumptions!$AB$9/100)/T26)+
Assumptions!$S$10),"")</f>
        <v/>
      </c>
      <c r="AQ26" s="95" t="str">
        <f>IFERROR(AO26*
(Assumptions!$S$7*(AK26/(AS26*Assumptions!$AB$8/100)/T26)^3+
Assumptions!$S$8*(AK26/(AS26*Assumptions!$AB$8/100)/T26)^2+
Assumptions!$S$9*(AK26/(AS26*Assumptions!$AB$8/100)/T26)+
Assumptions!$S$10),"")</f>
        <v/>
      </c>
      <c r="AR26" s="95" t="str">
        <f>IFERROR(AO26*
(Assumptions!$S$7*(AL26/(AS26*Assumptions!$AB$10/100)/T26)^3+
Assumptions!$S$8*(AL26/(AS26*Assumptions!$AB$10/100)/T26)^2+
Assumptions!$S$9*(AL26/(AS26*Assumptions!$AB$10/100)/T26)+
Assumptions!$S$10),"")</f>
        <v/>
      </c>
      <c r="AS26" s="95" t="str">
        <f>IFERROR(
Assumptions!$AD$8*LN(X26)^2+
Assumptions!$AE$8*LN(W26)*LN(X26)+
Assumptions!$AF$8*LN(W26)^2+
Assumptions!$AG$8*LN(X26)+
Assumptions!$AH$8*LN(W26)-
(IF(V26=1800,
VLOOKUP(C26,Assumptions!$AA$13:$AC$17,3),
IF(V26=3600,
VLOOKUP(C26,Assumptions!$AA$18:$AC$22,3),""))+Assumptions!$AI$8),
"")</f>
        <v/>
      </c>
      <c r="AT26" s="96" t="str">
        <f>IFERROR(
Assumptions!$D$11*(AA26/(Assumptions!$AB$9*AS26/100)+AP26)+
Assumptions!$D$10*(AK26/(Assumptions!$AB$8*AS26/100)+AQ26)+
Assumptions!$D$12*(AL26/(Assumptions!$AB$10*AS26/100)+AR26),
"")</f>
        <v/>
      </c>
      <c r="AU26" s="76" t="str">
        <f>IFERROR(
Z26*Assumptions!$F$11+
AD26*Assumptions!$F$10+
AG26*Assumptions!$F$9+
AJ26*Assumptions!$F$8,
"")</f>
        <v/>
      </c>
      <c r="AV26" s="77" t="str">
        <f t="shared" si="18"/>
        <v/>
      </c>
      <c r="AW26" s="68" t="str">
        <f t="shared" si="19"/>
        <v/>
      </c>
    </row>
    <row r="27" spans="1:49" x14ac:dyDescent="0.25">
      <c r="A27" s="264"/>
      <c r="B27" s="265"/>
      <c r="C27" s="265"/>
      <c r="D27" s="265"/>
      <c r="E27" s="266"/>
      <c r="F27" s="270"/>
      <c r="G27" s="271"/>
      <c r="H27" s="310"/>
      <c r="I27" s="270"/>
      <c r="J27" s="271"/>
      <c r="K27" s="272"/>
      <c r="L27" s="308"/>
      <c r="M27" s="271"/>
      <c r="N27" s="310"/>
      <c r="O27" s="270"/>
      <c r="P27" s="271"/>
      <c r="Q27" s="272"/>
      <c r="R27" s="272"/>
      <c r="S27" s="318"/>
      <c r="T27" s="306"/>
      <c r="U27" s="84" t="str">
        <f t="shared" si="0"/>
        <v/>
      </c>
      <c r="V27" s="84" t="str">
        <f t="shared" si="15"/>
        <v/>
      </c>
      <c r="W27" s="93" t="str">
        <f t="shared" si="1"/>
        <v/>
      </c>
      <c r="X27" s="100" t="str">
        <f t="shared" si="2"/>
        <v/>
      </c>
      <c r="Y27" s="95" t="str">
        <f t="shared" si="3"/>
        <v/>
      </c>
      <c r="Z27" s="95" t="str">
        <f t="shared" si="4"/>
        <v/>
      </c>
      <c r="AA27" s="98" t="str">
        <f>IFERROR(X27*Y27*Assumptions!$B$15/3956,"")</f>
        <v/>
      </c>
      <c r="AB27" s="100" t="str">
        <f t="shared" si="16"/>
        <v/>
      </c>
      <c r="AC27" s="95" t="str">
        <f t="shared" si="17"/>
        <v/>
      </c>
      <c r="AD27" s="95" t="str">
        <f t="shared" si="5"/>
        <v/>
      </c>
      <c r="AE27" s="100" t="str">
        <f t="shared" si="6"/>
        <v/>
      </c>
      <c r="AF27" s="95" t="str">
        <f t="shared" si="7"/>
        <v/>
      </c>
      <c r="AG27" s="98" t="str">
        <f t="shared" si="8"/>
        <v/>
      </c>
      <c r="AH27" s="100" t="str">
        <f t="shared" si="9"/>
        <v/>
      </c>
      <c r="AI27" s="95" t="str">
        <f t="shared" si="10"/>
        <v/>
      </c>
      <c r="AJ27" s="98" t="str">
        <f t="shared" si="11"/>
        <v/>
      </c>
      <c r="AK27" s="94" t="str">
        <f t="shared" si="12"/>
        <v/>
      </c>
      <c r="AL27" s="96" t="str">
        <f t="shared" si="13"/>
        <v/>
      </c>
      <c r="AM27" s="244" t="str">
        <f>IFERROR(
IF(C27="VTS",
IF(T27&gt;=AVERAGE(
INDEX(Assumptions!$I$38:$I$57,MATCH(T27,Assumptions!$I$38:$I$57,-1)),
INDEX(Assumptions!$I$38:$I$57,MATCH(T27,Assumptions!$I$38:$I$57,-1)+1)),
INDEX(Assumptions!$I$38:$I$57,MATCH(T27,Assumptions!$I$38:$I$57,-1)),
INDEX(Assumptions!$I$38:$I$57,MATCH(T27,Assumptions!$I$38:$I$57,-1)+1)),
IF(T27&gt;=AVERAGE(
INDEX(Assumptions!$I$13:$I$32,MATCH(T27,Assumptions!$I$13:$I$32,-1)),
INDEX(Assumptions!$I$13:$I$32,MATCH(T27,Assumptions!$I$13:$I$32,-1)+1)),
INDEX(Assumptions!$I$13:$I$32,MATCH(T27,Assumptions!$I$13:$I$32,-1)),
INDEX(Assumptions!$I$13:$I$32,MATCH(T27,Assumptions!$I$13:$I$32,-1)+1))),
"")</f>
        <v/>
      </c>
      <c r="AN27" s="95" t="str">
        <f>IFERROR(
IF(C27="VTS",
VLOOKUP(AM27,Assumptions!$I$38:$K$57,MATCH(U27,Assumptions!$I$37:$K$37,0),FALSE),
VLOOKUP(AM27,Assumptions!$I$13:$K$32,MATCH(U27,Assumptions!$I$12:$K$12,0),FALSE)),
"")</f>
        <v/>
      </c>
      <c r="AO27" s="95" t="str">
        <f t="shared" si="14"/>
        <v/>
      </c>
      <c r="AP27" s="95" t="str">
        <f>IFERROR(AO27*
(Assumptions!$S$7*(AA27/(AS27*Assumptions!$AB$9/100)/T27)^3+
Assumptions!$S$8*(AA27/(AS27*Assumptions!$AB$9/100)/T27)^2+
Assumptions!$S$9*(AA27/(AS27*Assumptions!$AB$9/100)/T27)+
Assumptions!$S$10),"")</f>
        <v/>
      </c>
      <c r="AQ27" s="95" t="str">
        <f>IFERROR(AO27*
(Assumptions!$S$7*(AK27/(AS27*Assumptions!$AB$8/100)/T27)^3+
Assumptions!$S$8*(AK27/(AS27*Assumptions!$AB$8/100)/T27)^2+
Assumptions!$S$9*(AK27/(AS27*Assumptions!$AB$8/100)/T27)+
Assumptions!$S$10),"")</f>
        <v/>
      </c>
      <c r="AR27" s="95" t="str">
        <f>IFERROR(AO27*
(Assumptions!$S$7*(AL27/(AS27*Assumptions!$AB$10/100)/T27)^3+
Assumptions!$S$8*(AL27/(AS27*Assumptions!$AB$10/100)/T27)^2+
Assumptions!$S$9*(AL27/(AS27*Assumptions!$AB$10/100)/T27)+
Assumptions!$S$10),"")</f>
        <v/>
      </c>
      <c r="AS27" s="95" t="str">
        <f>IFERROR(
Assumptions!$AD$8*LN(X27)^2+
Assumptions!$AE$8*LN(W27)*LN(X27)+
Assumptions!$AF$8*LN(W27)^2+
Assumptions!$AG$8*LN(X27)+
Assumptions!$AH$8*LN(W27)-
(IF(V27=1800,
VLOOKUP(C27,Assumptions!$AA$13:$AC$17,3),
IF(V27=3600,
VLOOKUP(C27,Assumptions!$AA$18:$AC$22,3),""))+Assumptions!$AI$8),
"")</f>
        <v/>
      </c>
      <c r="AT27" s="96" t="str">
        <f>IFERROR(
Assumptions!$D$11*(AA27/(Assumptions!$AB$9*AS27/100)+AP27)+
Assumptions!$D$10*(AK27/(Assumptions!$AB$8*AS27/100)+AQ27)+
Assumptions!$D$12*(AL27/(Assumptions!$AB$10*AS27/100)+AR27),
"")</f>
        <v/>
      </c>
      <c r="AU27" s="76" t="str">
        <f>IFERROR(
Z27*Assumptions!$F$11+
AD27*Assumptions!$F$10+
AG27*Assumptions!$F$9+
AJ27*Assumptions!$F$8,
"")</f>
        <v/>
      </c>
      <c r="AV27" s="77" t="str">
        <f t="shared" si="18"/>
        <v/>
      </c>
      <c r="AW27" s="68" t="str">
        <f t="shared" si="19"/>
        <v/>
      </c>
    </row>
    <row r="28" spans="1:49" x14ac:dyDescent="0.25">
      <c r="A28" s="264"/>
      <c r="B28" s="265"/>
      <c r="C28" s="265"/>
      <c r="D28" s="265"/>
      <c r="E28" s="266"/>
      <c r="F28" s="270"/>
      <c r="G28" s="271"/>
      <c r="H28" s="310"/>
      <c r="I28" s="270"/>
      <c r="J28" s="271"/>
      <c r="K28" s="272"/>
      <c r="L28" s="308"/>
      <c r="M28" s="271"/>
      <c r="N28" s="310"/>
      <c r="O28" s="270"/>
      <c r="P28" s="271"/>
      <c r="Q28" s="272"/>
      <c r="R28" s="272"/>
      <c r="S28" s="318"/>
      <c r="T28" s="306"/>
      <c r="U28" s="84" t="str">
        <f t="shared" si="0"/>
        <v/>
      </c>
      <c r="V28" s="84" t="str">
        <f t="shared" si="15"/>
        <v/>
      </c>
      <c r="W28" s="93" t="str">
        <f t="shared" si="1"/>
        <v/>
      </c>
      <c r="X28" s="100" t="str">
        <f t="shared" si="2"/>
        <v/>
      </c>
      <c r="Y28" s="95" t="str">
        <f t="shared" si="3"/>
        <v/>
      </c>
      <c r="Z28" s="95" t="str">
        <f t="shared" si="4"/>
        <v/>
      </c>
      <c r="AA28" s="98" t="str">
        <f>IFERROR(X28*Y28*Assumptions!$B$15/3956,"")</f>
        <v/>
      </c>
      <c r="AB28" s="100" t="str">
        <f t="shared" si="16"/>
        <v/>
      </c>
      <c r="AC28" s="95" t="str">
        <f t="shared" si="17"/>
        <v/>
      </c>
      <c r="AD28" s="95" t="str">
        <f t="shared" si="5"/>
        <v/>
      </c>
      <c r="AE28" s="100" t="str">
        <f t="shared" si="6"/>
        <v/>
      </c>
      <c r="AF28" s="95" t="str">
        <f t="shared" si="7"/>
        <v/>
      </c>
      <c r="AG28" s="98" t="str">
        <f t="shared" si="8"/>
        <v/>
      </c>
      <c r="AH28" s="100" t="str">
        <f t="shared" si="9"/>
        <v/>
      </c>
      <c r="AI28" s="95" t="str">
        <f t="shared" si="10"/>
        <v/>
      </c>
      <c r="AJ28" s="98" t="str">
        <f t="shared" si="11"/>
        <v/>
      </c>
      <c r="AK28" s="94" t="str">
        <f t="shared" si="12"/>
        <v/>
      </c>
      <c r="AL28" s="96" t="str">
        <f t="shared" si="13"/>
        <v/>
      </c>
      <c r="AM28" s="244" t="str">
        <f>IFERROR(
IF(C28="VTS",
IF(T28&gt;=AVERAGE(
INDEX(Assumptions!$I$38:$I$57,MATCH(T28,Assumptions!$I$38:$I$57,-1)),
INDEX(Assumptions!$I$38:$I$57,MATCH(T28,Assumptions!$I$38:$I$57,-1)+1)),
INDEX(Assumptions!$I$38:$I$57,MATCH(T28,Assumptions!$I$38:$I$57,-1)),
INDEX(Assumptions!$I$38:$I$57,MATCH(T28,Assumptions!$I$38:$I$57,-1)+1)),
IF(T28&gt;=AVERAGE(
INDEX(Assumptions!$I$13:$I$32,MATCH(T28,Assumptions!$I$13:$I$32,-1)),
INDEX(Assumptions!$I$13:$I$32,MATCH(T28,Assumptions!$I$13:$I$32,-1)+1)),
INDEX(Assumptions!$I$13:$I$32,MATCH(T28,Assumptions!$I$13:$I$32,-1)),
INDEX(Assumptions!$I$13:$I$32,MATCH(T28,Assumptions!$I$13:$I$32,-1)+1))),
"")</f>
        <v/>
      </c>
      <c r="AN28" s="95" t="str">
        <f>IFERROR(
IF(C28="VTS",
VLOOKUP(AM28,Assumptions!$I$38:$K$57,MATCH(U28,Assumptions!$I$37:$K$37,0),FALSE),
VLOOKUP(AM28,Assumptions!$I$13:$K$32,MATCH(U28,Assumptions!$I$12:$K$12,0),FALSE)),
"")</f>
        <v/>
      </c>
      <c r="AO28" s="95" t="str">
        <f t="shared" si="14"/>
        <v/>
      </c>
      <c r="AP28" s="95" t="str">
        <f>IFERROR(AO28*
(Assumptions!$S$7*(AA28/(AS28*Assumptions!$AB$9/100)/T28)^3+
Assumptions!$S$8*(AA28/(AS28*Assumptions!$AB$9/100)/T28)^2+
Assumptions!$S$9*(AA28/(AS28*Assumptions!$AB$9/100)/T28)+
Assumptions!$S$10),"")</f>
        <v/>
      </c>
      <c r="AQ28" s="95" t="str">
        <f>IFERROR(AO28*
(Assumptions!$S$7*(AK28/(AS28*Assumptions!$AB$8/100)/T28)^3+
Assumptions!$S$8*(AK28/(AS28*Assumptions!$AB$8/100)/T28)^2+
Assumptions!$S$9*(AK28/(AS28*Assumptions!$AB$8/100)/T28)+
Assumptions!$S$10),"")</f>
        <v/>
      </c>
      <c r="AR28" s="95" t="str">
        <f>IFERROR(AO28*
(Assumptions!$S$7*(AL28/(AS28*Assumptions!$AB$10/100)/T28)^3+
Assumptions!$S$8*(AL28/(AS28*Assumptions!$AB$10/100)/T28)^2+
Assumptions!$S$9*(AL28/(AS28*Assumptions!$AB$10/100)/T28)+
Assumptions!$S$10),"")</f>
        <v/>
      </c>
      <c r="AS28" s="95" t="str">
        <f>IFERROR(
Assumptions!$AD$8*LN(X28)^2+
Assumptions!$AE$8*LN(W28)*LN(X28)+
Assumptions!$AF$8*LN(W28)^2+
Assumptions!$AG$8*LN(X28)+
Assumptions!$AH$8*LN(W28)-
(IF(V28=1800,
VLOOKUP(C28,Assumptions!$AA$13:$AC$17,3),
IF(V28=3600,
VLOOKUP(C28,Assumptions!$AA$18:$AC$22,3),""))+Assumptions!$AI$8),
"")</f>
        <v/>
      </c>
      <c r="AT28" s="96" t="str">
        <f>IFERROR(
Assumptions!$D$11*(AA28/(Assumptions!$AB$9*AS28/100)+AP28)+
Assumptions!$D$10*(AK28/(Assumptions!$AB$8*AS28/100)+AQ28)+
Assumptions!$D$12*(AL28/(Assumptions!$AB$10*AS28/100)+AR28),
"")</f>
        <v/>
      </c>
      <c r="AU28" s="76" t="str">
        <f>IFERROR(
Z28*Assumptions!$F$11+
AD28*Assumptions!$F$10+
AG28*Assumptions!$F$9+
AJ28*Assumptions!$F$8,
"")</f>
        <v/>
      </c>
      <c r="AV28" s="77" t="str">
        <f t="shared" si="18"/>
        <v/>
      </c>
      <c r="AW28" s="68" t="str">
        <f t="shared" si="19"/>
        <v/>
      </c>
    </row>
    <row r="29" spans="1:49" x14ac:dyDescent="0.25">
      <c r="A29" s="264"/>
      <c r="B29" s="265"/>
      <c r="C29" s="265"/>
      <c r="D29" s="265"/>
      <c r="E29" s="266"/>
      <c r="F29" s="270"/>
      <c r="G29" s="271"/>
      <c r="H29" s="310"/>
      <c r="I29" s="270"/>
      <c r="J29" s="271"/>
      <c r="K29" s="272"/>
      <c r="L29" s="308"/>
      <c r="M29" s="271"/>
      <c r="N29" s="310"/>
      <c r="O29" s="270"/>
      <c r="P29" s="271"/>
      <c r="Q29" s="272"/>
      <c r="R29" s="272"/>
      <c r="S29" s="318"/>
      <c r="T29" s="306"/>
      <c r="U29" s="84" t="str">
        <f t="shared" si="0"/>
        <v/>
      </c>
      <c r="V29" s="84" t="str">
        <f t="shared" si="15"/>
        <v/>
      </c>
      <c r="W29" s="93" t="str">
        <f t="shared" si="1"/>
        <v/>
      </c>
      <c r="X29" s="100" t="str">
        <f t="shared" si="2"/>
        <v/>
      </c>
      <c r="Y29" s="95" t="str">
        <f t="shared" si="3"/>
        <v/>
      </c>
      <c r="Z29" s="95" t="str">
        <f t="shared" si="4"/>
        <v/>
      </c>
      <c r="AA29" s="98" t="str">
        <f>IFERROR(X29*Y29*Assumptions!$B$15/3956,"")</f>
        <v/>
      </c>
      <c r="AB29" s="100" t="str">
        <f t="shared" si="16"/>
        <v/>
      </c>
      <c r="AC29" s="95" t="str">
        <f t="shared" si="17"/>
        <v/>
      </c>
      <c r="AD29" s="95" t="str">
        <f t="shared" si="5"/>
        <v/>
      </c>
      <c r="AE29" s="100" t="str">
        <f t="shared" si="6"/>
        <v/>
      </c>
      <c r="AF29" s="95" t="str">
        <f t="shared" si="7"/>
        <v/>
      </c>
      <c r="AG29" s="98" t="str">
        <f t="shared" si="8"/>
        <v/>
      </c>
      <c r="AH29" s="100" t="str">
        <f t="shared" si="9"/>
        <v/>
      </c>
      <c r="AI29" s="95" t="str">
        <f t="shared" si="10"/>
        <v/>
      </c>
      <c r="AJ29" s="98" t="str">
        <f t="shared" si="11"/>
        <v/>
      </c>
      <c r="AK29" s="94" t="str">
        <f t="shared" si="12"/>
        <v/>
      </c>
      <c r="AL29" s="96" t="str">
        <f t="shared" si="13"/>
        <v/>
      </c>
      <c r="AM29" s="244" t="str">
        <f>IFERROR(
IF(C29="VTS",
IF(T29&gt;=AVERAGE(
INDEX(Assumptions!$I$38:$I$57,MATCH(T29,Assumptions!$I$38:$I$57,-1)),
INDEX(Assumptions!$I$38:$I$57,MATCH(T29,Assumptions!$I$38:$I$57,-1)+1)),
INDEX(Assumptions!$I$38:$I$57,MATCH(T29,Assumptions!$I$38:$I$57,-1)),
INDEX(Assumptions!$I$38:$I$57,MATCH(T29,Assumptions!$I$38:$I$57,-1)+1)),
IF(T29&gt;=AVERAGE(
INDEX(Assumptions!$I$13:$I$32,MATCH(T29,Assumptions!$I$13:$I$32,-1)),
INDEX(Assumptions!$I$13:$I$32,MATCH(T29,Assumptions!$I$13:$I$32,-1)+1)),
INDEX(Assumptions!$I$13:$I$32,MATCH(T29,Assumptions!$I$13:$I$32,-1)),
INDEX(Assumptions!$I$13:$I$32,MATCH(T29,Assumptions!$I$13:$I$32,-1)+1))),
"")</f>
        <v/>
      </c>
      <c r="AN29" s="95" t="str">
        <f>IFERROR(
IF(C29="VTS",
VLOOKUP(AM29,Assumptions!$I$38:$K$57,MATCH(U29,Assumptions!$I$37:$K$37,0),FALSE),
VLOOKUP(AM29,Assumptions!$I$13:$K$32,MATCH(U29,Assumptions!$I$12:$K$12,0),FALSE)),
"")</f>
        <v/>
      </c>
      <c r="AO29" s="95" t="str">
        <f t="shared" si="14"/>
        <v/>
      </c>
      <c r="AP29" s="95" t="str">
        <f>IFERROR(AO29*
(Assumptions!$S$7*(AA29/(AS29*Assumptions!$AB$9/100)/T29)^3+
Assumptions!$S$8*(AA29/(AS29*Assumptions!$AB$9/100)/T29)^2+
Assumptions!$S$9*(AA29/(AS29*Assumptions!$AB$9/100)/T29)+
Assumptions!$S$10),"")</f>
        <v/>
      </c>
      <c r="AQ29" s="95" t="str">
        <f>IFERROR(AO29*
(Assumptions!$S$7*(AK29/(AS29*Assumptions!$AB$8/100)/T29)^3+
Assumptions!$S$8*(AK29/(AS29*Assumptions!$AB$8/100)/T29)^2+
Assumptions!$S$9*(AK29/(AS29*Assumptions!$AB$8/100)/T29)+
Assumptions!$S$10),"")</f>
        <v/>
      </c>
      <c r="AR29" s="95" t="str">
        <f>IFERROR(AO29*
(Assumptions!$S$7*(AL29/(AS29*Assumptions!$AB$10/100)/T29)^3+
Assumptions!$S$8*(AL29/(AS29*Assumptions!$AB$10/100)/T29)^2+
Assumptions!$S$9*(AL29/(AS29*Assumptions!$AB$10/100)/T29)+
Assumptions!$S$10),"")</f>
        <v/>
      </c>
      <c r="AS29" s="95" t="str">
        <f>IFERROR(
Assumptions!$AD$8*LN(X29)^2+
Assumptions!$AE$8*LN(W29)*LN(X29)+
Assumptions!$AF$8*LN(W29)^2+
Assumptions!$AG$8*LN(X29)+
Assumptions!$AH$8*LN(W29)-
(IF(V29=1800,
VLOOKUP(C29,Assumptions!$AA$13:$AC$17,3),
IF(V29=3600,
VLOOKUP(C29,Assumptions!$AA$18:$AC$22,3),""))+Assumptions!$AI$8),
"")</f>
        <v/>
      </c>
      <c r="AT29" s="96" t="str">
        <f>IFERROR(
Assumptions!$D$11*(AA29/(Assumptions!$AB$9*AS29/100)+AP29)+
Assumptions!$D$10*(AK29/(Assumptions!$AB$8*AS29/100)+AQ29)+
Assumptions!$D$12*(AL29/(Assumptions!$AB$10*AS29/100)+AR29),
"")</f>
        <v/>
      </c>
      <c r="AU29" s="76" t="str">
        <f>IFERROR(
Z29*Assumptions!$F$11+
AD29*Assumptions!$F$10+
AG29*Assumptions!$F$9+
AJ29*Assumptions!$F$8,
"")</f>
        <v/>
      </c>
      <c r="AV29" s="77" t="str">
        <f t="shared" si="18"/>
        <v/>
      </c>
      <c r="AW29" s="68" t="str">
        <f t="shared" si="19"/>
        <v/>
      </c>
    </row>
    <row r="30" spans="1:49" x14ac:dyDescent="0.25">
      <c r="A30" s="264"/>
      <c r="B30" s="265"/>
      <c r="C30" s="265"/>
      <c r="D30" s="265"/>
      <c r="E30" s="266"/>
      <c r="F30" s="270"/>
      <c r="G30" s="271"/>
      <c r="H30" s="310"/>
      <c r="I30" s="270"/>
      <c r="J30" s="271"/>
      <c r="K30" s="272"/>
      <c r="L30" s="308"/>
      <c r="M30" s="271"/>
      <c r="N30" s="310"/>
      <c r="O30" s="270"/>
      <c r="P30" s="271"/>
      <c r="Q30" s="272"/>
      <c r="R30" s="272"/>
      <c r="S30" s="318"/>
      <c r="T30" s="306"/>
      <c r="U30" s="84" t="str">
        <f t="shared" si="0"/>
        <v/>
      </c>
      <c r="V30" s="84" t="str">
        <f t="shared" si="15"/>
        <v/>
      </c>
      <c r="W30" s="93" t="str">
        <f t="shared" si="1"/>
        <v/>
      </c>
      <c r="X30" s="100" t="str">
        <f t="shared" si="2"/>
        <v/>
      </c>
      <c r="Y30" s="95" t="str">
        <f t="shared" si="3"/>
        <v/>
      </c>
      <c r="Z30" s="95" t="str">
        <f t="shared" si="4"/>
        <v/>
      </c>
      <c r="AA30" s="98" t="str">
        <f>IFERROR(X30*Y30*Assumptions!$B$15/3956,"")</f>
        <v/>
      </c>
      <c r="AB30" s="100" t="str">
        <f t="shared" si="16"/>
        <v/>
      </c>
      <c r="AC30" s="95" t="str">
        <f t="shared" si="17"/>
        <v/>
      </c>
      <c r="AD30" s="95" t="str">
        <f t="shared" si="5"/>
        <v/>
      </c>
      <c r="AE30" s="100" t="str">
        <f t="shared" si="6"/>
        <v/>
      </c>
      <c r="AF30" s="95" t="str">
        <f t="shared" si="7"/>
        <v/>
      </c>
      <c r="AG30" s="98" t="str">
        <f t="shared" si="8"/>
        <v/>
      </c>
      <c r="AH30" s="100" t="str">
        <f t="shared" si="9"/>
        <v/>
      </c>
      <c r="AI30" s="95" t="str">
        <f t="shared" si="10"/>
        <v/>
      </c>
      <c r="AJ30" s="98" t="str">
        <f t="shared" si="11"/>
        <v/>
      </c>
      <c r="AK30" s="94" t="str">
        <f t="shared" si="12"/>
        <v/>
      </c>
      <c r="AL30" s="96" t="str">
        <f t="shared" si="13"/>
        <v/>
      </c>
      <c r="AM30" s="244" t="str">
        <f>IFERROR(
IF(C30="VTS",
IF(T30&gt;=AVERAGE(
INDEX(Assumptions!$I$38:$I$57,MATCH(T30,Assumptions!$I$38:$I$57,-1)),
INDEX(Assumptions!$I$38:$I$57,MATCH(T30,Assumptions!$I$38:$I$57,-1)+1)),
INDEX(Assumptions!$I$38:$I$57,MATCH(T30,Assumptions!$I$38:$I$57,-1)),
INDEX(Assumptions!$I$38:$I$57,MATCH(T30,Assumptions!$I$38:$I$57,-1)+1)),
IF(T30&gt;=AVERAGE(
INDEX(Assumptions!$I$13:$I$32,MATCH(T30,Assumptions!$I$13:$I$32,-1)),
INDEX(Assumptions!$I$13:$I$32,MATCH(T30,Assumptions!$I$13:$I$32,-1)+1)),
INDEX(Assumptions!$I$13:$I$32,MATCH(T30,Assumptions!$I$13:$I$32,-1)),
INDEX(Assumptions!$I$13:$I$32,MATCH(T30,Assumptions!$I$13:$I$32,-1)+1))),
"")</f>
        <v/>
      </c>
      <c r="AN30" s="95" t="str">
        <f>IFERROR(
IF(C30="VTS",
VLOOKUP(AM30,Assumptions!$I$38:$K$57,MATCH(U30,Assumptions!$I$37:$K$37,0),FALSE),
VLOOKUP(AM30,Assumptions!$I$13:$K$32,MATCH(U30,Assumptions!$I$12:$K$12,0),FALSE)),
"")</f>
        <v/>
      </c>
      <c r="AO30" s="95" t="str">
        <f t="shared" si="14"/>
        <v/>
      </c>
      <c r="AP30" s="95" t="str">
        <f>IFERROR(AO30*
(Assumptions!$S$7*(AA30/(AS30*Assumptions!$AB$9/100)/T30)^3+
Assumptions!$S$8*(AA30/(AS30*Assumptions!$AB$9/100)/T30)^2+
Assumptions!$S$9*(AA30/(AS30*Assumptions!$AB$9/100)/T30)+
Assumptions!$S$10),"")</f>
        <v/>
      </c>
      <c r="AQ30" s="95" t="str">
        <f>IFERROR(AO30*
(Assumptions!$S$7*(AK30/(AS30*Assumptions!$AB$8/100)/T30)^3+
Assumptions!$S$8*(AK30/(AS30*Assumptions!$AB$8/100)/T30)^2+
Assumptions!$S$9*(AK30/(AS30*Assumptions!$AB$8/100)/T30)+
Assumptions!$S$10),"")</f>
        <v/>
      </c>
      <c r="AR30" s="95" t="str">
        <f>IFERROR(AO30*
(Assumptions!$S$7*(AL30/(AS30*Assumptions!$AB$10/100)/T30)^3+
Assumptions!$S$8*(AL30/(AS30*Assumptions!$AB$10/100)/T30)^2+
Assumptions!$S$9*(AL30/(AS30*Assumptions!$AB$10/100)/T30)+
Assumptions!$S$10),"")</f>
        <v/>
      </c>
      <c r="AS30" s="95" t="str">
        <f>IFERROR(
Assumptions!$AD$8*LN(X30)^2+
Assumptions!$AE$8*LN(W30)*LN(X30)+
Assumptions!$AF$8*LN(W30)^2+
Assumptions!$AG$8*LN(X30)+
Assumptions!$AH$8*LN(W30)-
(IF(V30=1800,
VLOOKUP(C30,Assumptions!$AA$13:$AC$17,3),
IF(V30=3600,
VLOOKUP(C30,Assumptions!$AA$18:$AC$22,3),""))+Assumptions!$AI$8),
"")</f>
        <v/>
      </c>
      <c r="AT30" s="96" t="str">
        <f>IFERROR(
Assumptions!$D$11*(AA30/(Assumptions!$AB$9*AS30/100)+AP30)+
Assumptions!$D$10*(AK30/(Assumptions!$AB$8*AS30/100)+AQ30)+
Assumptions!$D$12*(AL30/(Assumptions!$AB$10*AS30/100)+AR30),
"")</f>
        <v/>
      </c>
      <c r="AU30" s="76" t="str">
        <f>IFERROR(
Z30*Assumptions!$F$11+
AD30*Assumptions!$F$10+
AG30*Assumptions!$F$9+
AJ30*Assumptions!$F$8,
"")</f>
        <v/>
      </c>
      <c r="AV30" s="77" t="str">
        <f t="shared" si="18"/>
        <v/>
      </c>
      <c r="AW30" s="68" t="str">
        <f t="shared" si="19"/>
        <v/>
      </c>
    </row>
    <row r="31" spans="1:49" x14ac:dyDescent="0.25">
      <c r="A31" s="264"/>
      <c r="B31" s="265"/>
      <c r="C31" s="265"/>
      <c r="D31" s="265"/>
      <c r="E31" s="266"/>
      <c r="F31" s="270"/>
      <c r="G31" s="271"/>
      <c r="H31" s="310"/>
      <c r="I31" s="270"/>
      <c r="J31" s="271"/>
      <c r="K31" s="272"/>
      <c r="L31" s="308"/>
      <c r="M31" s="271"/>
      <c r="N31" s="310"/>
      <c r="O31" s="270"/>
      <c r="P31" s="271"/>
      <c r="Q31" s="272"/>
      <c r="R31" s="272"/>
      <c r="S31" s="318"/>
      <c r="T31" s="306"/>
      <c r="U31" s="84" t="str">
        <f t="shared" si="0"/>
        <v/>
      </c>
      <c r="V31" s="84" t="str">
        <f t="shared" si="15"/>
        <v/>
      </c>
      <c r="W31" s="93" t="str">
        <f t="shared" si="1"/>
        <v/>
      </c>
      <c r="X31" s="100" t="str">
        <f t="shared" si="2"/>
        <v/>
      </c>
      <c r="Y31" s="95" t="str">
        <f t="shared" si="3"/>
        <v/>
      </c>
      <c r="Z31" s="95" t="str">
        <f t="shared" si="4"/>
        <v/>
      </c>
      <c r="AA31" s="98" t="str">
        <f>IFERROR(X31*Y31*Assumptions!$B$15/3956,"")</f>
        <v/>
      </c>
      <c r="AB31" s="100" t="str">
        <f t="shared" si="16"/>
        <v/>
      </c>
      <c r="AC31" s="95" t="str">
        <f t="shared" si="17"/>
        <v/>
      </c>
      <c r="AD31" s="95" t="str">
        <f t="shared" si="5"/>
        <v/>
      </c>
      <c r="AE31" s="100" t="str">
        <f t="shared" si="6"/>
        <v/>
      </c>
      <c r="AF31" s="95" t="str">
        <f t="shared" si="7"/>
        <v/>
      </c>
      <c r="AG31" s="98" t="str">
        <f t="shared" si="8"/>
        <v/>
      </c>
      <c r="AH31" s="100" t="str">
        <f t="shared" si="9"/>
        <v/>
      </c>
      <c r="AI31" s="95" t="str">
        <f t="shared" si="10"/>
        <v/>
      </c>
      <c r="AJ31" s="98" t="str">
        <f t="shared" si="11"/>
        <v/>
      </c>
      <c r="AK31" s="94" t="str">
        <f t="shared" si="12"/>
        <v/>
      </c>
      <c r="AL31" s="96" t="str">
        <f t="shared" si="13"/>
        <v/>
      </c>
      <c r="AM31" s="244" t="str">
        <f>IFERROR(
IF(C31="VTS",
IF(T31&gt;=AVERAGE(
INDEX(Assumptions!$I$38:$I$57,MATCH(T31,Assumptions!$I$38:$I$57,-1)),
INDEX(Assumptions!$I$38:$I$57,MATCH(T31,Assumptions!$I$38:$I$57,-1)+1)),
INDEX(Assumptions!$I$38:$I$57,MATCH(T31,Assumptions!$I$38:$I$57,-1)),
INDEX(Assumptions!$I$38:$I$57,MATCH(T31,Assumptions!$I$38:$I$57,-1)+1)),
IF(T31&gt;=AVERAGE(
INDEX(Assumptions!$I$13:$I$32,MATCH(T31,Assumptions!$I$13:$I$32,-1)),
INDEX(Assumptions!$I$13:$I$32,MATCH(T31,Assumptions!$I$13:$I$32,-1)+1)),
INDEX(Assumptions!$I$13:$I$32,MATCH(T31,Assumptions!$I$13:$I$32,-1)),
INDEX(Assumptions!$I$13:$I$32,MATCH(T31,Assumptions!$I$13:$I$32,-1)+1))),
"")</f>
        <v/>
      </c>
      <c r="AN31" s="95" t="str">
        <f>IFERROR(
IF(C31="VTS",
VLOOKUP(AM31,Assumptions!$I$38:$K$57,MATCH(U31,Assumptions!$I$37:$K$37,0),FALSE),
VLOOKUP(AM31,Assumptions!$I$13:$K$32,MATCH(U31,Assumptions!$I$12:$K$12,0),FALSE)),
"")</f>
        <v/>
      </c>
      <c r="AO31" s="95" t="str">
        <f t="shared" si="14"/>
        <v/>
      </c>
      <c r="AP31" s="95" t="str">
        <f>IFERROR(AO31*
(Assumptions!$S$7*(AA31/(AS31*Assumptions!$AB$9/100)/T31)^3+
Assumptions!$S$8*(AA31/(AS31*Assumptions!$AB$9/100)/T31)^2+
Assumptions!$S$9*(AA31/(AS31*Assumptions!$AB$9/100)/T31)+
Assumptions!$S$10),"")</f>
        <v/>
      </c>
      <c r="AQ31" s="95" t="str">
        <f>IFERROR(AO31*
(Assumptions!$S$7*(AK31/(AS31*Assumptions!$AB$8/100)/T31)^3+
Assumptions!$S$8*(AK31/(AS31*Assumptions!$AB$8/100)/T31)^2+
Assumptions!$S$9*(AK31/(AS31*Assumptions!$AB$8/100)/T31)+
Assumptions!$S$10),"")</f>
        <v/>
      </c>
      <c r="AR31" s="95" t="str">
        <f>IFERROR(AO31*
(Assumptions!$S$7*(AL31/(AS31*Assumptions!$AB$10/100)/T31)^3+
Assumptions!$S$8*(AL31/(AS31*Assumptions!$AB$10/100)/T31)^2+
Assumptions!$S$9*(AL31/(AS31*Assumptions!$AB$10/100)/T31)+
Assumptions!$S$10),"")</f>
        <v/>
      </c>
      <c r="AS31" s="95" t="str">
        <f>IFERROR(
Assumptions!$AD$8*LN(X31)^2+
Assumptions!$AE$8*LN(W31)*LN(X31)+
Assumptions!$AF$8*LN(W31)^2+
Assumptions!$AG$8*LN(X31)+
Assumptions!$AH$8*LN(W31)-
(IF(V31=1800,
VLOOKUP(C31,Assumptions!$AA$13:$AC$17,3),
IF(V31=3600,
VLOOKUP(C31,Assumptions!$AA$18:$AC$22,3),""))+Assumptions!$AI$8),
"")</f>
        <v/>
      </c>
      <c r="AT31" s="96" t="str">
        <f>IFERROR(
Assumptions!$D$11*(AA31/(Assumptions!$AB$9*AS31/100)+AP31)+
Assumptions!$D$10*(AK31/(Assumptions!$AB$8*AS31/100)+AQ31)+
Assumptions!$D$12*(AL31/(Assumptions!$AB$10*AS31/100)+AR31),
"")</f>
        <v/>
      </c>
      <c r="AU31" s="76" t="str">
        <f>IFERROR(
Z31*Assumptions!$F$11+
AD31*Assumptions!$F$10+
AG31*Assumptions!$F$9+
AJ31*Assumptions!$F$8,
"")</f>
        <v/>
      </c>
      <c r="AV31" s="77" t="str">
        <f t="shared" si="18"/>
        <v/>
      </c>
      <c r="AW31" s="68" t="str">
        <f t="shared" si="19"/>
        <v/>
      </c>
    </row>
    <row r="32" spans="1:49" x14ac:dyDescent="0.25">
      <c r="A32" s="264"/>
      <c r="B32" s="265"/>
      <c r="C32" s="265"/>
      <c r="D32" s="265"/>
      <c r="E32" s="266"/>
      <c r="F32" s="270"/>
      <c r="G32" s="271"/>
      <c r="H32" s="310"/>
      <c r="I32" s="270"/>
      <c r="J32" s="271"/>
      <c r="K32" s="272"/>
      <c r="L32" s="308"/>
      <c r="M32" s="271"/>
      <c r="N32" s="310"/>
      <c r="O32" s="270"/>
      <c r="P32" s="271"/>
      <c r="Q32" s="272"/>
      <c r="R32" s="272"/>
      <c r="S32" s="318"/>
      <c r="T32" s="306"/>
      <c r="U32" s="84" t="str">
        <f t="shared" si="0"/>
        <v/>
      </c>
      <c r="V32" s="84" t="str">
        <f t="shared" si="15"/>
        <v/>
      </c>
      <c r="W32" s="93" t="str">
        <f t="shared" si="1"/>
        <v/>
      </c>
      <c r="X32" s="100" t="str">
        <f t="shared" si="2"/>
        <v/>
      </c>
      <c r="Y32" s="95" t="str">
        <f t="shared" si="3"/>
        <v/>
      </c>
      <c r="Z32" s="95" t="str">
        <f t="shared" si="4"/>
        <v/>
      </c>
      <c r="AA32" s="98" t="str">
        <f>IFERROR(X32*Y32*Assumptions!$B$15/3956,"")</f>
        <v/>
      </c>
      <c r="AB32" s="100" t="str">
        <f t="shared" si="16"/>
        <v/>
      </c>
      <c r="AC32" s="95" t="str">
        <f t="shared" si="17"/>
        <v/>
      </c>
      <c r="AD32" s="95" t="str">
        <f t="shared" si="5"/>
        <v/>
      </c>
      <c r="AE32" s="100" t="str">
        <f t="shared" si="6"/>
        <v/>
      </c>
      <c r="AF32" s="95" t="str">
        <f t="shared" si="7"/>
        <v/>
      </c>
      <c r="AG32" s="98" t="str">
        <f t="shared" si="8"/>
        <v/>
      </c>
      <c r="AH32" s="100" t="str">
        <f t="shared" si="9"/>
        <v/>
      </c>
      <c r="AI32" s="95" t="str">
        <f t="shared" si="10"/>
        <v/>
      </c>
      <c r="AJ32" s="98" t="str">
        <f t="shared" si="11"/>
        <v/>
      </c>
      <c r="AK32" s="94" t="str">
        <f t="shared" si="12"/>
        <v/>
      </c>
      <c r="AL32" s="96" t="str">
        <f t="shared" si="13"/>
        <v/>
      </c>
      <c r="AM32" s="244" t="str">
        <f>IFERROR(
IF(C32="VTS",
IF(T32&gt;=AVERAGE(
INDEX(Assumptions!$I$38:$I$57,MATCH(T32,Assumptions!$I$38:$I$57,-1)),
INDEX(Assumptions!$I$38:$I$57,MATCH(T32,Assumptions!$I$38:$I$57,-1)+1)),
INDEX(Assumptions!$I$38:$I$57,MATCH(T32,Assumptions!$I$38:$I$57,-1)),
INDEX(Assumptions!$I$38:$I$57,MATCH(T32,Assumptions!$I$38:$I$57,-1)+1)),
IF(T32&gt;=AVERAGE(
INDEX(Assumptions!$I$13:$I$32,MATCH(T32,Assumptions!$I$13:$I$32,-1)),
INDEX(Assumptions!$I$13:$I$32,MATCH(T32,Assumptions!$I$13:$I$32,-1)+1)),
INDEX(Assumptions!$I$13:$I$32,MATCH(T32,Assumptions!$I$13:$I$32,-1)),
INDEX(Assumptions!$I$13:$I$32,MATCH(T32,Assumptions!$I$13:$I$32,-1)+1))),
"")</f>
        <v/>
      </c>
      <c r="AN32" s="95" t="str">
        <f>IFERROR(
IF(C32="VTS",
VLOOKUP(AM32,Assumptions!$I$38:$K$57,MATCH(U32,Assumptions!$I$37:$K$37,0),FALSE),
VLOOKUP(AM32,Assumptions!$I$13:$K$32,MATCH(U32,Assumptions!$I$12:$K$12,0),FALSE)),
"")</f>
        <v/>
      </c>
      <c r="AO32" s="95" t="str">
        <f t="shared" si="14"/>
        <v/>
      </c>
      <c r="AP32" s="95" t="str">
        <f>IFERROR(AO32*
(Assumptions!$S$7*(AA32/(AS32*Assumptions!$AB$9/100)/T32)^3+
Assumptions!$S$8*(AA32/(AS32*Assumptions!$AB$9/100)/T32)^2+
Assumptions!$S$9*(AA32/(AS32*Assumptions!$AB$9/100)/T32)+
Assumptions!$S$10),"")</f>
        <v/>
      </c>
      <c r="AQ32" s="95" t="str">
        <f>IFERROR(AO32*
(Assumptions!$S$7*(AK32/(AS32*Assumptions!$AB$8/100)/T32)^3+
Assumptions!$S$8*(AK32/(AS32*Assumptions!$AB$8/100)/T32)^2+
Assumptions!$S$9*(AK32/(AS32*Assumptions!$AB$8/100)/T32)+
Assumptions!$S$10),"")</f>
        <v/>
      </c>
      <c r="AR32" s="95" t="str">
        <f>IFERROR(AO32*
(Assumptions!$S$7*(AL32/(AS32*Assumptions!$AB$10/100)/T32)^3+
Assumptions!$S$8*(AL32/(AS32*Assumptions!$AB$10/100)/T32)^2+
Assumptions!$S$9*(AL32/(AS32*Assumptions!$AB$10/100)/T32)+
Assumptions!$S$10),"")</f>
        <v/>
      </c>
      <c r="AS32" s="95" t="str">
        <f>IFERROR(
Assumptions!$AD$8*LN(X32)^2+
Assumptions!$AE$8*LN(W32)*LN(X32)+
Assumptions!$AF$8*LN(W32)^2+
Assumptions!$AG$8*LN(X32)+
Assumptions!$AH$8*LN(W32)-
(IF(V32=1800,
VLOOKUP(C32,Assumptions!$AA$13:$AC$17,3),
IF(V32=3600,
VLOOKUP(C32,Assumptions!$AA$18:$AC$22,3),""))+Assumptions!$AI$8),
"")</f>
        <v/>
      </c>
      <c r="AT32" s="96" t="str">
        <f>IFERROR(
Assumptions!$D$11*(AA32/(Assumptions!$AB$9*AS32/100)+AP32)+
Assumptions!$D$10*(AK32/(Assumptions!$AB$8*AS32/100)+AQ32)+
Assumptions!$D$12*(AL32/(Assumptions!$AB$10*AS32/100)+AR32),
"")</f>
        <v/>
      </c>
      <c r="AU32" s="76" t="str">
        <f>IFERROR(
Z32*Assumptions!$F$11+
AD32*Assumptions!$F$10+
AG32*Assumptions!$F$9+
AJ32*Assumptions!$F$8,
"")</f>
        <v/>
      </c>
      <c r="AV32" s="77" t="str">
        <f t="shared" si="18"/>
        <v/>
      </c>
      <c r="AW32" s="68" t="str">
        <f t="shared" si="19"/>
        <v/>
      </c>
    </row>
    <row r="33" spans="1:49" x14ac:dyDescent="0.25">
      <c r="A33" s="264"/>
      <c r="B33" s="265"/>
      <c r="C33" s="265"/>
      <c r="D33" s="265"/>
      <c r="E33" s="266"/>
      <c r="F33" s="270"/>
      <c r="G33" s="271"/>
      <c r="H33" s="310"/>
      <c r="I33" s="270"/>
      <c r="J33" s="271"/>
      <c r="K33" s="272"/>
      <c r="L33" s="308"/>
      <c r="M33" s="271"/>
      <c r="N33" s="310"/>
      <c r="O33" s="270"/>
      <c r="P33" s="271"/>
      <c r="Q33" s="272"/>
      <c r="R33" s="272"/>
      <c r="S33" s="318"/>
      <c r="T33" s="306"/>
      <c r="U33" s="84" t="str">
        <f t="shared" si="0"/>
        <v/>
      </c>
      <c r="V33" s="84" t="str">
        <f t="shared" si="15"/>
        <v/>
      </c>
      <c r="W33" s="93" t="str">
        <f t="shared" si="1"/>
        <v/>
      </c>
      <c r="X33" s="100" t="str">
        <f t="shared" si="2"/>
        <v/>
      </c>
      <c r="Y33" s="95" t="str">
        <f t="shared" si="3"/>
        <v/>
      </c>
      <c r="Z33" s="95" t="str">
        <f t="shared" si="4"/>
        <v/>
      </c>
      <c r="AA33" s="98" t="str">
        <f>IFERROR(X33*Y33*Assumptions!$B$15/3956,"")</f>
        <v/>
      </c>
      <c r="AB33" s="100" t="str">
        <f t="shared" si="16"/>
        <v/>
      </c>
      <c r="AC33" s="95" t="str">
        <f t="shared" si="17"/>
        <v/>
      </c>
      <c r="AD33" s="95" t="str">
        <f t="shared" si="5"/>
        <v/>
      </c>
      <c r="AE33" s="100" t="str">
        <f t="shared" si="6"/>
        <v/>
      </c>
      <c r="AF33" s="95" t="str">
        <f t="shared" si="7"/>
        <v/>
      </c>
      <c r="AG33" s="98" t="str">
        <f t="shared" si="8"/>
        <v/>
      </c>
      <c r="AH33" s="100" t="str">
        <f t="shared" si="9"/>
        <v/>
      </c>
      <c r="AI33" s="95" t="str">
        <f t="shared" si="10"/>
        <v/>
      </c>
      <c r="AJ33" s="98" t="str">
        <f t="shared" si="11"/>
        <v/>
      </c>
      <c r="AK33" s="94" t="str">
        <f t="shared" si="12"/>
        <v/>
      </c>
      <c r="AL33" s="96" t="str">
        <f t="shared" si="13"/>
        <v/>
      </c>
      <c r="AM33" s="244" t="str">
        <f>IFERROR(
IF(C33="VTS",
IF(T33&gt;=AVERAGE(
INDEX(Assumptions!$I$38:$I$57,MATCH(T33,Assumptions!$I$38:$I$57,-1)),
INDEX(Assumptions!$I$38:$I$57,MATCH(T33,Assumptions!$I$38:$I$57,-1)+1)),
INDEX(Assumptions!$I$38:$I$57,MATCH(T33,Assumptions!$I$38:$I$57,-1)),
INDEX(Assumptions!$I$38:$I$57,MATCH(T33,Assumptions!$I$38:$I$57,-1)+1)),
IF(T33&gt;=AVERAGE(
INDEX(Assumptions!$I$13:$I$32,MATCH(T33,Assumptions!$I$13:$I$32,-1)),
INDEX(Assumptions!$I$13:$I$32,MATCH(T33,Assumptions!$I$13:$I$32,-1)+1)),
INDEX(Assumptions!$I$13:$I$32,MATCH(T33,Assumptions!$I$13:$I$32,-1)),
INDEX(Assumptions!$I$13:$I$32,MATCH(T33,Assumptions!$I$13:$I$32,-1)+1))),
"")</f>
        <v/>
      </c>
      <c r="AN33" s="95" t="str">
        <f>IFERROR(
IF(C33="VTS",
VLOOKUP(AM33,Assumptions!$I$38:$K$57,MATCH(U33,Assumptions!$I$37:$K$37,0),FALSE),
VLOOKUP(AM33,Assumptions!$I$13:$K$32,MATCH(U33,Assumptions!$I$12:$K$12,0),FALSE)),
"")</f>
        <v/>
      </c>
      <c r="AO33" s="95" t="str">
        <f t="shared" si="14"/>
        <v/>
      </c>
      <c r="AP33" s="95" t="str">
        <f>IFERROR(AO33*
(Assumptions!$S$7*(AA33/(AS33*Assumptions!$AB$9/100)/T33)^3+
Assumptions!$S$8*(AA33/(AS33*Assumptions!$AB$9/100)/T33)^2+
Assumptions!$S$9*(AA33/(AS33*Assumptions!$AB$9/100)/T33)+
Assumptions!$S$10),"")</f>
        <v/>
      </c>
      <c r="AQ33" s="95" t="str">
        <f>IFERROR(AO33*
(Assumptions!$S$7*(AK33/(AS33*Assumptions!$AB$8/100)/T33)^3+
Assumptions!$S$8*(AK33/(AS33*Assumptions!$AB$8/100)/T33)^2+
Assumptions!$S$9*(AK33/(AS33*Assumptions!$AB$8/100)/T33)+
Assumptions!$S$10),"")</f>
        <v/>
      </c>
      <c r="AR33" s="95" t="str">
        <f>IFERROR(AO33*
(Assumptions!$S$7*(AL33/(AS33*Assumptions!$AB$10/100)/T33)^3+
Assumptions!$S$8*(AL33/(AS33*Assumptions!$AB$10/100)/T33)^2+
Assumptions!$S$9*(AL33/(AS33*Assumptions!$AB$10/100)/T33)+
Assumptions!$S$10),"")</f>
        <v/>
      </c>
      <c r="AS33" s="95" t="str">
        <f>IFERROR(
Assumptions!$AD$8*LN(X33)^2+
Assumptions!$AE$8*LN(W33)*LN(X33)+
Assumptions!$AF$8*LN(W33)^2+
Assumptions!$AG$8*LN(X33)+
Assumptions!$AH$8*LN(W33)-
(IF(V33=1800,
VLOOKUP(C33,Assumptions!$AA$13:$AC$17,3),
IF(V33=3600,
VLOOKUP(C33,Assumptions!$AA$18:$AC$22,3),""))+Assumptions!$AI$8),
"")</f>
        <v/>
      </c>
      <c r="AT33" s="96" t="str">
        <f>IFERROR(
Assumptions!$D$11*(AA33/(Assumptions!$AB$9*AS33/100)+AP33)+
Assumptions!$D$10*(AK33/(Assumptions!$AB$8*AS33/100)+AQ33)+
Assumptions!$D$12*(AL33/(Assumptions!$AB$10*AS33/100)+AR33),
"")</f>
        <v/>
      </c>
      <c r="AU33" s="76" t="str">
        <f>IFERROR(
Z33*Assumptions!$F$11+
AD33*Assumptions!$F$10+
AG33*Assumptions!$F$9+
AJ33*Assumptions!$F$8,
"")</f>
        <v/>
      </c>
      <c r="AV33" s="77" t="str">
        <f t="shared" si="18"/>
        <v/>
      </c>
      <c r="AW33" s="68" t="str">
        <f t="shared" si="19"/>
        <v/>
      </c>
    </row>
    <row r="34" spans="1:49" x14ac:dyDescent="0.25">
      <c r="A34" s="264"/>
      <c r="B34" s="265"/>
      <c r="C34" s="265"/>
      <c r="D34" s="265"/>
      <c r="E34" s="266"/>
      <c r="F34" s="270"/>
      <c r="G34" s="271"/>
      <c r="H34" s="310"/>
      <c r="I34" s="270"/>
      <c r="J34" s="271"/>
      <c r="K34" s="272"/>
      <c r="L34" s="308"/>
      <c r="M34" s="271"/>
      <c r="N34" s="310"/>
      <c r="O34" s="270"/>
      <c r="P34" s="271"/>
      <c r="Q34" s="272"/>
      <c r="R34" s="272"/>
      <c r="S34" s="318"/>
      <c r="T34" s="306"/>
      <c r="U34" s="84" t="str">
        <f t="shared" si="0"/>
        <v/>
      </c>
      <c r="V34" s="84" t="str">
        <f t="shared" si="15"/>
        <v/>
      </c>
      <c r="W34" s="93" t="str">
        <f t="shared" si="1"/>
        <v/>
      </c>
      <c r="X34" s="100" t="str">
        <f t="shared" si="2"/>
        <v/>
      </c>
      <c r="Y34" s="95" t="str">
        <f t="shared" si="3"/>
        <v/>
      </c>
      <c r="Z34" s="95" t="str">
        <f t="shared" si="4"/>
        <v/>
      </c>
      <c r="AA34" s="98" t="str">
        <f>IFERROR(X34*Y34*Assumptions!$B$15/3956,"")</f>
        <v/>
      </c>
      <c r="AB34" s="100" t="str">
        <f t="shared" si="16"/>
        <v/>
      </c>
      <c r="AC34" s="95" t="str">
        <f t="shared" si="17"/>
        <v/>
      </c>
      <c r="AD34" s="95" t="str">
        <f t="shared" si="5"/>
        <v/>
      </c>
      <c r="AE34" s="100" t="str">
        <f t="shared" si="6"/>
        <v/>
      </c>
      <c r="AF34" s="95" t="str">
        <f t="shared" si="7"/>
        <v/>
      </c>
      <c r="AG34" s="98" t="str">
        <f t="shared" si="8"/>
        <v/>
      </c>
      <c r="AH34" s="100" t="str">
        <f t="shared" si="9"/>
        <v/>
      </c>
      <c r="AI34" s="95" t="str">
        <f t="shared" si="10"/>
        <v/>
      </c>
      <c r="AJ34" s="98" t="str">
        <f t="shared" si="11"/>
        <v/>
      </c>
      <c r="AK34" s="94" t="str">
        <f t="shared" si="12"/>
        <v/>
      </c>
      <c r="AL34" s="96" t="str">
        <f t="shared" si="13"/>
        <v/>
      </c>
      <c r="AM34" s="244" t="str">
        <f>IFERROR(
IF(C34="VTS",
IF(T34&gt;=AVERAGE(
INDEX(Assumptions!$I$38:$I$57,MATCH(T34,Assumptions!$I$38:$I$57,-1)),
INDEX(Assumptions!$I$38:$I$57,MATCH(T34,Assumptions!$I$38:$I$57,-1)+1)),
INDEX(Assumptions!$I$38:$I$57,MATCH(T34,Assumptions!$I$38:$I$57,-1)),
INDEX(Assumptions!$I$38:$I$57,MATCH(T34,Assumptions!$I$38:$I$57,-1)+1)),
IF(T34&gt;=AVERAGE(
INDEX(Assumptions!$I$13:$I$32,MATCH(T34,Assumptions!$I$13:$I$32,-1)),
INDEX(Assumptions!$I$13:$I$32,MATCH(T34,Assumptions!$I$13:$I$32,-1)+1)),
INDEX(Assumptions!$I$13:$I$32,MATCH(T34,Assumptions!$I$13:$I$32,-1)),
INDEX(Assumptions!$I$13:$I$32,MATCH(T34,Assumptions!$I$13:$I$32,-1)+1))),
"")</f>
        <v/>
      </c>
      <c r="AN34" s="95" t="str">
        <f>IFERROR(
IF(C34="VTS",
VLOOKUP(AM34,Assumptions!$I$38:$K$57,MATCH(U34,Assumptions!$I$37:$K$37,0),FALSE),
VLOOKUP(AM34,Assumptions!$I$13:$K$32,MATCH(U34,Assumptions!$I$12:$K$12,0),FALSE)),
"")</f>
        <v/>
      </c>
      <c r="AO34" s="95" t="str">
        <f t="shared" si="14"/>
        <v/>
      </c>
      <c r="AP34" s="95" t="str">
        <f>IFERROR(AO34*
(Assumptions!$S$7*(AA34/(AS34*Assumptions!$AB$9/100)/T34)^3+
Assumptions!$S$8*(AA34/(AS34*Assumptions!$AB$9/100)/T34)^2+
Assumptions!$S$9*(AA34/(AS34*Assumptions!$AB$9/100)/T34)+
Assumptions!$S$10),"")</f>
        <v/>
      </c>
      <c r="AQ34" s="95" t="str">
        <f>IFERROR(AO34*
(Assumptions!$S$7*(AK34/(AS34*Assumptions!$AB$8/100)/T34)^3+
Assumptions!$S$8*(AK34/(AS34*Assumptions!$AB$8/100)/T34)^2+
Assumptions!$S$9*(AK34/(AS34*Assumptions!$AB$8/100)/T34)+
Assumptions!$S$10),"")</f>
        <v/>
      </c>
      <c r="AR34" s="95" t="str">
        <f>IFERROR(AO34*
(Assumptions!$S$7*(AL34/(AS34*Assumptions!$AB$10/100)/T34)^3+
Assumptions!$S$8*(AL34/(AS34*Assumptions!$AB$10/100)/T34)^2+
Assumptions!$S$9*(AL34/(AS34*Assumptions!$AB$10/100)/T34)+
Assumptions!$S$10),"")</f>
        <v/>
      </c>
      <c r="AS34" s="95" t="str">
        <f>IFERROR(
Assumptions!$AD$8*LN(X34)^2+
Assumptions!$AE$8*LN(W34)*LN(X34)+
Assumptions!$AF$8*LN(W34)^2+
Assumptions!$AG$8*LN(X34)+
Assumptions!$AH$8*LN(W34)-
(IF(V34=1800,
VLOOKUP(C34,Assumptions!$AA$13:$AC$17,3),
IF(V34=3600,
VLOOKUP(C34,Assumptions!$AA$18:$AC$22,3),""))+Assumptions!$AI$8),
"")</f>
        <v/>
      </c>
      <c r="AT34" s="96" t="str">
        <f>IFERROR(
Assumptions!$D$11*(AA34/(Assumptions!$AB$9*AS34/100)+AP34)+
Assumptions!$D$10*(AK34/(Assumptions!$AB$8*AS34/100)+AQ34)+
Assumptions!$D$12*(AL34/(Assumptions!$AB$10*AS34/100)+AR34),
"")</f>
        <v/>
      </c>
      <c r="AU34" s="76" t="str">
        <f>IFERROR(
Z34*Assumptions!$F$11+
AD34*Assumptions!$F$10+
AG34*Assumptions!$F$9+
AJ34*Assumptions!$F$8,
"")</f>
        <v/>
      </c>
      <c r="AV34" s="77" t="str">
        <f t="shared" si="18"/>
        <v/>
      </c>
      <c r="AW34" s="68" t="str">
        <f t="shared" si="19"/>
        <v/>
      </c>
    </row>
    <row r="35" spans="1:49" x14ac:dyDescent="0.25">
      <c r="A35" s="264"/>
      <c r="B35" s="265"/>
      <c r="C35" s="265"/>
      <c r="D35" s="265"/>
      <c r="E35" s="266"/>
      <c r="F35" s="270"/>
      <c r="G35" s="271"/>
      <c r="H35" s="310"/>
      <c r="I35" s="270"/>
      <c r="J35" s="271"/>
      <c r="K35" s="272"/>
      <c r="L35" s="308"/>
      <c r="M35" s="271"/>
      <c r="N35" s="310"/>
      <c r="O35" s="270"/>
      <c r="P35" s="271"/>
      <c r="Q35" s="272"/>
      <c r="R35" s="272"/>
      <c r="S35" s="318"/>
      <c r="T35" s="306"/>
      <c r="U35" s="84" t="str">
        <f t="shared" si="0"/>
        <v/>
      </c>
      <c r="V35" s="84" t="str">
        <f t="shared" si="15"/>
        <v/>
      </c>
      <c r="W35" s="93" t="str">
        <f t="shared" si="1"/>
        <v/>
      </c>
      <c r="X35" s="100" t="str">
        <f t="shared" si="2"/>
        <v/>
      </c>
      <c r="Y35" s="95" t="str">
        <f t="shared" si="3"/>
        <v/>
      </c>
      <c r="Z35" s="95" t="str">
        <f t="shared" si="4"/>
        <v/>
      </c>
      <c r="AA35" s="98" t="str">
        <f>IFERROR(X35*Y35*Assumptions!$B$15/3956,"")</f>
        <v/>
      </c>
      <c r="AB35" s="100" t="str">
        <f t="shared" si="16"/>
        <v/>
      </c>
      <c r="AC35" s="95" t="str">
        <f t="shared" si="17"/>
        <v/>
      </c>
      <c r="AD35" s="95" t="str">
        <f t="shared" si="5"/>
        <v/>
      </c>
      <c r="AE35" s="100" t="str">
        <f t="shared" si="6"/>
        <v/>
      </c>
      <c r="AF35" s="95" t="str">
        <f t="shared" si="7"/>
        <v/>
      </c>
      <c r="AG35" s="98" t="str">
        <f t="shared" si="8"/>
        <v/>
      </c>
      <c r="AH35" s="100" t="str">
        <f t="shared" si="9"/>
        <v/>
      </c>
      <c r="AI35" s="95" t="str">
        <f t="shared" si="10"/>
        <v/>
      </c>
      <c r="AJ35" s="98" t="str">
        <f t="shared" si="11"/>
        <v/>
      </c>
      <c r="AK35" s="94" t="str">
        <f t="shared" si="12"/>
        <v/>
      </c>
      <c r="AL35" s="96" t="str">
        <f t="shared" si="13"/>
        <v/>
      </c>
      <c r="AM35" s="244" t="str">
        <f>IFERROR(
IF(C35="VTS",
IF(T35&gt;=AVERAGE(
INDEX(Assumptions!$I$38:$I$57,MATCH(T35,Assumptions!$I$38:$I$57,-1)),
INDEX(Assumptions!$I$38:$I$57,MATCH(T35,Assumptions!$I$38:$I$57,-1)+1)),
INDEX(Assumptions!$I$38:$I$57,MATCH(T35,Assumptions!$I$38:$I$57,-1)),
INDEX(Assumptions!$I$38:$I$57,MATCH(T35,Assumptions!$I$38:$I$57,-1)+1)),
IF(T35&gt;=AVERAGE(
INDEX(Assumptions!$I$13:$I$32,MATCH(T35,Assumptions!$I$13:$I$32,-1)),
INDEX(Assumptions!$I$13:$I$32,MATCH(T35,Assumptions!$I$13:$I$32,-1)+1)),
INDEX(Assumptions!$I$13:$I$32,MATCH(T35,Assumptions!$I$13:$I$32,-1)),
INDEX(Assumptions!$I$13:$I$32,MATCH(T35,Assumptions!$I$13:$I$32,-1)+1))),
"")</f>
        <v/>
      </c>
      <c r="AN35" s="95" t="str">
        <f>IFERROR(
IF(C35="VTS",
VLOOKUP(AM35,Assumptions!$I$38:$K$57,MATCH(U35,Assumptions!$I$37:$K$37,0),FALSE),
VLOOKUP(AM35,Assumptions!$I$13:$K$32,MATCH(U35,Assumptions!$I$12:$K$12,0),FALSE)),
"")</f>
        <v/>
      </c>
      <c r="AO35" s="95" t="str">
        <f t="shared" si="14"/>
        <v/>
      </c>
      <c r="AP35" s="95" t="str">
        <f>IFERROR(AO35*
(Assumptions!$S$7*(AA35/(AS35*Assumptions!$AB$9/100)/T35)^3+
Assumptions!$S$8*(AA35/(AS35*Assumptions!$AB$9/100)/T35)^2+
Assumptions!$S$9*(AA35/(AS35*Assumptions!$AB$9/100)/T35)+
Assumptions!$S$10),"")</f>
        <v/>
      </c>
      <c r="AQ35" s="95" t="str">
        <f>IFERROR(AO35*
(Assumptions!$S$7*(AK35/(AS35*Assumptions!$AB$8/100)/T35)^3+
Assumptions!$S$8*(AK35/(AS35*Assumptions!$AB$8/100)/T35)^2+
Assumptions!$S$9*(AK35/(AS35*Assumptions!$AB$8/100)/T35)+
Assumptions!$S$10),"")</f>
        <v/>
      </c>
      <c r="AR35" s="95" t="str">
        <f>IFERROR(AO35*
(Assumptions!$S$7*(AL35/(AS35*Assumptions!$AB$10/100)/T35)^3+
Assumptions!$S$8*(AL35/(AS35*Assumptions!$AB$10/100)/T35)^2+
Assumptions!$S$9*(AL35/(AS35*Assumptions!$AB$10/100)/T35)+
Assumptions!$S$10),"")</f>
        <v/>
      </c>
      <c r="AS35" s="95" t="str">
        <f>IFERROR(
Assumptions!$AD$8*LN(X35)^2+
Assumptions!$AE$8*LN(W35)*LN(X35)+
Assumptions!$AF$8*LN(W35)^2+
Assumptions!$AG$8*LN(X35)+
Assumptions!$AH$8*LN(W35)-
(IF(V35=1800,
VLOOKUP(C35,Assumptions!$AA$13:$AC$17,3),
IF(V35=3600,
VLOOKUP(C35,Assumptions!$AA$18:$AC$22,3),""))+Assumptions!$AI$8),
"")</f>
        <v/>
      </c>
      <c r="AT35" s="96" t="str">
        <f>IFERROR(
Assumptions!$D$11*(AA35/(Assumptions!$AB$9*AS35/100)+AP35)+
Assumptions!$D$10*(AK35/(Assumptions!$AB$8*AS35/100)+AQ35)+
Assumptions!$D$12*(AL35/(Assumptions!$AB$10*AS35/100)+AR35),
"")</f>
        <v/>
      </c>
      <c r="AU35" s="76" t="str">
        <f>IFERROR(
Z35*Assumptions!$F$11+
AD35*Assumptions!$F$10+
AG35*Assumptions!$F$9+
AJ35*Assumptions!$F$8,
"")</f>
        <v/>
      </c>
      <c r="AV35" s="77" t="str">
        <f t="shared" si="18"/>
        <v/>
      </c>
      <c r="AW35" s="68" t="str">
        <f t="shared" si="19"/>
        <v/>
      </c>
    </row>
    <row r="36" spans="1:49" x14ac:dyDescent="0.25">
      <c r="A36" s="264"/>
      <c r="B36" s="265"/>
      <c r="C36" s="265"/>
      <c r="D36" s="265"/>
      <c r="E36" s="266"/>
      <c r="F36" s="270"/>
      <c r="G36" s="271"/>
      <c r="H36" s="310"/>
      <c r="I36" s="270"/>
      <c r="J36" s="271"/>
      <c r="K36" s="272"/>
      <c r="L36" s="308"/>
      <c r="M36" s="271"/>
      <c r="N36" s="310"/>
      <c r="O36" s="270"/>
      <c r="P36" s="271"/>
      <c r="Q36" s="272"/>
      <c r="R36" s="272"/>
      <c r="S36" s="318"/>
      <c r="T36" s="306"/>
      <c r="U36" s="84" t="str">
        <f t="shared" si="0"/>
        <v/>
      </c>
      <c r="V36" s="84" t="str">
        <f t="shared" si="15"/>
        <v/>
      </c>
      <c r="W36" s="93" t="str">
        <f t="shared" si="1"/>
        <v/>
      </c>
      <c r="X36" s="100" t="str">
        <f t="shared" si="2"/>
        <v/>
      </c>
      <c r="Y36" s="95" t="str">
        <f t="shared" si="3"/>
        <v/>
      </c>
      <c r="Z36" s="95" t="str">
        <f t="shared" si="4"/>
        <v/>
      </c>
      <c r="AA36" s="98" t="str">
        <f>IFERROR(X36*Y36*Assumptions!$B$15/3956,"")</f>
        <v/>
      </c>
      <c r="AB36" s="100" t="str">
        <f t="shared" si="16"/>
        <v/>
      </c>
      <c r="AC36" s="95" t="str">
        <f t="shared" si="17"/>
        <v/>
      </c>
      <c r="AD36" s="95" t="str">
        <f t="shared" si="5"/>
        <v/>
      </c>
      <c r="AE36" s="100" t="str">
        <f t="shared" si="6"/>
        <v/>
      </c>
      <c r="AF36" s="95" t="str">
        <f t="shared" si="7"/>
        <v/>
      </c>
      <c r="AG36" s="98" t="str">
        <f t="shared" si="8"/>
        <v/>
      </c>
      <c r="AH36" s="100" t="str">
        <f t="shared" si="9"/>
        <v/>
      </c>
      <c r="AI36" s="95" t="str">
        <f t="shared" si="10"/>
        <v/>
      </c>
      <c r="AJ36" s="98" t="str">
        <f t="shared" si="11"/>
        <v/>
      </c>
      <c r="AK36" s="94" t="str">
        <f t="shared" si="12"/>
        <v/>
      </c>
      <c r="AL36" s="96" t="str">
        <f t="shared" si="13"/>
        <v/>
      </c>
      <c r="AM36" s="244" t="str">
        <f>IFERROR(
IF(C36="VTS",
IF(T36&gt;=AVERAGE(
INDEX(Assumptions!$I$38:$I$57,MATCH(T36,Assumptions!$I$38:$I$57,-1)),
INDEX(Assumptions!$I$38:$I$57,MATCH(T36,Assumptions!$I$38:$I$57,-1)+1)),
INDEX(Assumptions!$I$38:$I$57,MATCH(T36,Assumptions!$I$38:$I$57,-1)),
INDEX(Assumptions!$I$38:$I$57,MATCH(T36,Assumptions!$I$38:$I$57,-1)+1)),
IF(T36&gt;=AVERAGE(
INDEX(Assumptions!$I$13:$I$32,MATCH(T36,Assumptions!$I$13:$I$32,-1)),
INDEX(Assumptions!$I$13:$I$32,MATCH(T36,Assumptions!$I$13:$I$32,-1)+1)),
INDEX(Assumptions!$I$13:$I$32,MATCH(T36,Assumptions!$I$13:$I$32,-1)),
INDEX(Assumptions!$I$13:$I$32,MATCH(T36,Assumptions!$I$13:$I$32,-1)+1))),
"")</f>
        <v/>
      </c>
      <c r="AN36" s="95" t="str">
        <f>IFERROR(
IF(C36="VTS",
VLOOKUP(AM36,Assumptions!$I$38:$K$57,MATCH(U36,Assumptions!$I$37:$K$37,0),FALSE),
VLOOKUP(AM36,Assumptions!$I$13:$K$32,MATCH(U36,Assumptions!$I$12:$K$12,0),FALSE)),
"")</f>
        <v/>
      </c>
      <c r="AO36" s="95" t="str">
        <f t="shared" si="14"/>
        <v/>
      </c>
      <c r="AP36" s="95" t="str">
        <f>IFERROR(AO36*
(Assumptions!$S$7*(AA36/(AS36*Assumptions!$AB$9/100)/T36)^3+
Assumptions!$S$8*(AA36/(AS36*Assumptions!$AB$9/100)/T36)^2+
Assumptions!$S$9*(AA36/(AS36*Assumptions!$AB$9/100)/T36)+
Assumptions!$S$10),"")</f>
        <v/>
      </c>
      <c r="AQ36" s="95" t="str">
        <f>IFERROR(AO36*
(Assumptions!$S$7*(AK36/(AS36*Assumptions!$AB$8/100)/T36)^3+
Assumptions!$S$8*(AK36/(AS36*Assumptions!$AB$8/100)/T36)^2+
Assumptions!$S$9*(AK36/(AS36*Assumptions!$AB$8/100)/T36)+
Assumptions!$S$10),"")</f>
        <v/>
      </c>
      <c r="AR36" s="95" t="str">
        <f>IFERROR(AO36*
(Assumptions!$S$7*(AL36/(AS36*Assumptions!$AB$10/100)/T36)^3+
Assumptions!$S$8*(AL36/(AS36*Assumptions!$AB$10/100)/T36)^2+
Assumptions!$S$9*(AL36/(AS36*Assumptions!$AB$10/100)/T36)+
Assumptions!$S$10),"")</f>
        <v/>
      </c>
      <c r="AS36" s="95" t="str">
        <f>IFERROR(
Assumptions!$AD$8*LN(X36)^2+
Assumptions!$AE$8*LN(W36)*LN(X36)+
Assumptions!$AF$8*LN(W36)^2+
Assumptions!$AG$8*LN(X36)+
Assumptions!$AH$8*LN(W36)-
(IF(V36=1800,
VLOOKUP(C36,Assumptions!$AA$13:$AC$17,3),
IF(V36=3600,
VLOOKUP(C36,Assumptions!$AA$18:$AC$22,3),""))+Assumptions!$AI$8),
"")</f>
        <v/>
      </c>
      <c r="AT36" s="96" t="str">
        <f>IFERROR(
Assumptions!$D$11*(AA36/(Assumptions!$AB$9*AS36/100)+AP36)+
Assumptions!$D$10*(AK36/(Assumptions!$AB$8*AS36/100)+AQ36)+
Assumptions!$D$12*(AL36/(Assumptions!$AB$10*AS36/100)+AR36),
"")</f>
        <v/>
      </c>
      <c r="AU36" s="76" t="str">
        <f>IFERROR(
Z36*Assumptions!$F$11+
AD36*Assumptions!$F$10+
AG36*Assumptions!$F$9+
AJ36*Assumptions!$F$8,
"")</f>
        <v/>
      </c>
      <c r="AV36" s="77" t="str">
        <f t="shared" si="18"/>
        <v/>
      </c>
      <c r="AW36" s="68" t="str">
        <f t="shared" si="19"/>
        <v/>
      </c>
    </row>
    <row r="37" spans="1:49" x14ac:dyDescent="0.25">
      <c r="A37" s="264"/>
      <c r="B37" s="265"/>
      <c r="C37" s="265"/>
      <c r="D37" s="265"/>
      <c r="E37" s="266"/>
      <c r="F37" s="270"/>
      <c r="G37" s="271"/>
      <c r="H37" s="310"/>
      <c r="I37" s="270"/>
      <c r="J37" s="271"/>
      <c r="K37" s="272"/>
      <c r="L37" s="308"/>
      <c r="M37" s="271"/>
      <c r="N37" s="310"/>
      <c r="O37" s="270"/>
      <c r="P37" s="271"/>
      <c r="Q37" s="272"/>
      <c r="R37" s="272"/>
      <c r="S37" s="318"/>
      <c r="T37" s="306"/>
      <c r="U37" s="84" t="str">
        <f t="shared" si="0"/>
        <v/>
      </c>
      <c r="V37" s="84" t="str">
        <f t="shared" si="15"/>
        <v/>
      </c>
      <c r="W37" s="93" t="str">
        <f t="shared" si="1"/>
        <v/>
      </c>
      <c r="X37" s="100" t="str">
        <f t="shared" si="2"/>
        <v/>
      </c>
      <c r="Y37" s="95" t="str">
        <f t="shared" si="3"/>
        <v/>
      </c>
      <c r="Z37" s="95" t="str">
        <f t="shared" si="4"/>
        <v/>
      </c>
      <c r="AA37" s="98" t="str">
        <f>IFERROR(X37*Y37*Assumptions!$B$15/3956,"")</f>
        <v/>
      </c>
      <c r="AB37" s="100" t="str">
        <f t="shared" si="16"/>
        <v/>
      </c>
      <c r="AC37" s="95" t="str">
        <f t="shared" si="17"/>
        <v/>
      </c>
      <c r="AD37" s="95" t="str">
        <f t="shared" si="5"/>
        <v/>
      </c>
      <c r="AE37" s="100" t="str">
        <f t="shared" si="6"/>
        <v/>
      </c>
      <c r="AF37" s="95" t="str">
        <f t="shared" si="7"/>
        <v/>
      </c>
      <c r="AG37" s="98" t="str">
        <f t="shared" si="8"/>
        <v/>
      </c>
      <c r="AH37" s="100" t="str">
        <f t="shared" si="9"/>
        <v/>
      </c>
      <c r="AI37" s="95" t="str">
        <f t="shared" si="10"/>
        <v/>
      </c>
      <c r="AJ37" s="98" t="str">
        <f t="shared" si="11"/>
        <v/>
      </c>
      <c r="AK37" s="94" t="str">
        <f t="shared" si="12"/>
        <v/>
      </c>
      <c r="AL37" s="96" t="str">
        <f t="shared" si="13"/>
        <v/>
      </c>
      <c r="AM37" s="244" t="str">
        <f>IFERROR(
IF(C37="VTS",
IF(T37&gt;=AVERAGE(
INDEX(Assumptions!$I$38:$I$57,MATCH(T37,Assumptions!$I$38:$I$57,-1)),
INDEX(Assumptions!$I$38:$I$57,MATCH(T37,Assumptions!$I$38:$I$57,-1)+1)),
INDEX(Assumptions!$I$38:$I$57,MATCH(T37,Assumptions!$I$38:$I$57,-1)),
INDEX(Assumptions!$I$38:$I$57,MATCH(T37,Assumptions!$I$38:$I$57,-1)+1)),
IF(T37&gt;=AVERAGE(
INDEX(Assumptions!$I$13:$I$32,MATCH(T37,Assumptions!$I$13:$I$32,-1)),
INDEX(Assumptions!$I$13:$I$32,MATCH(T37,Assumptions!$I$13:$I$32,-1)+1)),
INDEX(Assumptions!$I$13:$I$32,MATCH(T37,Assumptions!$I$13:$I$32,-1)),
INDEX(Assumptions!$I$13:$I$32,MATCH(T37,Assumptions!$I$13:$I$32,-1)+1))),
"")</f>
        <v/>
      </c>
      <c r="AN37" s="95" t="str">
        <f>IFERROR(
IF(C37="VTS",
VLOOKUP(AM37,Assumptions!$I$38:$K$57,MATCH(U37,Assumptions!$I$37:$K$37,0),FALSE),
VLOOKUP(AM37,Assumptions!$I$13:$K$32,MATCH(U37,Assumptions!$I$12:$K$12,0),FALSE)),
"")</f>
        <v/>
      </c>
      <c r="AO37" s="95" t="str">
        <f t="shared" si="14"/>
        <v/>
      </c>
      <c r="AP37" s="95" t="str">
        <f>IFERROR(AO37*
(Assumptions!$S$7*(AA37/(AS37*Assumptions!$AB$9/100)/T37)^3+
Assumptions!$S$8*(AA37/(AS37*Assumptions!$AB$9/100)/T37)^2+
Assumptions!$S$9*(AA37/(AS37*Assumptions!$AB$9/100)/T37)+
Assumptions!$S$10),"")</f>
        <v/>
      </c>
      <c r="AQ37" s="95" t="str">
        <f>IFERROR(AO37*
(Assumptions!$S$7*(AK37/(AS37*Assumptions!$AB$8/100)/T37)^3+
Assumptions!$S$8*(AK37/(AS37*Assumptions!$AB$8/100)/T37)^2+
Assumptions!$S$9*(AK37/(AS37*Assumptions!$AB$8/100)/T37)+
Assumptions!$S$10),"")</f>
        <v/>
      </c>
      <c r="AR37" s="95" t="str">
        <f>IFERROR(AO37*
(Assumptions!$S$7*(AL37/(AS37*Assumptions!$AB$10/100)/T37)^3+
Assumptions!$S$8*(AL37/(AS37*Assumptions!$AB$10/100)/T37)^2+
Assumptions!$S$9*(AL37/(AS37*Assumptions!$AB$10/100)/T37)+
Assumptions!$S$10),"")</f>
        <v/>
      </c>
      <c r="AS37" s="95" t="str">
        <f>IFERROR(
Assumptions!$AD$8*LN(X37)^2+
Assumptions!$AE$8*LN(W37)*LN(X37)+
Assumptions!$AF$8*LN(W37)^2+
Assumptions!$AG$8*LN(X37)+
Assumptions!$AH$8*LN(W37)-
(IF(V37=1800,
VLOOKUP(C37,Assumptions!$AA$13:$AC$17,3),
IF(V37=3600,
VLOOKUP(C37,Assumptions!$AA$18:$AC$22,3),""))+Assumptions!$AI$8),
"")</f>
        <v/>
      </c>
      <c r="AT37" s="96" t="str">
        <f>IFERROR(
Assumptions!$D$11*(AA37/(Assumptions!$AB$9*AS37/100)+AP37)+
Assumptions!$D$10*(AK37/(Assumptions!$AB$8*AS37/100)+AQ37)+
Assumptions!$D$12*(AL37/(Assumptions!$AB$10*AS37/100)+AR37),
"")</f>
        <v/>
      </c>
      <c r="AU37" s="76" t="str">
        <f>IFERROR(
Z37*Assumptions!$F$11+
AD37*Assumptions!$F$10+
AG37*Assumptions!$F$9+
AJ37*Assumptions!$F$8,
"")</f>
        <v/>
      </c>
      <c r="AV37" s="77" t="str">
        <f t="shared" si="18"/>
        <v/>
      </c>
      <c r="AW37" s="68" t="str">
        <f t="shared" si="19"/>
        <v/>
      </c>
    </row>
    <row r="38" spans="1:49" x14ac:dyDescent="0.25">
      <c r="A38" s="264"/>
      <c r="B38" s="265"/>
      <c r="C38" s="265"/>
      <c r="D38" s="265"/>
      <c r="E38" s="266"/>
      <c r="F38" s="270"/>
      <c r="G38" s="271"/>
      <c r="H38" s="310"/>
      <c r="I38" s="270"/>
      <c r="J38" s="271"/>
      <c r="K38" s="272"/>
      <c r="L38" s="308"/>
      <c r="M38" s="271"/>
      <c r="N38" s="310"/>
      <c r="O38" s="270"/>
      <c r="P38" s="271"/>
      <c r="Q38" s="272"/>
      <c r="R38" s="272"/>
      <c r="S38" s="318"/>
      <c r="T38" s="306"/>
      <c r="U38" s="84" t="str">
        <f t="shared" si="0"/>
        <v/>
      </c>
      <c r="V38" s="84" t="str">
        <f t="shared" si="15"/>
        <v/>
      </c>
      <c r="W38" s="93" t="str">
        <f t="shared" si="1"/>
        <v/>
      </c>
      <c r="X38" s="100" t="str">
        <f t="shared" si="2"/>
        <v/>
      </c>
      <c r="Y38" s="95" t="str">
        <f t="shared" si="3"/>
        <v/>
      </c>
      <c r="Z38" s="95" t="str">
        <f t="shared" si="4"/>
        <v/>
      </c>
      <c r="AA38" s="98" t="str">
        <f>IFERROR(X38*Y38*Assumptions!$B$15/3956,"")</f>
        <v/>
      </c>
      <c r="AB38" s="100" t="str">
        <f t="shared" si="16"/>
        <v/>
      </c>
      <c r="AC38" s="95" t="str">
        <f t="shared" si="17"/>
        <v/>
      </c>
      <c r="AD38" s="95" t="str">
        <f t="shared" si="5"/>
        <v/>
      </c>
      <c r="AE38" s="100" t="str">
        <f t="shared" si="6"/>
        <v/>
      </c>
      <c r="AF38" s="95" t="str">
        <f t="shared" si="7"/>
        <v/>
      </c>
      <c r="AG38" s="98" t="str">
        <f t="shared" si="8"/>
        <v/>
      </c>
      <c r="AH38" s="100" t="str">
        <f t="shared" si="9"/>
        <v/>
      </c>
      <c r="AI38" s="95" t="str">
        <f t="shared" si="10"/>
        <v/>
      </c>
      <c r="AJ38" s="98" t="str">
        <f t="shared" si="11"/>
        <v/>
      </c>
      <c r="AK38" s="94" t="str">
        <f t="shared" si="12"/>
        <v/>
      </c>
      <c r="AL38" s="96" t="str">
        <f t="shared" si="13"/>
        <v/>
      </c>
      <c r="AM38" s="244" t="str">
        <f>IFERROR(
IF(C38="VTS",
IF(T38&gt;=AVERAGE(
INDEX(Assumptions!$I$38:$I$57,MATCH(T38,Assumptions!$I$38:$I$57,-1)),
INDEX(Assumptions!$I$38:$I$57,MATCH(T38,Assumptions!$I$38:$I$57,-1)+1)),
INDEX(Assumptions!$I$38:$I$57,MATCH(T38,Assumptions!$I$38:$I$57,-1)),
INDEX(Assumptions!$I$38:$I$57,MATCH(T38,Assumptions!$I$38:$I$57,-1)+1)),
IF(T38&gt;=AVERAGE(
INDEX(Assumptions!$I$13:$I$32,MATCH(T38,Assumptions!$I$13:$I$32,-1)),
INDEX(Assumptions!$I$13:$I$32,MATCH(T38,Assumptions!$I$13:$I$32,-1)+1)),
INDEX(Assumptions!$I$13:$I$32,MATCH(T38,Assumptions!$I$13:$I$32,-1)),
INDEX(Assumptions!$I$13:$I$32,MATCH(T38,Assumptions!$I$13:$I$32,-1)+1))),
"")</f>
        <v/>
      </c>
      <c r="AN38" s="95" t="str">
        <f>IFERROR(
IF(C38="VTS",
VLOOKUP(AM38,Assumptions!$I$38:$K$57,MATCH(U38,Assumptions!$I$37:$K$37,0),FALSE),
VLOOKUP(AM38,Assumptions!$I$13:$K$32,MATCH(U38,Assumptions!$I$12:$K$12,0),FALSE)),
"")</f>
        <v/>
      </c>
      <c r="AO38" s="95" t="str">
        <f t="shared" si="14"/>
        <v/>
      </c>
      <c r="AP38" s="95" t="str">
        <f>IFERROR(AO38*
(Assumptions!$S$7*(AA38/(AS38*Assumptions!$AB$9/100)/T38)^3+
Assumptions!$S$8*(AA38/(AS38*Assumptions!$AB$9/100)/T38)^2+
Assumptions!$S$9*(AA38/(AS38*Assumptions!$AB$9/100)/T38)+
Assumptions!$S$10),"")</f>
        <v/>
      </c>
      <c r="AQ38" s="95" t="str">
        <f>IFERROR(AO38*
(Assumptions!$S$7*(AK38/(AS38*Assumptions!$AB$8/100)/T38)^3+
Assumptions!$S$8*(AK38/(AS38*Assumptions!$AB$8/100)/T38)^2+
Assumptions!$S$9*(AK38/(AS38*Assumptions!$AB$8/100)/T38)+
Assumptions!$S$10),"")</f>
        <v/>
      </c>
      <c r="AR38" s="95" t="str">
        <f>IFERROR(AO38*
(Assumptions!$S$7*(AL38/(AS38*Assumptions!$AB$10/100)/T38)^3+
Assumptions!$S$8*(AL38/(AS38*Assumptions!$AB$10/100)/T38)^2+
Assumptions!$S$9*(AL38/(AS38*Assumptions!$AB$10/100)/T38)+
Assumptions!$S$10),"")</f>
        <v/>
      </c>
      <c r="AS38" s="95" t="str">
        <f>IFERROR(
Assumptions!$AD$8*LN(X38)^2+
Assumptions!$AE$8*LN(W38)*LN(X38)+
Assumptions!$AF$8*LN(W38)^2+
Assumptions!$AG$8*LN(X38)+
Assumptions!$AH$8*LN(W38)-
(IF(V38=1800,
VLOOKUP(C38,Assumptions!$AA$13:$AC$17,3),
IF(V38=3600,
VLOOKUP(C38,Assumptions!$AA$18:$AC$22,3),""))+Assumptions!$AI$8),
"")</f>
        <v/>
      </c>
      <c r="AT38" s="96" t="str">
        <f>IFERROR(
Assumptions!$D$11*(AA38/(Assumptions!$AB$9*AS38/100)+AP38)+
Assumptions!$D$10*(AK38/(Assumptions!$AB$8*AS38/100)+AQ38)+
Assumptions!$D$12*(AL38/(Assumptions!$AB$10*AS38/100)+AR38),
"")</f>
        <v/>
      </c>
      <c r="AU38" s="76" t="str">
        <f>IFERROR(
Z38*Assumptions!$F$11+
AD38*Assumptions!$F$10+
AG38*Assumptions!$F$9+
AJ38*Assumptions!$F$8,
"")</f>
        <v/>
      </c>
      <c r="AV38" s="77" t="str">
        <f t="shared" si="18"/>
        <v/>
      </c>
      <c r="AW38" s="68" t="str">
        <f t="shared" si="19"/>
        <v/>
      </c>
    </row>
    <row r="39" spans="1:49" x14ac:dyDescent="0.25">
      <c r="A39" s="264"/>
      <c r="B39" s="265"/>
      <c r="C39" s="265"/>
      <c r="D39" s="265"/>
      <c r="E39" s="266"/>
      <c r="F39" s="270"/>
      <c r="G39" s="271"/>
      <c r="H39" s="310"/>
      <c r="I39" s="270"/>
      <c r="J39" s="271"/>
      <c r="K39" s="272"/>
      <c r="L39" s="308"/>
      <c r="M39" s="271"/>
      <c r="N39" s="310"/>
      <c r="O39" s="270"/>
      <c r="P39" s="271"/>
      <c r="Q39" s="272"/>
      <c r="R39" s="272"/>
      <c r="S39" s="318"/>
      <c r="T39" s="306"/>
      <c r="U39" s="84" t="str">
        <f t="shared" si="0"/>
        <v/>
      </c>
      <c r="V39" s="84" t="str">
        <f t="shared" si="15"/>
        <v/>
      </c>
      <c r="W39" s="93" t="str">
        <f t="shared" si="1"/>
        <v/>
      </c>
      <c r="X39" s="100" t="str">
        <f t="shared" si="2"/>
        <v/>
      </c>
      <c r="Y39" s="95" t="str">
        <f t="shared" si="3"/>
        <v/>
      </c>
      <c r="Z39" s="95" t="str">
        <f t="shared" si="4"/>
        <v/>
      </c>
      <c r="AA39" s="98" t="str">
        <f>IFERROR(X39*Y39*Assumptions!$B$15/3956,"")</f>
        <v/>
      </c>
      <c r="AB39" s="100" t="str">
        <f t="shared" si="16"/>
        <v/>
      </c>
      <c r="AC39" s="95" t="str">
        <f t="shared" si="17"/>
        <v/>
      </c>
      <c r="AD39" s="95" t="str">
        <f t="shared" si="5"/>
        <v/>
      </c>
      <c r="AE39" s="100" t="str">
        <f t="shared" si="6"/>
        <v/>
      </c>
      <c r="AF39" s="95" t="str">
        <f t="shared" si="7"/>
        <v/>
      </c>
      <c r="AG39" s="98" t="str">
        <f t="shared" si="8"/>
        <v/>
      </c>
      <c r="AH39" s="100" t="str">
        <f t="shared" si="9"/>
        <v/>
      </c>
      <c r="AI39" s="95" t="str">
        <f t="shared" si="10"/>
        <v/>
      </c>
      <c r="AJ39" s="98" t="str">
        <f t="shared" si="11"/>
        <v/>
      </c>
      <c r="AK39" s="94" t="str">
        <f t="shared" si="12"/>
        <v/>
      </c>
      <c r="AL39" s="96" t="str">
        <f t="shared" si="13"/>
        <v/>
      </c>
      <c r="AM39" s="244" t="str">
        <f>IFERROR(
IF(C39="VTS",
IF(T39&gt;=AVERAGE(
INDEX(Assumptions!$I$38:$I$57,MATCH(T39,Assumptions!$I$38:$I$57,-1)),
INDEX(Assumptions!$I$38:$I$57,MATCH(T39,Assumptions!$I$38:$I$57,-1)+1)),
INDEX(Assumptions!$I$38:$I$57,MATCH(T39,Assumptions!$I$38:$I$57,-1)),
INDEX(Assumptions!$I$38:$I$57,MATCH(T39,Assumptions!$I$38:$I$57,-1)+1)),
IF(T39&gt;=AVERAGE(
INDEX(Assumptions!$I$13:$I$32,MATCH(T39,Assumptions!$I$13:$I$32,-1)),
INDEX(Assumptions!$I$13:$I$32,MATCH(T39,Assumptions!$I$13:$I$32,-1)+1)),
INDEX(Assumptions!$I$13:$I$32,MATCH(T39,Assumptions!$I$13:$I$32,-1)),
INDEX(Assumptions!$I$13:$I$32,MATCH(T39,Assumptions!$I$13:$I$32,-1)+1))),
"")</f>
        <v/>
      </c>
      <c r="AN39" s="95" t="str">
        <f>IFERROR(
IF(C39="VTS",
VLOOKUP(AM39,Assumptions!$I$38:$K$57,MATCH(U39,Assumptions!$I$37:$K$37,0),FALSE),
VLOOKUP(AM39,Assumptions!$I$13:$K$32,MATCH(U39,Assumptions!$I$12:$K$12,0),FALSE)),
"")</f>
        <v/>
      </c>
      <c r="AO39" s="95" t="str">
        <f t="shared" si="14"/>
        <v/>
      </c>
      <c r="AP39" s="95" t="str">
        <f>IFERROR(AO39*
(Assumptions!$S$7*(AA39/(AS39*Assumptions!$AB$9/100)/T39)^3+
Assumptions!$S$8*(AA39/(AS39*Assumptions!$AB$9/100)/T39)^2+
Assumptions!$S$9*(AA39/(AS39*Assumptions!$AB$9/100)/T39)+
Assumptions!$S$10),"")</f>
        <v/>
      </c>
      <c r="AQ39" s="95" t="str">
        <f>IFERROR(AO39*
(Assumptions!$S$7*(AK39/(AS39*Assumptions!$AB$8/100)/T39)^3+
Assumptions!$S$8*(AK39/(AS39*Assumptions!$AB$8/100)/T39)^2+
Assumptions!$S$9*(AK39/(AS39*Assumptions!$AB$8/100)/T39)+
Assumptions!$S$10),"")</f>
        <v/>
      </c>
      <c r="AR39" s="95" t="str">
        <f>IFERROR(AO39*
(Assumptions!$S$7*(AL39/(AS39*Assumptions!$AB$10/100)/T39)^3+
Assumptions!$S$8*(AL39/(AS39*Assumptions!$AB$10/100)/T39)^2+
Assumptions!$S$9*(AL39/(AS39*Assumptions!$AB$10/100)/T39)+
Assumptions!$S$10),"")</f>
        <v/>
      </c>
      <c r="AS39" s="95" t="str">
        <f>IFERROR(
Assumptions!$AD$8*LN(X39)^2+
Assumptions!$AE$8*LN(W39)*LN(X39)+
Assumptions!$AF$8*LN(W39)^2+
Assumptions!$AG$8*LN(X39)+
Assumptions!$AH$8*LN(W39)-
(IF(V39=1800,
VLOOKUP(C39,Assumptions!$AA$13:$AC$17,3),
IF(V39=3600,
VLOOKUP(C39,Assumptions!$AA$18:$AC$22,3),""))+Assumptions!$AI$8),
"")</f>
        <v/>
      </c>
      <c r="AT39" s="96" t="str">
        <f>IFERROR(
Assumptions!$D$11*(AA39/(Assumptions!$AB$9*AS39/100)+AP39)+
Assumptions!$D$10*(AK39/(Assumptions!$AB$8*AS39/100)+AQ39)+
Assumptions!$D$12*(AL39/(Assumptions!$AB$10*AS39/100)+AR39),
"")</f>
        <v/>
      </c>
      <c r="AU39" s="76" t="str">
        <f>IFERROR(
Z39*Assumptions!$F$11+
AD39*Assumptions!$F$10+
AG39*Assumptions!$F$9+
AJ39*Assumptions!$F$8,
"")</f>
        <v/>
      </c>
      <c r="AV39" s="77" t="str">
        <f t="shared" si="18"/>
        <v/>
      </c>
      <c r="AW39" s="68" t="str">
        <f t="shared" si="19"/>
        <v/>
      </c>
    </row>
    <row r="40" spans="1:49" x14ac:dyDescent="0.25">
      <c r="A40" s="264"/>
      <c r="B40" s="265"/>
      <c r="C40" s="265"/>
      <c r="D40" s="265"/>
      <c r="E40" s="266"/>
      <c r="F40" s="270"/>
      <c r="G40" s="271"/>
      <c r="H40" s="310"/>
      <c r="I40" s="270"/>
      <c r="J40" s="271"/>
      <c r="K40" s="272"/>
      <c r="L40" s="308"/>
      <c r="M40" s="271"/>
      <c r="N40" s="310"/>
      <c r="O40" s="270"/>
      <c r="P40" s="271"/>
      <c r="Q40" s="272"/>
      <c r="R40" s="272"/>
      <c r="S40" s="318"/>
      <c r="T40" s="306"/>
      <c r="U40" s="84" t="str">
        <f t="shared" si="0"/>
        <v/>
      </c>
      <c r="V40" s="84" t="str">
        <f t="shared" si="15"/>
        <v/>
      </c>
      <c r="W40" s="93" t="str">
        <f t="shared" si="1"/>
        <v/>
      </c>
      <c r="X40" s="100" t="str">
        <f t="shared" si="2"/>
        <v/>
      </c>
      <c r="Y40" s="95" t="str">
        <f t="shared" si="3"/>
        <v/>
      </c>
      <c r="Z40" s="95" t="str">
        <f t="shared" si="4"/>
        <v/>
      </c>
      <c r="AA40" s="98" t="str">
        <f>IFERROR(X40*Y40*Assumptions!$B$15/3956,"")</f>
        <v/>
      </c>
      <c r="AB40" s="100" t="str">
        <f t="shared" si="16"/>
        <v/>
      </c>
      <c r="AC40" s="95" t="str">
        <f t="shared" si="17"/>
        <v/>
      </c>
      <c r="AD40" s="95" t="str">
        <f t="shared" si="5"/>
        <v/>
      </c>
      <c r="AE40" s="100" t="str">
        <f t="shared" si="6"/>
        <v/>
      </c>
      <c r="AF40" s="95" t="str">
        <f t="shared" si="7"/>
        <v/>
      </c>
      <c r="AG40" s="98" t="str">
        <f t="shared" si="8"/>
        <v/>
      </c>
      <c r="AH40" s="100" t="str">
        <f t="shared" si="9"/>
        <v/>
      </c>
      <c r="AI40" s="95" t="str">
        <f t="shared" si="10"/>
        <v/>
      </c>
      <c r="AJ40" s="98" t="str">
        <f t="shared" si="11"/>
        <v/>
      </c>
      <c r="AK40" s="94" t="str">
        <f t="shared" si="12"/>
        <v/>
      </c>
      <c r="AL40" s="96" t="str">
        <f t="shared" si="13"/>
        <v/>
      </c>
      <c r="AM40" s="244" t="str">
        <f>IFERROR(
IF(C40="VTS",
IF(T40&gt;=AVERAGE(
INDEX(Assumptions!$I$38:$I$57,MATCH(T40,Assumptions!$I$38:$I$57,-1)),
INDEX(Assumptions!$I$38:$I$57,MATCH(T40,Assumptions!$I$38:$I$57,-1)+1)),
INDEX(Assumptions!$I$38:$I$57,MATCH(T40,Assumptions!$I$38:$I$57,-1)),
INDEX(Assumptions!$I$38:$I$57,MATCH(T40,Assumptions!$I$38:$I$57,-1)+1)),
IF(T40&gt;=AVERAGE(
INDEX(Assumptions!$I$13:$I$32,MATCH(T40,Assumptions!$I$13:$I$32,-1)),
INDEX(Assumptions!$I$13:$I$32,MATCH(T40,Assumptions!$I$13:$I$32,-1)+1)),
INDEX(Assumptions!$I$13:$I$32,MATCH(T40,Assumptions!$I$13:$I$32,-1)),
INDEX(Assumptions!$I$13:$I$32,MATCH(T40,Assumptions!$I$13:$I$32,-1)+1))),
"")</f>
        <v/>
      </c>
      <c r="AN40" s="95" t="str">
        <f>IFERROR(
IF(C40="VTS",
VLOOKUP(AM40,Assumptions!$I$38:$K$57,MATCH(U40,Assumptions!$I$37:$K$37,0),FALSE),
VLOOKUP(AM40,Assumptions!$I$13:$K$32,MATCH(U40,Assumptions!$I$12:$K$12,0),FALSE)),
"")</f>
        <v/>
      </c>
      <c r="AO40" s="95" t="str">
        <f t="shared" si="14"/>
        <v/>
      </c>
      <c r="AP40" s="95" t="str">
        <f>IFERROR(AO40*
(Assumptions!$S$7*(AA40/(AS40*Assumptions!$AB$9/100)/T40)^3+
Assumptions!$S$8*(AA40/(AS40*Assumptions!$AB$9/100)/T40)^2+
Assumptions!$S$9*(AA40/(AS40*Assumptions!$AB$9/100)/T40)+
Assumptions!$S$10),"")</f>
        <v/>
      </c>
      <c r="AQ40" s="95" t="str">
        <f>IFERROR(AO40*
(Assumptions!$S$7*(AK40/(AS40*Assumptions!$AB$8/100)/T40)^3+
Assumptions!$S$8*(AK40/(AS40*Assumptions!$AB$8/100)/T40)^2+
Assumptions!$S$9*(AK40/(AS40*Assumptions!$AB$8/100)/T40)+
Assumptions!$S$10),"")</f>
        <v/>
      </c>
      <c r="AR40" s="95" t="str">
        <f>IFERROR(AO40*
(Assumptions!$S$7*(AL40/(AS40*Assumptions!$AB$10/100)/T40)^3+
Assumptions!$S$8*(AL40/(AS40*Assumptions!$AB$10/100)/T40)^2+
Assumptions!$S$9*(AL40/(AS40*Assumptions!$AB$10/100)/T40)+
Assumptions!$S$10),"")</f>
        <v/>
      </c>
      <c r="AS40" s="95" t="str">
        <f>IFERROR(
Assumptions!$AD$8*LN(X40)^2+
Assumptions!$AE$8*LN(W40)*LN(X40)+
Assumptions!$AF$8*LN(W40)^2+
Assumptions!$AG$8*LN(X40)+
Assumptions!$AH$8*LN(W40)-
(IF(V40=1800,
VLOOKUP(C40,Assumptions!$AA$13:$AC$17,3),
IF(V40=3600,
VLOOKUP(C40,Assumptions!$AA$18:$AC$22,3),""))+Assumptions!$AI$8),
"")</f>
        <v/>
      </c>
      <c r="AT40" s="96" t="str">
        <f>IFERROR(
Assumptions!$D$11*(AA40/(Assumptions!$AB$9*AS40/100)+AP40)+
Assumptions!$D$10*(AK40/(Assumptions!$AB$8*AS40/100)+AQ40)+
Assumptions!$D$12*(AL40/(Assumptions!$AB$10*AS40/100)+AR40),
"")</f>
        <v/>
      </c>
      <c r="AU40" s="76" t="str">
        <f>IFERROR(
Z40*Assumptions!$F$11+
AD40*Assumptions!$F$10+
AG40*Assumptions!$F$9+
AJ40*Assumptions!$F$8,
"")</f>
        <v/>
      </c>
      <c r="AV40" s="77" t="str">
        <f t="shared" si="18"/>
        <v/>
      </c>
      <c r="AW40" s="68" t="str">
        <f t="shared" si="19"/>
        <v/>
      </c>
    </row>
    <row r="41" spans="1:49" x14ac:dyDescent="0.25">
      <c r="A41" s="264"/>
      <c r="B41" s="265"/>
      <c r="C41" s="265"/>
      <c r="D41" s="265"/>
      <c r="E41" s="266"/>
      <c r="F41" s="270"/>
      <c r="G41" s="271"/>
      <c r="H41" s="310"/>
      <c r="I41" s="270"/>
      <c r="J41" s="271"/>
      <c r="K41" s="272"/>
      <c r="L41" s="308"/>
      <c r="M41" s="271"/>
      <c r="N41" s="310"/>
      <c r="O41" s="270"/>
      <c r="P41" s="271"/>
      <c r="Q41" s="272"/>
      <c r="R41" s="272"/>
      <c r="S41" s="318"/>
      <c r="T41" s="306"/>
      <c r="U41" s="84" t="str">
        <f t="shared" si="0"/>
        <v/>
      </c>
      <c r="V41" s="84" t="str">
        <f t="shared" si="15"/>
        <v/>
      </c>
      <c r="W41" s="93" t="str">
        <f t="shared" si="1"/>
        <v/>
      </c>
      <c r="X41" s="100" t="str">
        <f t="shared" si="2"/>
        <v/>
      </c>
      <c r="Y41" s="95" t="str">
        <f t="shared" si="3"/>
        <v/>
      </c>
      <c r="Z41" s="95" t="str">
        <f t="shared" si="4"/>
        <v/>
      </c>
      <c r="AA41" s="98" t="str">
        <f>IFERROR(X41*Y41*Assumptions!$B$15/3956,"")</f>
        <v/>
      </c>
      <c r="AB41" s="100" t="str">
        <f t="shared" si="16"/>
        <v/>
      </c>
      <c r="AC41" s="95" t="str">
        <f t="shared" si="17"/>
        <v/>
      </c>
      <c r="AD41" s="95" t="str">
        <f t="shared" si="5"/>
        <v/>
      </c>
      <c r="AE41" s="100" t="str">
        <f t="shared" si="6"/>
        <v/>
      </c>
      <c r="AF41" s="95" t="str">
        <f t="shared" si="7"/>
        <v/>
      </c>
      <c r="AG41" s="98" t="str">
        <f t="shared" si="8"/>
        <v/>
      </c>
      <c r="AH41" s="100" t="str">
        <f t="shared" si="9"/>
        <v/>
      </c>
      <c r="AI41" s="95" t="str">
        <f t="shared" si="10"/>
        <v/>
      </c>
      <c r="AJ41" s="98" t="str">
        <f t="shared" si="11"/>
        <v/>
      </c>
      <c r="AK41" s="94" t="str">
        <f t="shared" si="12"/>
        <v/>
      </c>
      <c r="AL41" s="96" t="str">
        <f t="shared" si="13"/>
        <v/>
      </c>
      <c r="AM41" s="244" t="str">
        <f>IFERROR(
IF(C41="VTS",
IF(T41&gt;=AVERAGE(
INDEX(Assumptions!$I$38:$I$57,MATCH(T41,Assumptions!$I$38:$I$57,-1)),
INDEX(Assumptions!$I$38:$I$57,MATCH(T41,Assumptions!$I$38:$I$57,-1)+1)),
INDEX(Assumptions!$I$38:$I$57,MATCH(T41,Assumptions!$I$38:$I$57,-1)),
INDEX(Assumptions!$I$38:$I$57,MATCH(T41,Assumptions!$I$38:$I$57,-1)+1)),
IF(T41&gt;=AVERAGE(
INDEX(Assumptions!$I$13:$I$32,MATCH(T41,Assumptions!$I$13:$I$32,-1)),
INDEX(Assumptions!$I$13:$I$32,MATCH(T41,Assumptions!$I$13:$I$32,-1)+1)),
INDEX(Assumptions!$I$13:$I$32,MATCH(T41,Assumptions!$I$13:$I$32,-1)),
INDEX(Assumptions!$I$13:$I$32,MATCH(T41,Assumptions!$I$13:$I$32,-1)+1))),
"")</f>
        <v/>
      </c>
      <c r="AN41" s="95" t="str">
        <f>IFERROR(
IF(C41="VTS",
VLOOKUP(AM41,Assumptions!$I$38:$K$57,MATCH(U41,Assumptions!$I$37:$K$37,0),FALSE),
VLOOKUP(AM41,Assumptions!$I$13:$K$32,MATCH(U41,Assumptions!$I$12:$K$12,0),FALSE)),
"")</f>
        <v/>
      </c>
      <c r="AO41" s="95" t="str">
        <f t="shared" si="14"/>
        <v/>
      </c>
      <c r="AP41" s="95" t="str">
        <f>IFERROR(AO41*
(Assumptions!$S$7*(AA41/(AS41*Assumptions!$AB$9/100)/T41)^3+
Assumptions!$S$8*(AA41/(AS41*Assumptions!$AB$9/100)/T41)^2+
Assumptions!$S$9*(AA41/(AS41*Assumptions!$AB$9/100)/T41)+
Assumptions!$S$10),"")</f>
        <v/>
      </c>
      <c r="AQ41" s="95" t="str">
        <f>IFERROR(AO41*
(Assumptions!$S$7*(AK41/(AS41*Assumptions!$AB$8/100)/T41)^3+
Assumptions!$S$8*(AK41/(AS41*Assumptions!$AB$8/100)/T41)^2+
Assumptions!$S$9*(AK41/(AS41*Assumptions!$AB$8/100)/T41)+
Assumptions!$S$10),"")</f>
        <v/>
      </c>
      <c r="AR41" s="95" t="str">
        <f>IFERROR(AO41*
(Assumptions!$S$7*(AL41/(AS41*Assumptions!$AB$10/100)/T41)^3+
Assumptions!$S$8*(AL41/(AS41*Assumptions!$AB$10/100)/T41)^2+
Assumptions!$S$9*(AL41/(AS41*Assumptions!$AB$10/100)/T41)+
Assumptions!$S$10),"")</f>
        <v/>
      </c>
      <c r="AS41" s="95" t="str">
        <f>IFERROR(
Assumptions!$AD$8*LN(X41)^2+
Assumptions!$AE$8*LN(W41)*LN(X41)+
Assumptions!$AF$8*LN(W41)^2+
Assumptions!$AG$8*LN(X41)+
Assumptions!$AH$8*LN(W41)-
(IF(V41=1800,
VLOOKUP(C41,Assumptions!$AA$13:$AC$17,3),
IF(V41=3600,
VLOOKUP(C41,Assumptions!$AA$18:$AC$22,3),""))+Assumptions!$AI$8),
"")</f>
        <v/>
      </c>
      <c r="AT41" s="96" t="str">
        <f>IFERROR(
Assumptions!$D$11*(AA41/(Assumptions!$AB$9*AS41/100)+AP41)+
Assumptions!$D$10*(AK41/(Assumptions!$AB$8*AS41/100)+AQ41)+
Assumptions!$D$12*(AL41/(Assumptions!$AB$10*AS41/100)+AR41),
"")</f>
        <v/>
      </c>
      <c r="AU41" s="76" t="str">
        <f>IFERROR(
Z41*Assumptions!$F$11+
AD41*Assumptions!$F$10+
AG41*Assumptions!$F$9+
AJ41*Assumptions!$F$8,
"")</f>
        <v/>
      </c>
      <c r="AV41" s="77" t="str">
        <f t="shared" si="18"/>
        <v/>
      </c>
      <c r="AW41" s="68" t="str">
        <f t="shared" si="19"/>
        <v/>
      </c>
    </row>
    <row r="42" spans="1:49" x14ac:dyDescent="0.25">
      <c r="A42" s="264"/>
      <c r="B42" s="265"/>
      <c r="C42" s="265"/>
      <c r="D42" s="265"/>
      <c r="E42" s="266"/>
      <c r="F42" s="270"/>
      <c r="G42" s="271"/>
      <c r="H42" s="310"/>
      <c r="I42" s="270"/>
      <c r="J42" s="271"/>
      <c r="K42" s="272"/>
      <c r="L42" s="308"/>
      <c r="M42" s="271"/>
      <c r="N42" s="310"/>
      <c r="O42" s="270"/>
      <c r="P42" s="271"/>
      <c r="Q42" s="272"/>
      <c r="R42" s="272"/>
      <c r="S42" s="318"/>
      <c r="T42" s="306"/>
      <c r="U42" s="84" t="str">
        <f t="shared" ref="U42:U73" si="20">IF(AND(E42&gt;=1440,E42&lt;=2160),4,IF(AND(E42&gt;=2880,E42&lt;=4320),2,""))</f>
        <v/>
      </c>
      <c r="V42" s="84" t="str">
        <f t="shared" si="15"/>
        <v/>
      </c>
      <c r="W42" s="93" t="str">
        <f t="shared" ref="W42:W73" si="21">IFERROR(V42*X42^0.5/(Y42/D42)^0.75,"")</f>
        <v/>
      </c>
      <c r="X42" s="100" t="str">
        <f t="shared" ref="X42:X73" si="22">IFERROR(F42*V42/E42,"")</f>
        <v/>
      </c>
      <c r="Y42" s="95" t="str">
        <f t="shared" ref="Y42:Y73" si="23">IFERROR(G42*(V42/E42)^2,"")</f>
        <v/>
      </c>
      <c r="Z42" s="95" t="str">
        <f t="shared" ref="Z42:Z73" si="24">IFERROR(H42*(V42/E42)^3,"")</f>
        <v/>
      </c>
      <c r="AA42" s="98" t="str">
        <f>IFERROR(X42*Y42*Assumptions!$B$15/3956,"")</f>
        <v/>
      </c>
      <c r="AB42" s="100" t="str">
        <f t="shared" si="16"/>
        <v/>
      </c>
      <c r="AC42" s="95" t="str">
        <f t="shared" si="17"/>
        <v/>
      </c>
      <c r="AD42" s="95" t="str">
        <f t="shared" ref="AD42:AD73" si="25">IFERROR(K42*(AC42/J42)*(AB42/I42),"")</f>
        <v/>
      </c>
      <c r="AE42" s="100" t="str">
        <f t="shared" ref="AE42:AE73" si="26">IF(X42="","",(X42*0.5))</f>
        <v/>
      </c>
      <c r="AF42" s="95" t="str">
        <f t="shared" ref="AF42:AF73" si="27">IFERROR((0.8*(AE42/X42)^2+0.2)*Y42,"")</f>
        <v/>
      </c>
      <c r="AG42" s="98" t="str">
        <f t="shared" ref="AG42:AG73" si="28">IFERROR(N42*(AF42/M42)*(AE42/L42),"")</f>
        <v/>
      </c>
      <c r="AH42" s="100" t="str">
        <f t="shared" ref="AH42:AH73" si="29">IF(X42="","",(X42*0.25))</f>
        <v/>
      </c>
      <c r="AI42" s="95" t="str">
        <f t="shared" ref="AI42:AI73" si="30">IFERROR((0.8*(AH42/X42)^2+0.2)*Y42,"")</f>
        <v/>
      </c>
      <c r="AJ42" s="98" t="str">
        <f t="shared" ref="AJ42:AJ73" si="31">IFERROR(Q42*(AI42/P42)*(AH42/O42),"")</f>
        <v/>
      </c>
      <c r="AK42" s="94" t="str">
        <f t="shared" ref="AK42:AK73" si="32">IFERROR(R42*(V42/E42)^3,"")</f>
        <v/>
      </c>
      <c r="AL42" s="96" t="str">
        <f t="shared" ref="AL42:AL73" si="33">IFERROR(S42*(V42/E42)^3,"")</f>
        <v/>
      </c>
      <c r="AM42" s="244" t="str">
        <f>IFERROR(
IF(C42="VTS",
IF(T42&gt;=AVERAGE(
INDEX(Assumptions!$I$38:$I$57,MATCH(T42,Assumptions!$I$38:$I$57,-1)),
INDEX(Assumptions!$I$38:$I$57,MATCH(T42,Assumptions!$I$38:$I$57,-1)+1)),
INDEX(Assumptions!$I$38:$I$57,MATCH(T42,Assumptions!$I$38:$I$57,-1)),
INDEX(Assumptions!$I$38:$I$57,MATCH(T42,Assumptions!$I$38:$I$57,-1)+1)),
IF(T42&gt;=AVERAGE(
INDEX(Assumptions!$I$13:$I$32,MATCH(T42,Assumptions!$I$13:$I$32,-1)),
INDEX(Assumptions!$I$13:$I$32,MATCH(T42,Assumptions!$I$13:$I$32,-1)+1)),
INDEX(Assumptions!$I$13:$I$32,MATCH(T42,Assumptions!$I$13:$I$32,-1)),
INDEX(Assumptions!$I$13:$I$32,MATCH(T42,Assumptions!$I$13:$I$32,-1)+1))),
"")</f>
        <v/>
      </c>
      <c r="AN42" s="95" t="str">
        <f>IFERROR(
IF(C42="VTS",
VLOOKUP(AM42,Assumptions!$I$38:$K$57,MATCH(U42,Assumptions!$I$37:$K$37,0),FALSE),
VLOOKUP(AM42,Assumptions!$I$13:$K$32,MATCH(U42,Assumptions!$I$12:$K$12,0),FALSE)),
"")</f>
        <v/>
      </c>
      <c r="AO42" s="95" t="str">
        <f t="shared" ref="AO42:AO73" si="34">IFERROR(T42/(AN42/100)-T42,"")</f>
        <v/>
      </c>
      <c r="AP42" s="95" t="str">
        <f>IFERROR(AO42*
(Assumptions!$S$7*(AA42/(AS42*Assumptions!$AB$9/100)/T42)^3+
Assumptions!$S$8*(AA42/(AS42*Assumptions!$AB$9/100)/T42)^2+
Assumptions!$S$9*(AA42/(AS42*Assumptions!$AB$9/100)/T42)+
Assumptions!$S$10),"")</f>
        <v/>
      </c>
      <c r="AQ42" s="95" t="str">
        <f>IFERROR(AO42*
(Assumptions!$S$7*(AK42/(AS42*Assumptions!$AB$8/100)/T42)^3+
Assumptions!$S$8*(AK42/(AS42*Assumptions!$AB$8/100)/T42)^2+
Assumptions!$S$9*(AK42/(AS42*Assumptions!$AB$8/100)/T42)+
Assumptions!$S$10),"")</f>
        <v/>
      </c>
      <c r="AR42" s="95" t="str">
        <f>IFERROR(AO42*
(Assumptions!$S$7*(AL42/(AS42*Assumptions!$AB$10/100)/T42)^3+
Assumptions!$S$8*(AL42/(AS42*Assumptions!$AB$10/100)/T42)^2+
Assumptions!$S$9*(AL42/(AS42*Assumptions!$AB$10/100)/T42)+
Assumptions!$S$10),"")</f>
        <v/>
      </c>
      <c r="AS42" s="95" t="str">
        <f>IFERROR(
Assumptions!$AD$8*LN(X42)^2+
Assumptions!$AE$8*LN(W42)*LN(X42)+
Assumptions!$AF$8*LN(W42)^2+
Assumptions!$AG$8*LN(X42)+
Assumptions!$AH$8*LN(W42)-
(IF(V42=1800,
VLOOKUP(C42,Assumptions!$AA$13:$AC$17,3),
IF(V42=3600,
VLOOKUP(C42,Assumptions!$AA$18:$AC$22,3),""))+Assumptions!$AI$8),
"")</f>
        <v/>
      </c>
      <c r="AT42" s="96" t="str">
        <f>IFERROR(
Assumptions!$D$11*(AA42/(Assumptions!$AB$9*AS42/100)+AP42)+
Assumptions!$D$10*(AK42/(Assumptions!$AB$8*AS42/100)+AQ42)+
Assumptions!$D$12*(AL42/(Assumptions!$AB$10*AS42/100)+AR42),
"")</f>
        <v/>
      </c>
      <c r="AU42" s="76" t="str">
        <f>IFERROR(
Z42*Assumptions!$F$11+
AD42*Assumptions!$F$10+
AG42*Assumptions!$F$9+
AJ42*Assumptions!$F$8,
"")</f>
        <v/>
      </c>
      <c r="AV42" s="77" t="str">
        <f t="shared" si="18"/>
        <v/>
      </c>
      <c r="AW42" s="68" t="str">
        <f t="shared" si="19"/>
        <v/>
      </c>
    </row>
    <row r="43" spans="1:49" x14ac:dyDescent="0.25">
      <c r="A43" s="264"/>
      <c r="B43" s="265"/>
      <c r="C43" s="265"/>
      <c r="D43" s="265"/>
      <c r="E43" s="266"/>
      <c r="F43" s="270"/>
      <c r="G43" s="271"/>
      <c r="H43" s="310"/>
      <c r="I43" s="270"/>
      <c r="J43" s="271"/>
      <c r="K43" s="272"/>
      <c r="L43" s="308"/>
      <c r="M43" s="271"/>
      <c r="N43" s="310"/>
      <c r="O43" s="270"/>
      <c r="P43" s="271"/>
      <c r="Q43" s="272"/>
      <c r="R43" s="272"/>
      <c r="S43" s="318"/>
      <c r="T43" s="306"/>
      <c r="U43" s="84" t="str">
        <f t="shared" si="20"/>
        <v/>
      </c>
      <c r="V43" s="84" t="str">
        <f t="shared" si="15"/>
        <v/>
      </c>
      <c r="W43" s="93" t="str">
        <f t="shared" si="21"/>
        <v/>
      </c>
      <c r="X43" s="100" t="str">
        <f t="shared" si="22"/>
        <v/>
      </c>
      <c r="Y43" s="95" t="str">
        <f t="shared" si="23"/>
        <v/>
      </c>
      <c r="Z43" s="95" t="str">
        <f t="shared" si="24"/>
        <v/>
      </c>
      <c r="AA43" s="98" t="str">
        <f>IFERROR(X43*Y43*Assumptions!$B$15/3956,"")</f>
        <v/>
      </c>
      <c r="AB43" s="100" t="str">
        <f t="shared" si="16"/>
        <v/>
      </c>
      <c r="AC43" s="95" t="str">
        <f t="shared" si="17"/>
        <v/>
      </c>
      <c r="AD43" s="95" t="str">
        <f t="shared" si="25"/>
        <v/>
      </c>
      <c r="AE43" s="100" t="str">
        <f t="shared" si="26"/>
        <v/>
      </c>
      <c r="AF43" s="95" t="str">
        <f t="shared" si="27"/>
        <v/>
      </c>
      <c r="AG43" s="98" t="str">
        <f t="shared" si="28"/>
        <v/>
      </c>
      <c r="AH43" s="100" t="str">
        <f t="shared" si="29"/>
        <v/>
      </c>
      <c r="AI43" s="95" t="str">
        <f t="shared" si="30"/>
        <v/>
      </c>
      <c r="AJ43" s="98" t="str">
        <f t="shared" si="31"/>
        <v/>
      </c>
      <c r="AK43" s="94" t="str">
        <f t="shared" si="32"/>
        <v/>
      </c>
      <c r="AL43" s="96" t="str">
        <f t="shared" si="33"/>
        <v/>
      </c>
      <c r="AM43" s="244" t="str">
        <f>IFERROR(
IF(C43="VTS",
IF(T43&gt;=AVERAGE(
INDEX(Assumptions!$I$38:$I$57,MATCH(T43,Assumptions!$I$38:$I$57,-1)),
INDEX(Assumptions!$I$38:$I$57,MATCH(T43,Assumptions!$I$38:$I$57,-1)+1)),
INDEX(Assumptions!$I$38:$I$57,MATCH(T43,Assumptions!$I$38:$I$57,-1)),
INDEX(Assumptions!$I$38:$I$57,MATCH(T43,Assumptions!$I$38:$I$57,-1)+1)),
IF(T43&gt;=AVERAGE(
INDEX(Assumptions!$I$13:$I$32,MATCH(T43,Assumptions!$I$13:$I$32,-1)),
INDEX(Assumptions!$I$13:$I$32,MATCH(T43,Assumptions!$I$13:$I$32,-1)+1)),
INDEX(Assumptions!$I$13:$I$32,MATCH(T43,Assumptions!$I$13:$I$32,-1)),
INDEX(Assumptions!$I$13:$I$32,MATCH(T43,Assumptions!$I$13:$I$32,-1)+1))),
"")</f>
        <v/>
      </c>
      <c r="AN43" s="95" t="str">
        <f>IFERROR(
IF(C43="VTS",
VLOOKUP(AM43,Assumptions!$I$38:$K$57,MATCH(U43,Assumptions!$I$37:$K$37,0),FALSE),
VLOOKUP(AM43,Assumptions!$I$13:$K$32,MATCH(U43,Assumptions!$I$12:$K$12,0),FALSE)),
"")</f>
        <v/>
      </c>
      <c r="AO43" s="95" t="str">
        <f t="shared" si="34"/>
        <v/>
      </c>
      <c r="AP43" s="95" t="str">
        <f>IFERROR(AO43*
(Assumptions!$S$7*(AA43/(AS43*Assumptions!$AB$9/100)/T43)^3+
Assumptions!$S$8*(AA43/(AS43*Assumptions!$AB$9/100)/T43)^2+
Assumptions!$S$9*(AA43/(AS43*Assumptions!$AB$9/100)/T43)+
Assumptions!$S$10),"")</f>
        <v/>
      </c>
      <c r="AQ43" s="95" t="str">
        <f>IFERROR(AO43*
(Assumptions!$S$7*(AK43/(AS43*Assumptions!$AB$8/100)/T43)^3+
Assumptions!$S$8*(AK43/(AS43*Assumptions!$AB$8/100)/T43)^2+
Assumptions!$S$9*(AK43/(AS43*Assumptions!$AB$8/100)/T43)+
Assumptions!$S$10),"")</f>
        <v/>
      </c>
      <c r="AR43" s="95" t="str">
        <f>IFERROR(AO43*
(Assumptions!$S$7*(AL43/(AS43*Assumptions!$AB$10/100)/T43)^3+
Assumptions!$S$8*(AL43/(AS43*Assumptions!$AB$10/100)/T43)^2+
Assumptions!$S$9*(AL43/(AS43*Assumptions!$AB$10/100)/T43)+
Assumptions!$S$10),"")</f>
        <v/>
      </c>
      <c r="AS43" s="95" t="str">
        <f>IFERROR(
Assumptions!$AD$8*LN(X43)^2+
Assumptions!$AE$8*LN(W43)*LN(X43)+
Assumptions!$AF$8*LN(W43)^2+
Assumptions!$AG$8*LN(X43)+
Assumptions!$AH$8*LN(W43)-
(IF(V43=1800,
VLOOKUP(C43,Assumptions!$AA$13:$AC$17,3),
IF(V43=3600,
VLOOKUP(C43,Assumptions!$AA$18:$AC$22,3),""))+Assumptions!$AI$8),
"")</f>
        <v/>
      </c>
      <c r="AT43" s="96" t="str">
        <f>IFERROR(
Assumptions!$D$11*(AA43/(Assumptions!$AB$9*AS43/100)+AP43)+
Assumptions!$D$10*(AK43/(Assumptions!$AB$8*AS43/100)+AQ43)+
Assumptions!$D$12*(AL43/(Assumptions!$AB$10*AS43/100)+AR43),
"")</f>
        <v/>
      </c>
      <c r="AU43" s="76" t="str">
        <f>IFERROR(
Z43*Assumptions!$F$11+
AD43*Assumptions!$F$10+
AG43*Assumptions!$F$9+
AJ43*Assumptions!$F$8,
"")</f>
        <v/>
      </c>
      <c r="AV43" s="77" t="str">
        <f t="shared" si="18"/>
        <v/>
      </c>
      <c r="AW43" s="68" t="str">
        <f t="shared" si="19"/>
        <v/>
      </c>
    </row>
    <row r="44" spans="1:49" x14ac:dyDescent="0.25">
      <c r="A44" s="264"/>
      <c r="B44" s="265"/>
      <c r="C44" s="265"/>
      <c r="D44" s="265"/>
      <c r="E44" s="266"/>
      <c r="F44" s="270"/>
      <c r="G44" s="271"/>
      <c r="H44" s="310"/>
      <c r="I44" s="270"/>
      <c r="J44" s="271"/>
      <c r="K44" s="272"/>
      <c r="L44" s="308"/>
      <c r="M44" s="271"/>
      <c r="N44" s="310"/>
      <c r="O44" s="270"/>
      <c r="P44" s="271"/>
      <c r="Q44" s="272"/>
      <c r="R44" s="272"/>
      <c r="S44" s="318"/>
      <c r="T44" s="306"/>
      <c r="U44" s="84" t="str">
        <f t="shared" si="20"/>
        <v/>
      </c>
      <c r="V44" s="84" t="str">
        <f t="shared" si="15"/>
        <v/>
      </c>
      <c r="W44" s="93" t="str">
        <f t="shared" si="21"/>
        <v/>
      </c>
      <c r="X44" s="100" t="str">
        <f t="shared" si="22"/>
        <v/>
      </c>
      <c r="Y44" s="95" t="str">
        <f t="shared" si="23"/>
        <v/>
      </c>
      <c r="Z44" s="95" t="str">
        <f t="shared" si="24"/>
        <v/>
      </c>
      <c r="AA44" s="98" t="str">
        <f>IFERROR(X44*Y44*Assumptions!$B$15/3956,"")</f>
        <v/>
      </c>
      <c r="AB44" s="100" t="str">
        <f t="shared" si="16"/>
        <v/>
      </c>
      <c r="AC44" s="95" t="str">
        <f t="shared" si="17"/>
        <v/>
      </c>
      <c r="AD44" s="95" t="str">
        <f t="shared" si="25"/>
        <v/>
      </c>
      <c r="AE44" s="100" t="str">
        <f t="shared" si="26"/>
        <v/>
      </c>
      <c r="AF44" s="95" t="str">
        <f t="shared" si="27"/>
        <v/>
      </c>
      <c r="AG44" s="98" t="str">
        <f t="shared" si="28"/>
        <v/>
      </c>
      <c r="AH44" s="100" t="str">
        <f t="shared" si="29"/>
        <v/>
      </c>
      <c r="AI44" s="95" t="str">
        <f t="shared" si="30"/>
        <v/>
      </c>
      <c r="AJ44" s="98" t="str">
        <f t="shared" si="31"/>
        <v/>
      </c>
      <c r="AK44" s="94" t="str">
        <f t="shared" si="32"/>
        <v/>
      </c>
      <c r="AL44" s="96" t="str">
        <f t="shared" si="33"/>
        <v/>
      </c>
      <c r="AM44" s="244" t="str">
        <f>IFERROR(
IF(C44="VTS",
IF(T44&gt;=AVERAGE(
INDEX(Assumptions!$I$38:$I$57,MATCH(T44,Assumptions!$I$38:$I$57,-1)),
INDEX(Assumptions!$I$38:$I$57,MATCH(T44,Assumptions!$I$38:$I$57,-1)+1)),
INDEX(Assumptions!$I$38:$I$57,MATCH(T44,Assumptions!$I$38:$I$57,-1)),
INDEX(Assumptions!$I$38:$I$57,MATCH(T44,Assumptions!$I$38:$I$57,-1)+1)),
IF(T44&gt;=AVERAGE(
INDEX(Assumptions!$I$13:$I$32,MATCH(T44,Assumptions!$I$13:$I$32,-1)),
INDEX(Assumptions!$I$13:$I$32,MATCH(T44,Assumptions!$I$13:$I$32,-1)+1)),
INDEX(Assumptions!$I$13:$I$32,MATCH(T44,Assumptions!$I$13:$I$32,-1)),
INDEX(Assumptions!$I$13:$I$32,MATCH(T44,Assumptions!$I$13:$I$32,-1)+1))),
"")</f>
        <v/>
      </c>
      <c r="AN44" s="95" t="str">
        <f>IFERROR(
IF(C44="VTS",
VLOOKUP(AM44,Assumptions!$I$38:$K$57,MATCH(U44,Assumptions!$I$37:$K$37,0),FALSE),
VLOOKUP(AM44,Assumptions!$I$13:$K$32,MATCH(U44,Assumptions!$I$12:$K$12,0),FALSE)),
"")</f>
        <v/>
      </c>
      <c r="AO44" s="95" t="str">
        <f t="shared" si="34"/>
        <v/>
      </c>
      <c r="AP44" s="95" t="str">
        <f>IFERROR(AO44*
(Assumptions!$S$7*(AA44/(AS44*Assumptions!$AB$9/100)/T44)^3+
Assumptions!$S$8*(AA44/(AS44*Assumptions!$AB$9/100)/T44)^2+
Assumptions!$S$9*(AA44/(AS44*Assumptions!$AB$9/100)/T44)+
Assumptions!$S$10),"")</f>
        <v/>
      </c>
      <c r="AQ44" s="95" t="str">
        <f>IFERROR(AO44*
(Assumptions!$S$7*(AK44/(AS44*Assumptions!$AB$8/100)/T44)^3+
Assumptions!$S$8*(AK44/(AS44*Assumptions!$AB$8/100)/T44)^2+
Assumptions!$S$9*(AK44/(AS44*Assumptions!$AB$8/100)/T44)+
Assumptions!$S$10),"")</f>
        <v/>
      </c>
      <c r="AR44" s="95" t="str">
        <f>IFERROR(AO44*
(Assumptions!$S$7*(AL44/(AS44*Assumptions!$AB$10/100)/T44)^3+
Assumptions!$S$8*(AL44/(AS44*Assumptions!$AB$10/100)/T44)^2+
Assumptions!$S$9*(AL44/(AS44*Assumptions!$AB$10/100)/T44)+
Assumptions!$S$10),"")</f>
        <v/>
      </c>
      <c r="AS44" s="95" t="str">
        <f>IFERROR(
Assumptions!$AD$8*LN(X44)^2+
Assumptions!$AE$8*LN(W44)*LN(X44)+
Assumptions!$AF$8*LN(W44)^2+
Assumptions!$AG$8*LN(X44)+
Assumptions!$AH$8*LN(W44)-
(IF(V44=1800,
VLOOKUP(C44,Assumptions!$AA$13:$AC$17,3),
IF(V44=3600,
VLOOKUP(C44,Assumptions!$AA$18:$AC$22,3),""))+Assumptions!$AI$8),
"")</f>
        <v/>
      </c>
      <c r="AT44" s="96" t="str">
        <f>IFERROR(
Assumptions!$D$11*(AA44/(Assumptions!$AB$9*AS44/100)+AP44)+
Assumptions!$D$10*(AK44/(Assumptions!$AB$8*AS44/100)+AQ44)+
Assumptions!$D$12*(AL44/(Assumptions!$AB$10*AS44/100)+AR44),
"")</f>
        <v/>
      </c>
      <c r="AU44" s="76" t="str">
        <f>IFERROR(
Z44*Assumptions!$F$11+
AD44*Assumptions!$F$10+
AG44*Assumptions!$F$9+
AJ44*Assumptions!$F$8,
"")</f>
        <v/>
      </c>
      <c r="AV44" s="77" t="str">
        <f t="shared" si="18"/>
        <v/>
      </c>
      <c r="AW44" s="68" t="str">
        <f t="shared" si="19"/>
        <v/>
      </c>
    </row>
    <row r="45" spans="1:49" x14ac:dyDescent="0.25">
      <c r="A45" s="264"/>
      <c r="B45" s="265"/>
      <c r="C45" s="265"/>
      <c r="D45" s="265"/>
      <c r="E45" s="266"/>
      <c r="F45" s="270"/>
      <c r="G45" s="271"/>
      <c r="H45" s="310"/>
      <c r="I45" s="270"/>
      <c r="J45" s="271"/>
      <c r="K45" s="272"/>
      <c r="L45" s="308"/>
      <c r="M45" s="271"/>
      <c r="N45" s="310"/>
      <c r="O45" s="270"/>
      <c r="P45" s="271"/>
      <c r="Q45" s="272"/>
      <c r="R45" s="272"/>
      <c r="S45" s="318"/>
      <c r="T45" s="306"/>
      <c r="U45" s="84" t="str">
        <f t="shared" si="20"/>
        <v/>
      </c>
      <c r="V45" s="84" t="str">
        <f t="shared" si="15"/>
        <v/>
      </c>
      <c r="W45" s="93" t="str">
        <f t="shared" si="21"/>
        <v/>
      </c>
      <c r="X45" s="100" t="str">
        <f t="shared" si="22"/>
        <v/>
      </c>
      <c r="Y45" s="95" t="str">
        <f t="shared" si="23"/>
        <v/>
      </c>
      <c r="Z45" s="95" t="str">
        <f t="shared" si="24"/>
        <v/>
      </c>
      <c r="AA45" s="98" t="str">
        <f>IFERROR(X45*Y45*Assumptions!$B$15/3956,"")</f>
        <v/>
      </c>
      <c r="AB45" s="100" t="str">
        <f t="shared" si="16"/>
        <v/>
      </c>
      <c r="AC45" s="95" t="str">
        <f t="shared" si="17"/>
        <v/>
      </c>
      <c r="AD45" s="95" t="str">
        <f t="shared" si="25"/>
        <v/>
      </c>
      <c r="AE45" s="100" t="str">
        <f t="shared" si="26"/>
        <v/>
      </c>
      <c r="AF45" s="95" t="str">
        <f t="shared" si="27"/>
        <v/>
      </c>
      <c r="AG45" s="98" t="str">
        <f t="shared" si="28"/>
        <v/>
      </c>
      <c r="AH45" s="100" t="str">
        <f t="shared" si="29"/>
        <v/>
      </c>
      <c r="AI45" s="95" t="str">
        <f t="shared" si="30"/>
        <v/>
      </c>
      <c r="AJ45" s="98" t="str">
        <f t="shared" si="31"/>
        <v/>
      </c>
      <c r="AK45" s="94" t="str">
        <f t="shared" si="32"/>
        <v/>
      </c>
      <c r="AL45" s="96" t="str">
        <f t="shared" si="33"/>
        <v/>
      </c>
      <c r="AM45" s="244" t="str">
        <f>IFERROR(
IF(C45="VTS",
IF(T45&gt;=AVERAGE(
INDEX(Assumptions!$I$38:$I$57,MATCH(T45,Assumptions!$I$38:$I$57,-1)),
INDEX(Assumptions!$I$38:$I$57,MATCH(T45,Assumptions!$I$38:$I$57,-1)+1)),
INDEX(Assumptions!$I$38:$I$57,MATCH(T45,Assumptions!$I$38:$I$57,-1)),
INDEX(Assumptions!$I$38:$I$57,MATCH(T45,Assumptions!$I$38:$I$57,-1)+1)),
IF(T45&gt;=AVERAGE(
INDEX(Assumptions!$I$13:$I$32,MATCH(T45,Assumptions!$I$13:$I$32,-1)),
INDEX(Assumptions!$I$13:$I$32,MATCH(T45,Assumptions!$I$13:$I$32,-1)+1)),
INDEX(Assumptions!$I$13:$I$32,MATCH(T45,Assumptions!$I$13:$I$32,-1)),
INDEX(Assumptions!$I$13:$I$32,MATCH(T45,Assumptions!$I$13:$I$32,-1)+1))),
"")</f>
        <v/>
      </c>
      <c r="AN45" s="95" t="str">
        <f>IFERROR(
IF(C45="VTS",
VLOOKUP(AM45,Assumptions!$I$38:$K$57,MATCH(U45,Assumptions!$I$37:$K$37,0),FALSE),
VLOOKUP(AM45,Assumptions!$I$13:$K$32,MATCH(U45,Assumptions!$I$12:$K$12,0),FALSE)),
"")</f>
        <v/>
      </c>
      <c r="AO45" s="95" t="str">
        <f t="shared" si="34"/>
        <v/>
      </c>
      <c r="AP45" s="95" t="str">
        <f>IFERROR(AO45*
(Assumptions!$S$7*(AA45/(AS45*Assumptions!$AB$9/100)/T45)^3+
Assumptions!$S$8*(AA45/(AS45*Assumptions!$AB$9/100)/T45)^2+
Assumptions!$S$9*(AA45/(AS45*Assumptions!$AB$9/100)/T45)+
Assumptions!$S$10),"")</f>
        <v/>
      </c>
      <c r="AQ45" s="95" t="str">
        <f>IFERROR(AO45*
(Assumptions!$S$7*(AK45/(AS45*Assumptions!$AB$8/100)/T45)^3+
Assumptions!$S$8*(AK45/(AS45*Assumptions!$AB$8/100)/T45)^2+
Assumptions!$S$9*(AK45/(AS45*Assumptions!$AB$8/100)/T45)+
Assumptions!$S$10),"")</f>
        <v/>
      </c>
      <c r="AR45" s="95" t="str">
        <f>IFERROR(AO45*
(Assumptions!$S$7*(AL45/(AS45*Assumptions!$AB$10/100)/T45)^3+
Assumptions!$S$8*(AL45/(AS45*Assumptions!$AB$10/100)/T45)^2+
Assumptions!$S$9*(AL45/(AS45*Assumptions!$AB$10/100)/T45)+
Assumptions!$S$10),"")</f>
        <v/>
      </c>
      <c r="AS45" s="95" t="str">
        <f>IFERROR(
Assumptions!$AD$8*LN(X45)^2+
Assumptions!$AE$8*LN(W45)*LN(X45)+
Assumptions!$AF$8*LN(W45)^2+
Assumptions!$AG$8*LN(X45)+
Assumptions!$AH$8*LN(W45)-
(IF(V45=1800,
VLOOKUP(C45,Assumptions!$AA$13:$AC$17,3),
IF(V45=3600,
VLOOKUP(C45,Assumptions!$AA$18:$AC$22,3),""))+Assumptions!$AI$8),
"")</f>
        <v/>
      </c>
      <c r="AT45" s="96" t="str">
        <f>IFERROR(
Assumptions!$D$11*(AA45/(Assumptions!$AB$9*AS45/100)+AP45)+
Assumptions!$D$10*(AK45/(Assumptions!$AB$8*AS45/100)+AQ45)+
Assumptions!$D$12*(AL45/(Assumptions!$AB$10*AS45/100)+AR45),
"")</f>
        <v/>
      </c>
      <c r="AU45" s="76" t="str">
        <f>IFERROR(
Z45*Assumptions!$F$11+
AD45*Assumptions!$F$10+
AG45*Assumptions!$F$9+
AJ45*Assumptions!$F$8,
"")</f>
        <v/>
      </c>
      <c r="AV45" s="77" t="str">
        <f t="shared" si="18"/>
        <v/>
      </c>
      <c r="AW45" s="68" t="str">
        <f t="shared" si="19"/>
        <v/>
      </c>
    </row>
    <row r="46" spans="1:49" x14ac:dyDescent="0.25">
      <c r="A46" s="264"/>
      <c r="B46" s="265"/>
      <c r="C46" s="265"/>
      <c r="D46" s="265"/>
      <c r="E46" s="266"/>
      <c r="F46" s="270"/>
      <c r="G46" s="271"/>
      <c r="H46" s="310"/>
      <c r="I46" s="270"/>
      <c r="J46" s="271"/>
      <c r="K46" s="272"/>
      <c r="L46" s="308"/>
      <c r="M46" s="271"/>
      <c r="N46" s="310"/>
      <c r="O46" s="270"/>
      <c r="P46" s="271"/>
      <c r="Q46" s="272"/>
      <c r="R46" s="272"/>
      <c r="S46" s="318"/>
      <c r="T46" s="306"/>
      <c r="U46" s="84" t="str">
        <f t="shared" si="20"/>
        <v/>
      </c>
      <c r="V46" s="84" t="str">
        <f t="shared" si="15"/>
        <v/>
      </c>
      <c r="W46" s="93" t="str">
        <f t="shared" si="21"/>
        <v/>
      </c>
      <c r="X46" s="100" t="str">
        <f t="shared" si="22"/>
        <v/>
      </c>
      <c r="Y46" s="95" t="str">
        <f t="shared" si="23"/>
        <v/>
      </c>
      <c r="Z46" s="95" t="str">
        <f t="shared" si="24"/>
        <v/>
      </c>
      <c r="AA46" s="98" t="str">
        <f>IFERROR(X46*Y46*Assumptions!$B$15/3956,"")</f>
        <v/>
      </c>
      <c r="AB46" s="100" t="str">
        <f t="shared" si="16"/>
        <v/>
      </c>
      <c r="AC46" s="95" t="str">
        <f t="shared" si="17"/>
        <v/>
      </c>
      <c r="AD46" s="95" t="str">
        <f t="shared" si="25"/>
        <v/>
      </c>
      <c r="AE46" s="100" t="str">
        <f t="shared" si="26"/>
        <v/>
      </c>
      <c r="AF46" s="95" t="str">
        <f t="shared" si="27"/>
        <v/>
      </c>
      <c r="AG46" s="98" t="str">
        <f t="shared" si="28"/>
        <v/>
      </c>
      <c r="AH46" s="100" t="str">
        <f t="shared" si="29"/>
        <v/>
      </c>
      <c r="AI46" s="95" t="str">
        <f t="shared" si="30"/>
        <v/>
      </c>
      <c r="AJ46" s="98" t="str">
        <f t="shared" si="31"/>
        <v/>
      </c>
      <c r="AK46" s="94" t="str">
        <f t="shared" si="32"/>
        <v/>
      </c>
      <c r="AL46" s="96" t="str">
        <f t="shared" si="33"/>
        <v/>
      </c>
      <c r="AM46" s="244" t="str">
        <f>IFERROR(
IF(C46="VTS",
IF(T46&gt;=AVERAGE(
INDEX(Assumptions!$I$38:$I$57,MATCH(T46,Assumptions!$I$38:$I$57,-1)),
INDEX(Assumptions!$I$38:$I$57,MATCH(T46,Assumptions!$I$38:$I$57,-1)+1)),
INDEX(Assumptions!$I$38:$I$57,MATCH(T46,Assumptions!$I$38:$I$57,-1)),
INDEX(Assumptions!$I$38:$I$57,MATCH(T46,Assumptions!$I$38:$I$57,-1)+1)),
IF(T46&gt;=AVERAGE(
INDEX(Assumptions!$I$13:$I$32,MATCH(T46,Assumptions!$I$13:$I$32,-1)),
INDEX(Assumptions!$I$13:$I$32,MATCH(T46,Assumptions!$I$13:$I$32,-1)+1)),
INDEX(Assumptions!$I$13:$I$32,MATCH(T46,Assumptions!$I$13:$I$32,-1)),
INDEX(Assumptions!$I$13:$I$32,MATCH(T46,Assumptions!$I$13:$I$32,-1)+1))),
"")</f>
        <v/>
      </c>
      <c r="AN46" s="95" t="str">
        <f>IFERROR(
IF(C46="VTS",
VLOOKUP(AM46,Assumptions!$I$38:$K$57,MATCH(U46,Assumptions!$I$37:$K$37,0),FALSE),
VLOOKUP(AM46,Assumptions!$I$13:$K$32,MATCH(U46,Assumptions!$I$12:$K$12,0),FALSE)),
"")</f>
        <v/>
      </c>
      <c r="AO46" s="95" t="str">
        <f t="shared" si="34"/>
        <v/>
      </c>
      <c r="AP46" s="95" t="str">
        <f>IFERROR(AO46*
(Assumptions!$S$7*(AA46/(AS46*Assumptions!$AB$9/100)/T46)^3+
Assumptions!$S$8*(AA46/(AS46*Assumptions!$AB$9/100)/T46)^2+
Assumptions!$S$9*(AA46/(AS46*Assumptions!$AB$9/100)/T46)+
Assumptions!$S$10),"")</f>
        <v/>
      </c>
      <c r="AQ46" s="95" t="str">
        <f>IFERROR(AO46*
(Assumptions!$S$7*(AK46/(AS46*Assumptions!$AB$8/100)/T46)^3+
Assumptions!$S$8*(AK46/(AS46*Assumptions!$AB$8/100)/T46)^2+
Assumptions!$S$9*(AK46/(AS46*Assumptions!$AB$8/100)/T46)+
Assumptions!$S$10),"")</f>
        <v/>
      </c>
      <c r="AR46" s="95" t="str">
        <f>IFERROR(AO46*
(Assumptions!$S$7*(AL46/(AS46*Assumptions!$AB$10/100)/T46)^3+
Assumptions!$S$8*(AL46/(AS46*Assumptions!$AB$10/100)/T46)^2+
Assumptions!$S$9*(AL46/(AS46*Assumptions!$AB$10/100)/T46)+
Assumptions!$S$10),"")</f>
        <v/>
      </c>
      <c r="AS46" s="95" t="str">
        <f>IFERROR(
Assumptions!$AD$8*LN(X46)^2+
Assumptions!$AE$8*LN(W46)*LN(X46)+
Assumptions!$AF$8*LN(W46)^2+
Assumptions!$AG$8*LN(X46)+
Assumptions!$AH$8*LN(W46)-
(IF(V46=1800,
VLOOKUP(C46,Assumptions!$AA$13:$AC$17,3),
IF(V46=3600,
VLOOKUP(C46,Assumptions!$AA$18:$AC$22,3),""))+Assumptions!$AI$8),
"")</f>
        <v/>
      </c>
      <c r="AT46" s="96" t="str">
        <f>IFERROR(
Assumptions!$D$11*(AA46/(Assumptions!$AB$9*AS46/100)+AP46)+
Assumptions!$D$10*(AK46/(Assumptions!$AB$8*AS46/100)+AQ46)+
Assumptions!$D$12*(AL46/(Assumptions!$AB$10*AS46/100)+AR46),
"")</f>
        <v/>
      </c>
      <c r="AU46" s="76" t="str">
        <f>IFERROR(
Z46*Assumptions!$F$11+
AD46*Assumptions!$F$10+
AG46*Assumptions!$F$9+
AJ46*Assumptions!$F$8,
"")</f>
        <v/>
      </c>
      <c r="AV46" s="77" t="str">
        <f t="shared" si="18"/>
        <v/>
      </c>
      <c r="AW46" s="68" t="str">
        <f t="shared" si="19"/>
        <v/>
      </c>
    </row>
    <row r="47" spans="1:49" x14ac:dyDescent="0.25">
      <c r="A47" s="264"/>
      <c r="B47" s="265"/>
      <c r="C47" s="265"/>
      <c r="D47" s="265"/>
      <c r="E47" s="266"/>
      <c r="F47" s="270"/>
      <c r="G47" s="271"/>
      <c r="H47" s="310"/>
      <c r="I47" s="270"/>
      <c r="J47" s="271"/>
      <c r="K47" s="272"/>
      <c r="L47" s="308"/>
      <c r="M47" s="271"/>
      <c r="N47" s="310"/>
      <c r="O47" s="270"/>
      <c r="P47" s="271"/>
      <c r="Q47" s="272"/>
      <c r="R47" s="272"/>
      <c r="S47" s="318"/>
      <c r="T47" s="306"/>
      <c r="U47" s="84" t="str">
        <f t="shared" si="20"/>
        <v/>
      </c>
      <c r="V47" s="84" t="str">
        <f t="shared" si="15"/>
        <v/>
      </c>
      <c r="W47" s="93" t="str">
        <f t="shared" si="21"/>
        <v/>
      </c>
      <c r="X47" s="100" t="str">
        <f t="shared" si="22"/>
        <v/>
      </c>
      <c r="Y47" s="95" t="str">
        <f t="shared" si="23"/>
        <v/>
      </c>
      <c r="Z47" s="95" t="str">
        <f t="shared" si="24"/>
        <v/>
      </c>
      <c r="AA47" s="98" t="str">
        <f>IFERROR(X47*Y47*Assumptions!$B$15/3956,"")</f>
        <v/>
      </c>
      <c r="AB47" s="100" t="str">
        <f t="shared" si="16"/>
        <v/>
      </c>
      <c r="AC47" s="95" t="str">
        <f t="shared" si="17"/>
        <v/>
      </c>
      <c r="AD47" s="95" t="str">
        <f t="shared" si="25"/>
        <v/>
      </c>
      <c r="AE47" s="100" t="str">
        <f t="shared" si="26"/>
        <v/>
      </c>
      <c r="AF47" s="95" t="str">
        <f t="shared" si="27"/>
        <v/>
      </c>
      <c r="AG47" s="98" t="str">
        <f t="shared" si="28"/>
        <v/>
      </c>
      <c r="AH47" s="100" t="str">
        <f t="shared" si="29"/>
        <v/>
      </c>
      <c r="AI47" s="95" t="str">
        <f t="shared" si="30"/>
        <v/>
      </c>
      <c r="AJ47" s="98" t="str">
        <f t="shared" si="31"/>
        <v/>
      </c>
      <c r="AK47" s="94" t="str">
        <f t="shared" si="32"/>
        <v/>
      </c>
      <c r="AL47" s="96" t="str">
        <f t="shared" si="33"/>
        <v/>
      </c>
      <c r="AM47" s="244" t="str">
        <f>IFERROR(
IF(C47="VTS",
IF(T47&gt;=AVERAGE(
INDEX(Assumptions!$I$38:$I$57,MATCH(T47,Assumptions!$I$38:$I$57,-1)),
INDEX(Assumptions!$I$38:$I$57,MATCH(T47,Assumptions!$I$38:$I$57,-1)+1)),
INDEX(Assumptions!$I$38:$I$57,MATCH(T47,Assumptions!$I$38:$I$57,-1)),
INDEX(Assumptions!$I$38:$I$57,MATCH(T47,Assumptions!$I$38:$I$57,-1)+1)),
IF(T47&gt;=AVERAGE(
INDEX(Assumptions!$I$13:$I$32,MATCH(T47,Assumptions!$I$13:$I$32,-1)),
INDEX(Assumptions!$I$13:$I$32,MATCH(T47,Assumptions!$I$13:$I$32,-1)+1)),
INDEX(Assumptions!$I$13:$I$32,MATCH(T47,Assumptions!$I$13:$I$32,-1)),
INDEX(Assumptions!$I$13:$I$32,MATCH(T47,Assumptions!$I$13:$I$32,-1)+1))),
"")</f>
        <v/>
      </c>
      <c r="AN47" s="95" t="str">
        <f>IFERROR(
IF(C47="VTS",
VLOOKUP(AM47,Assumptions!$I$38:$K$57,MATCH(U47,Assumptions!$I$37:$K$37,0),FALSE),
VLOOKUP(AM47,Assumptions!$I$13:$K$32,MATCH(U47,Assumptions!$I$12:$K$12,0),FALSE)),
"")</f>
        <v/>
      </c>
      <c r="AO47" s="95" t="str">
        <f t="shared" si="34"/>
        <v/>
      </c>
      <c r="AP47" s="95" t="str">
        <f>IFERROR(AO47*
(Assumptions!$S$7*(AA47/(AS47*Assumptions!$AB$9/100)/T47)^3+
Assumptions!$S$8*(AA47/(AS47*Assumptions!$AB$9/100)/T47)^2+
Assumptions!$S$9*(AA47/(AS47*Assumptions!$AB$9/100)/T47)+
Assumptions!$S$10),"")</f>
        <v/>
      </c>
      <c r="AQ47" s="95" t="str">
        <f>IFERROR(AO47*
(Assumptions!$S$7*(AK47/(AS47*Assumptions!$AB$8/100)/T47)^3+
Assumptions!$S$8*(AK47/(AS47*Assumptions!$AB$8/100)/T47)^2+
Assumptions!$S$9*(AK47/(AS47*Assumptions!$AB$8/100)/T47)+
Assumptions!$S$10),"")</f>
        <v/>
      </c>
      <c r="AR47" s="95" t="str">
        <f>IFERROR(AO47*
(Assumptions!$S$7*(AL47/(AS47*Assumptions!$AB$10/100)/T47)^3+
Assumptions!$S$8*(AL47/(AS47*Assumptions!$AB$10/100)/T47)^2+
Assumptions!$S$9*(AL47/(AS47*Assumptions!$AB$10/100)/T47)+
Assumptions!$S$10),"")</f>
        <v/>
      </c>
      <c r="AS47" s="95" t="str">
        <f>IFERROR(
Assumptions!$AD$8*LN(X47)^2+
Assumptions!$AE$8*LN(W47)*LN(X47)+
Assumptions!$AF$8*LN(W47)^2+
Assumptions!$AG$8*LN(X47)+
Assumptions!$AH$8*LN(W47)-
(IF(V47=1800,
VLOOKUP(C47,Assumptions!$AA$13:$AC$17,3),
IF(V47=3600,
VLOOKUP(C47,Assumptions!$AA$18:$AC$22,3),""))+Assumptions!$AI$8),
"")</f>
        <v/>
      </c>
      <c r="AT47" s="96" t="str">
        <f>IFERROR(
Assumptions!$D$11*(AA47/(Assumptions!$AB$9*AS47/100)+AP47)+
Assumptions!$D$10*(AK47/(Assumptions!$AB$8*AS47/100)+AQ47)+
Assumptions!$D$12*(AL47/(Assumptions!$AB$10*AS47/100)+AR47),
"")</f>
        <v/>
      </c>
      <c r="AU47" s="76" t="str">
        <f>IFERROR(
Z47*Assumptions!$F$11+
AD47*Assumptions!$F$10+
AG47*Assumptions!$F$9+
AJ47*Assumptions!$F$8,
"")</f>
        <v/>
      </c>
      <c r="AV47" s="77" t="str">
        <f t="shared" si="18"/>
        <v/>
      </c>
      <c r="AW47" s="68" t="str">
        <f t="shared" si="19"/>
        <v/>
      </c>
    </row>
    <row r="48" spans="1:49" x14ac:dyDescent="0.25">
      <c r="A48" s="264"/>
      <c r="B48" s="265"/>
      <c r="C48" s="265"/>
      <c r="D48" s="265"/>
      <c r="E48" s="266"/>
      <c r="F48" s="270"/>
      <c r="G48" s="271"/>
      <c r="H48" s="310"/>
      <c r="I48" s="270"/>
      <c r="J48" s="271"/>
      <c r="K48" s="272"/>
      <c r="L48" s="308"/>
      <c r="M48" s="271"/>
      <c r="N48" s="310"/>
      <c r="O48" s="270"/>
      <c r="P48" s="271"/>
      <c r="Q48" s="272"/>
      <c r="R48" s="272"/>
      <c r="S48" s="318"/>
      <c r="T48" s="306"/>
      <c r="U48" s="84" t="str">
        <f t="shared" si="20"/>
        <v/>
      </c>
      <c r="V48" s="84" t="str">
        <f t="shared" si="15"/>
        <v/>
      </c>
      <c r="W48" s="93" t="str">
        <f t="shared" si="21"/>
        <v/>
      </c>
      <c r="X48" s="100" t="str">
        <f t="shared" si="22"/>
        <v/>
      </c>
      <c r="Y48" s="95" t="str">
        <f t="shared" si="23"/>
        <v/>
      </c>
      <c r="Z48" s="95" t="str">
        <f t="shared" si="24"/>
        <v/>
      </c>
      <c r="AA48" s="98" t="str">
        <f>IFERROR(X48*Y48*Assumptions!$B$15/3956,"")</f>
        <v/>
      </c>
      <c r="AB48" s="100" t="str">
        <f t="shared" si="16"/>
        <v/>
      </c>
      <c r="AC48" s="95" t="str">
        <f t="shared" si="17"/>
        <v/>
      </c>
      <c r="AD48" s="95" t="str">
        <f t="shared" si="25"/>
        <v/>
      </c>
      <c r="AE48" s="100" t="str">
        <f t="shared" si="26"/>
        <v/>
      </c>
      <c r="AF48" s="95" t="str">
        <f t="shared" si="27"/>
        <v/>
      </c>
      <c r="AG48" s="98" t="str">
        <f t="shared" si="28"/>
        <v/>
      </c>
      <c r="AH48" s="100" t="str">
        <f t="shared" si="29"/>
        <v/>
      </c>
      <c r="AI48" s="95" t="str">
        <f t="shared" si="30"/>
        <v/>
      </c>
      <c r="AJ48" s="98" t="str">
        <f t="shared" si="31"/>
        <v/>
      </c>
      <c r="AK48" s="94" t="str">
        <f t="shared" si="32"/>
        <v/>
      </c>
      <c r="AL48" s="96" t="str">
        <f t="shared" si="33"/>
        <v/>
      </c>
      <c r="AM48" s="244" t="str">
        <f>IFERROR(
IF(C48="VTS",
IF(T48&gt;=AVERAGE(
INDEX(Assumptions!$I$38:$I$57,MATCH(T48,Assumptions!$I$38:$I$57,-1)),
INDEX(Assumptions!$I$38:$I$57,MATCH(T48,Assumptions!$I$38:$I$57,-1)+1)),
INDEX(Assumptions!$I$38:$I$57,MATCH(T48,Assumptions!$I$38:$I$57,-1)),
INDEX(Assumptions!$I$38:$I$57,MATCH(T48,Assumptions!$I$38:$I$57,-1)+1)),
IF(T48&gt;=AVERAGE(
INDEX(Assumptions!$I$13:$I$32,MATCH(T48,Assumptions!$I$13:$I$32,-1)),
INDEX(Assumptions!$I$13:$I$32,MATCH(T48,Assumptions!$I$13:$I$32,-1)+1)),
INDEX(Assumptions!$I$13:$I$32,MATCH(T48,Assumptions!$I$13:$I$32,-1)),
INDEX(Assumptions!$I$13:$I$32,MATCH(T48,Assumptions!$I$13:$I$32,-1)+1))),
"")</f>
        <v/>
      </c>
      <c r="AN48" s="95" t="str">
        <f>IFERROR(
IF(C48="VTS",
VLOOKUP(AM48,Assumptions!$I$38:$K$57,MATCH(U48,Assumptions!$I$37:$K$37,0),FALSE),
VLOOKUP(AM48,Assumptions!$I$13:$K$32,MATCH(U48,Assumptions!$I$12:$K$12,0),FALSE)),
"")</f>
        <v/>
      </c>
      <c r="AO48" s="95" t="str">
        <f t="shared" si="34"/>
        <v/>
      </c>
      <c r="AP48" s="95" t="str">
        <f>IFERROR(AO48*
(Assumptions!$S$7*(AA48/(AS48*Assumptions!$AB$9/100)/T48)^3+
Assumptions!$S$8*(AA48/(AS48*Assumptions!$AB$9/100)/T48)^2+
Assumptions!$S$9*(AA48/(AS48*Assumptions!$AB$9/100)/T48)+
Assumptions!$S$10),"")</f>
        <v/>
      </c>
      <c r="AQ48" s="95" t="str">
        <f>IFERROR(AO48*
(Assumptions!$S$7*(AK48/(AS48*Assumptions!$AB$8/100)/T48)^3+
Assumptions!$S$8*(AK48/(AS48*Assumptions!$AB$8/100)/T48)^2+
Assumptions!$S$9*(AK48/(AS48*Assumptions!$AB$8/100)/T48)+
Assumptions!$S$10),"")</f>
        <v/>
      </c>
      <c r="AR48" s="95" t="str">
        <f>IFERROR(AO48*
(Assumptions!$S$7*(AL48/(AS48*Assumptions!$AB$10/100)/T48)^3+
Assumptions!$S$8*(AL48/(AS48*Assumptions!$AB$10/100)/T48)^2+
Assumptions!$S$9*(AL48/(AS48*Assumptions!$AB$10/100)/T48)+
Assumptions!$S$10),"")</f>
        <v/>
      </c>
      <c r="AS48" s="95" t="str">
        <f>IFERROR(
Assumptions!$AD$8*LN(X48)^2+
Assumptions!$AE$8*LN(W48)*LN(X48)+
Assumptions!$AF$8*LN(W48)^2+
Assumptions!$AG$8*LN(X48)+
Assumptions!$AH$8*LN(W48)-
(IF(V48=1800,
VLOOKUP(C48,Assumptions!$AA$13:$AC$17,3),
IF(V48=3600,
VLOOKUP(C48,Assumptions!$AA$18:$AC$22,3),""))+Assumptions!$AI$8),
"")</f>
        <v/>
      </c>
      <c r="AT48" s="96" t="str">
        <f>IFERROR(
Assumptions!$D$11*(AA48/(Assumptions!$AB$9*AS48/100)+AP48)+
Assumptions!$D$10*(AK48/(Assumptions!$AB$8*AS48/100)+AQ48)+
Assumptions!$D$12*(AL48/(Assumptions!$AB$10*AS48/100)+AR48),
"")</f>
        <v/>
      </c>
      <c r="AU48" s="76" t="str">
        <f>IFERROR(
Z48*Assumptions!$F$11+
AD48*Assumptions!$F$10+
AG48*Assumptions!$F$9+
AJ48*Assumptions!$F$8,
"")</f>
        <v/>
      </c>
      <c r="AV48" s="77" t="str">
        <f t="shared" si="18"/>
        <v/>
      </c>
      <c r="AW48" s="68" t="str">
        <f t="shared" si="19"/>
        <v/>
      </c>
    </row>
    <row r="49" spans="1:49" x14ac:dyDescent="0.25">
      <c r="A49" s="264"/>
      <c r="B49" s="265"/>
      <c r="C49" s="265"/>
      <c r="D49" s="265"/>
      <c r="E49" s="266"/>
      <c r="F49" s="270"/>
      <c r="G49" s="271"/>
      <c r="H49" s="310"/>
      <c r="I49" s="270"/>
      <c r="J49" s="271"/>
      <c r="K49" s="272"/>
      <c r="L49" s="308"/>
      <c r="M49" s="271"/>
      <c r="N49" s="310"/>
      <c r="O49" s="270"/>
      <c r="P49" s="271"/>
      <c r="Q49" s="272"/>
      <c r="R49" s="272"/>
      <c r="S49" s="318"/>
      <c r="T49" s="306"/>
      <c r="U49" s="84" t="str">
        <f t="shared" si="20"/>
        <v/>
      </c>
      <c r="V49" s="84" t="str">
        <f t="shared" si="15"/>
        <v/>
      </c>
      <c r="W49" s="93" t="str">
        <f t="shared" si="21"/>
        <v/>
      </c>
      <c r="X49" s="100" t="str">
        <f t="shared" si="22"/>
        <v/>
      </c>
      <c r="Y49" s="95" t="str">
        <f t="shared" si="23"/>
        <v/>
      </c>
      <c r="Z49" s="95" t="str">
        <f t="shared" si="24"/>
        <v/>
      </c>
      <c r="AA49" s="98" t="str">
        <f>IFERROR(X49*Y49*Assumptions!$B$15/3956,"")</f>
        <v/>
      </c>
      <c r="AB49" s="100" t="str">
        <f t="shared" si="16"/>
        <v/>
      </c>
      <c r="AC49" s="95" t="str">
        <f t="shared" si="17"/>
        <v/>
      </c>
      <c r="AD49" s="95" t="str">
        <f t="shared" si="25"/>
        <v/>
      </c>
      <c r="AE49" s="100" t="str">
        <f t="shared" si="26"/>
        <v/>
      </c>
      <c r="AF49" s="95" t="str">
        <f t="shared" si="27"/>
        <v/>
      </c>
      <c r="AG49" s="98" t="str">
        <f t="shared" si="28"/>
        <v/>
      </c>
      <c r="AH49" s="100" t="str">
        <f t="shared" si="29"/>
        <v/>
      </c>
      <c r="AI49" s="95" t="str">
        <f t="shared" si="30"/>
        <v/>
      </c>
      <c r="AJ49" s="98" t="str">
        <f t="shared" si="31"/>
        <v/>
      </c>
      <c r="AK49" s="94" t="str">
        <f t="shared" si="32"/>
        <v/>
      </c>
      <c r="AL49" s="96" t="str">
        <f t="shared" si="33"/>
        <v/>
      </c>
      <c r="AM49" s="244" t="str">
        <f>IFERROR(
IF(C49="VTS",
IF(T49&gt;=AVERAGE(
INDEX(Assumptions!$I$38:$I$57,MATCH(T49,Assumptions!$I$38:$I$57,-1)),
INDEX(Assumptions!$I$38:$I$57,MATCH(T49,Assumptions!$I$38:$I$57,-1)+1)),
INDEX(Assumptions!$I$38:$I$57,MATCH(T49,Assumptions!$I$38:$I$57,-1)),
INDEX(Assumptions!$I$38:$I$57,MATCH(T49,Assumptions!$I$38:$I$57,-1)+1)),
IF(T49&gt;=AVERAGE(
INDEX(Assumptions!$I$13:$I$32,MATCH(T49,Assumptions!$I$13:$I$32,-1)),
INDEX(Assumptions!$I$13:$I$32,MATCH(T49,Assumptions!$I$13:$I$32,-1)+1)),
INDEX(Assumptions!$I$13:$I$32,MATCH(T49,Assumptions!$I$13:$I$32,-1)),
INDEX(Assumptions!$I$13:$I$32,MATCH(T49,Assumptions!$I$13:$I$32,-1)+1))),
"")</f>
        <v/>
      </c>
      <c r="AN49" s="95" t="str">
        <f>IFERROR(
IF(C49="VTS",
VLOOKUP(AM49,Assumptions!$I$38:$K$57,MATCH(U49,Assumptions!$I$37:$K$37,0),FALSE),
VLOOKUP(AM49,Assumptions!$I$13:$K$32,MATCH(U49,Assumptions!$I$12:$K$12,0),FALSE)),
"")</f>
        <v/>
      </c>
      <c r="AO49" s="95" t="str">
        <f t="shared" si="34"/>
        <v/>
      </c>
      <c r="AP49" s="95" t="str">
        <f>IFERROR(AO49*
(Assumptions!$S$7*(AA49/(AS49*Assumptions!$AB$9/100)/T49)^3+
Assumptions!$S$8*(AA49/(AS49*Assumptions!$AB$9/100)/T49)^2+
Assumptions!$S$9*(AA49/(AS49*Assumptions!$AB$9/100)/T49)+
Assumptions!$S$10),"")</f>
        <v/>
      </c>
      <c r="AQ49" s="95" t="str">
        <f>IFERROR(AO49*
(Assumptions!$S$7*(AK49/(AS49*Assumptions!$AB$8/100)/T49)^3+
Assumptions!$S$8*(AK49/(AS49*Assumptions!$AB$8/100)/T49)^2+
Assumptions!$S$9*(AK49/(AS49*Assumptions!$AB$8/100)/T49)+
Assumptions!$S$10),"")</f>
        <v/>
      </c>
      <c r="AR49" s="95" t="str">
        <f>IFERROR(AO49*
(Assumptions!$S$7*(AL49/(AS49*Assumptions!$AB$10/100)/T49)^3+
Assumptions!$S$8*(AL49/(AS49*Assumptions!$AB$10/100)/T49)^2+
Assumptions!$S$9*(AL49/(AS49*Assumptions!$AB$10/100)/T49)+
Assumptions!$S$10),"")</f>
        <v/>
      </c>
      <c r="AS49" s="95" t="str">
        <f>IFERROR(
Assumptions!$AD$8*LN(X49)^2+
Assumptions!$AE$8*LN(W49)*LN(X49)+
Assumptions!$AF$8*LN(W49)^2+
Assumptions!$AG$8*LN(X49)+
Assumptions!$AH$8*LN(W49)-
(IF(V49=1800,
VLOOKUP(C49,Assumptions!$AA$13:$AC$17,3),
IF(V49=3600,
VLOOKUP(C49,Assumptions!$AA$18:$AC$22,3),""))+Assumptions!$AI$8),
"")</f>
        <v/>
      </c>
      <c r="AT49" s="96" t="str">
        <f>IFERROR(
Assumptions!$D$11*(AA49/(Assumptions!$AB$9*AS49/100)+AP49)+
Assumptions!$D$10*(AK49/(Assumptions!$AB$8*AS49/100)+AQ49)+
Assumptions!$D$12*(AL49/(Assumptions!$AB$10*AS49/100)+AR49),
"")</f>
        <v/>
      </c>
      <c r="AU49" s="76" t="str">
        <f>IFERROR(
Z49*Assumptions!$F$11+
AD49*Assumptions!$F$10+
AG49*Assumptions!$F$9+
AJ49*Assumptions!$F$8,
"")</f>
        <v/>
      </c>
      <c r="AV49" s="77" t="str">
        <f t="shared" si="18"/>
        <v/>
      </c>
      <c r="AW49" s="68" t="str">
        <f t="shared" si="19"/>
        <v/>
      </c>
    </row>
    <row r="50" spans="1:49" x14ac:dyDescent="0.25">
      <c r="A50" s="264"/>
      <c r="B50" s="265"/>
      <c r="C50" s="265"/>
      <c r="D50" s="265"/>
      <c r="E50" s="266"/>
      <c r="F50" s="270"/>
      <c r="G50" s="271"/>
      <c r="H50" s="310"/>
      <c r="I50" s="270"/>
      <c r="J50" s="271"/>
      <c r="K50" s="272"/>
      <c r="L50" s="308"/>
      <c r="M50" s="271"/>
      <c r="N50" s="310"/>
      <c r="O50" s="270"/>
      <c r="P50" s="271"/>
      <c r="Q50" s="272"/>
      <c r="R50" s="272"/>
      <c r="S50" s="318"/>
      <c r="T50" s="306"/>
      <c r="U50" s="84" t="str">
        <f t="shared" si="20"/>
        <v/>
      </c>
      <c r="V50" s="84" t="str">
        <f t="shared" si="15"/>
        <v/>
      </c>
      <c r="W50" s="93" t="str">
        <f t="shared" si="21"/>
        <v/>
      </c>
      <c r="X50" s="100" t="str">
        <f t="shared" si="22"/>
        <v/>
      </c>
      <c r="Y50" s="95" t="str">
        <f t="shared" si="23"/>
        <v/>
      </c>
      <c r="Z50" s="95" t="str">
        <f t="shared" si="24"/>
        <v/>
      </c>
      <c r="AA50" s="98" t="str">
        <f>IFERROR(X50*Y50*Assumptions!$B$15/3956,"")</f>
        <v/>
      </c>
      <c r="AB50" s="100" t="str">
        <f t="shared" si="16"/>
        <v/>
      </c>
      <c r="AC50" s="95" t="str">
        <f t="shared" si="17"/>
        <v/>
      </c>
      <c r="AD50" s="95" t="str">
        <f t="shared" si="25"/>
        <v/>
      </c>
      <c r="AE50" s="100" t="str">
        <f t="shared" si="26"/>
        <v/>
      </c>
      <c r="AF50" s="95" t="str">
        <f t="shared" si="27"/>
        <v/>
      </c>
      <c r="AG50" s="98" t="str">
        <f t="shared" si="28"/>
        <v/>
      </c>
      <c r="AH50" s="100" t="str">
        <f t="shared" si="29"/>
        <v/>
      </c>
      <c r="AI50" s="95" t="str">
        <f t="shared" si="30"/>
        <v/>
      </c>
      <c r="AJ50" s="98" t="str">
        <f t="shared" si="31"/>
        <v/>
      </c>
      <c r="AK50" s="94" t="str">
        <f t="shared" si="32"/>
        <v/>
      </c>
      <c r="AL50" s="96" t="str">
        <f t="shared" si="33"/>
        <v/>
      </c>
      <c r="AM50" s="244" t="str">
        <f>IFERROR(
IF(C50="VTS",
IF(T50&gt;=AVERAGE(
INDEX(Assumptions!$I$38:$I$57,MATCH(T50,Assumptions!$I$38:$I$57,-1)),
INDEX(Assumptions!$I$38:$I$57,MATCH(T50,Assumptions!$I$38:$I$57,-1)+1)),
INDEX(Assumptions!$I$38:$I$57,MATCH(T50,Assumptions!$I$38:$I$57,-1)),
INDEX(Assumptions!$I$38:$I$57,MATCH(T50,Assumptions!$I$38:$I$57,-1)+1)),
IF(T50&gt;=AVERAGE(
INDEX(Assumptions!$I$13:$I$32,MATCH(T50,Assumptions!$I$13:$I$32,-1)),
INDEX(Assumptions!$I$13:$I$32,MATCH(T50,Assumptions!$I$13:$I$32,-1)+1)),
INDEX(Assumptions!$I$13:$I$32,MATCH(T50,Assumptions!$I$13:$I$32,-1)),
INDEX(Assumptions!$I$13:$I$32,MATCH(T50,Assumptions!$I$13:$I$32,-1)+1))),
"")</f>
        <v/>
      </c>
      <c r="AN50" s="95" t="str">
        <f>IFERROR(
IF(C50="VTS",
VLOOKUP(AM50,Assumptions!$I$38:$K$57,MATCH(U50,Assumptions!$I$37:$K$37,0),FALSE),
VLOOKUP(AM50,Assumptions!$I$13:$K$32,MATCH(U50,Assumptions!$I$12:$K$12,0),FALSE)),
"")</f>
        <v/>
      </c>
      <c r="AO50" s="95" t="str">
        <f t="shared" si="34"/>
        <v/>
      </c>
      <c r="AP50" s="95" t="str">
        <f>IFERROR(AO50*
(Assumptions!$S$7*(AA50/(AS50*Assumptions!$AB$9/100)/T50)^3+
Assumptions!$S$8*(AA50/(AS50*Assumptions!$AB$9/100)/T50)^2+
Assumptions!$S$9*(AA50/(AS50*Assumptions!$AB$9/100)/T50)+
Assumptions!$S$10),"")</f>
        <v/>
      </c>
      <c r="AQ50" s="95" t="str">
        <f>IFERROR(AO50*
(Assumptions!$S$7*(AK50/(AS50*Assumptions!$AB$8/100)/T50)^3+
Assumptions!$S$8*(AK50/(AS50*Assumptions!$AB$8/100)/T50)^2+
Assumptions!$S$9*(AK50/(AS50*Assumptions!$AB$8/100)/T50)+
Assumptions!$S$10),"")</f>
        <v/>
      </c>
      <c r="AR50" s="95" t="str">
        <f>IFERROR(AO50*
(Assumptions!$S$7*(AL50/(AS50*Assumptions!$AB$10/100)/T50)^3+
Assumptions!$S$8*(AL50/(AS50*Assumptions!$AB$10/100)/T50)^2+
Assumptions!$S$9*(AL50/(AS50*Assumptions!$AB$10/100)/T50)+
Assumptions!$S$10),"")</f>
        <v/>
      </c>
      <c r="AS50" s="95" t="str">
        <f>IFERROR(
Assumptions!$AD$8*LN(X50)^2+
Assumptions!$AE$8*LN(W50)*LN(X50)+
Assumptions!$AF$8*LN(W50)^2+
Assumptions!$AG$8*LN(X50)+
Assumptions!$AH$8*LN(W50)-
(IF(V50=1800,
VLOOKUP(C50,Assumptions!$AA$13:$AC$17,3),
IF(V50=3600,
VLOOKUP(C50,Assumptions!$AA$18:$AC$22,3),""))+Assumptions!$AI$8),
"")</f>
        <v/>
      </c>
      <c r="AT50" s="96" t="str">
        <f>IFERROR(
Assumptions!$D$11*(AA50/(Assumptions!$AB$9*AS50/100)+AP50)+
Assumptions!$D$10*(AK50/(Assumptions!$AB$8*AS50/100)+AQ50)+
Assumptions!$D$12*(AL50/(Assumptions!$AB$10*AS50/100)+AR50),
"")</f>
        <v/>
      </c>
      <c r="AU50" s="76" t="str">
        <f>IFERROR(
Z50*Assumptions!$F$11+
AD50*Assumptions!$F$10+
AG50*Assumptions!$F$9+
AJ50*Assumptions!$F$8,
"")</f>
        <v/>
      </c>
      <c r="AV50" s="77" t="str">
        <f t="shared" si="18"/>
        <v/>
      </c>
      <c r="AW50" s="68" t="str">
        <f t="shared" si="19"/>
        <v/>
      </c>
    </row>
    <row r="51" spans="1:49" x14ac:dyDescent="0.25">
      <c r="A51" s="264"/>
      <c r="B51" s="265"/>
      <c r="C51" s="265"/>
      <c r="D51" s="265"/>
      <c r="E51" s="266"/>
      <c r="F51" s="270"/>
      <c r="G51" s="271"/>
      <c r="H51" s="310"/>
      <c r="I51" s="270"/>
      <c r="J51" s="271"/>
      <c r="K51" s="272"/>
      <c r="L51" s="308"/>
      <c r="M51" s="271"/>
      <c r="N51" s="310"/>
      <c r="O51" s="270"/>
      <c r="P51" s="271"/>
      <c r="Q51" s="272"/>
      <c r="R51" s="272"/>
      <c r="S51" s="318"/>
      <c r="T51" s="306"/>
      <c r="U51" s="84" t="str">
        <f t="shared" si="20"/>
        <v/>
      </c>
      <c r="V51" s="84" t="str">
        <f t="shared" si="15"/>
        <v/>
      </c>
      <c r="W51" s="93" t="str">
        <f t="shared" si="21"/>
        <v/>
      </c>
      <c r="X51" s="100" t="str">
        <f t="shared" si="22"/>
        <v/>
      </c>
      <c r="Y51" s="95" t="str">
        <f t="shared" si="23"/>
        <v/>
      </c>
      <c r="Z51" s="95" t="str">
        <f t="shared" si="24"/>
        <v/>
      </c>
      <c r="AA51" s="98" t="str">
        <f>IFERROR(X51*Y51*Assumptions!$B$15/3956,"")</f>
        <v/>
      </c>
      <c r="AB51" s="100" t="str">
        <f t="shared" si="16"/>
        <v/>
      </c>
      <c r="AC51" s="95" t="str">
        <f t="shared" si="17"/>
        <v/>
      </c>
      <c r="AD51" s="95" t="str">
        <f t="shared" si="25"/>
        <v/>
      </c>
      <c r="AE51" s="100" t="str">
        <f t="shared" si="26"/>
        <v/>
      </c>
      <c r="AF51" s="95" t="str">
        <f t="shared" si="27"/>
        <v/>
      </c>
      <c r="AG51" s="98" t="str">
        <f t="shared" si="28"/>
        <v/>
      </c>
      <c r="AH51" s="100" t="str">
        <f t="shared" si="29"/>
        <v/>
      </c>
      <c r="AI51" s="95" t="str">
        <f t="shared" si="30"/>
        <v/>
      </c>
      <c r="AJ51" s="98" t="str">
        <f t="shared" si="31"/>
        <v/>
      </c>
      <c r="AK51" s="94" t="str">
        <f t="shared" si="32"/>
        <v/>
      </c>
      <c r="AL51" s="96" t="str">
        <f t="shared" si="33"/>
        <v/>
      </c>
      <c r="AM51" s="244" t="str">
        <f>IFERROR(
IF(C51="VTS",
IF(T51&gt;=AVERAGE(
INDEX(Assumptions!$I$38:$I$57,MATCH(T51,Assumptions!$I$38:$I$57,-1)),
INDEX(Assumptions!$I$38:$I$57,MATCH(T51,Assumptions!$I$38:$I$57,-1)+1)),
INDEX(Assumptions!$I$38:$I$57,MATCH(T51,Assumptions!$I$38:$I$57,-1)),
INDEX(Assumptions!$I$38:$I$57,MATCH(T51,Assumptions!$I$38:$I$57,-1)+1)),
IF(T51&gt;=AVERAGE(
INDEX(Assumptions!$I$13:$I$32,MATCH(T51,Assumptions!$I$13:$I$32,-1)),
INDEX(Assumptions!$I$13:$I$32,MATCH(T51,Assumptions!$I$13:$I$32,-1)+1)),
INDEX(Assumptions!$I$13:$I$32,MATCH(T51,Assumptions!$I$13:$I$32,-1)),
INDEX(Assumptions!$I$13:$I$32,MATCH(T51,Assumptions!$I$13:$I$32,-1)+1))),
"")</f>
        <v/>
      </c>
      <c r="AN51" s="95" t="str">
        <f>IFERROR(
IF(C51="VTS",
VLOOKUP(AM51,Assumptions!$I$38:$K$57,MATCH(U51,Assumptions!$I$37:$K$37,0),FALSE),
VLOOKUP(AM51,Assumptions!$I$13:$K$32,MATCH(U51,Assumptions!$I$12:$K$12,0),FALSE)),
"")</f>
        <v/>
      </c>
      <c r="AO51" s="95" t="str">
        <f t="shared" si="34"/>
        <v/>
      </c>
      <c r="AP51" s="95" t="str">
        <f>IFERROR(AO51*
(Assumptions!$S$7*(AA51/(AS51*Assumptions!$AB$9/100)/T51)^3+
Assumptions!$S$8*(AA51/(AS51*Assumptions!$AB$9/100)/T51)^2+
Assumptions!$S$9*(AA51/(AS51*Assumptions!$AB$9/100)/T51)+
Assumptions!$S$10),"")</f>
        <v/>
      </c>
      <c r="AQ51" s="95" t="str">
        <f>IFERROR(AO51*
(Assumptions!$S$7*(AK51/(AS51*Assumptions!$AB$8/100)/T51)^3+
Assumptions!$S$8*(AK51/(AS51*Assumptions!$AB$8/100)/T51)^2+
Assumptions!$S$9*(AK51/(AS51*Assumptions!$AB$8/100)/T51)+
Assumptions!$S$10),"")</f>
        <v/>
      </c>
      <c r="AR51" s="95" t="str">
        <f>IFERROR(AO51*
(Assumptions!$S$7*(AL51/(AS51*Assumptions!$AB$10/100)/T51)^3+
Assumptions!$S$8*(AL51/(AS51*Assumptions!$AB$10/100)/T51)^2+
Assumptions!$S$9*(AL51/(AS51*Assumptions!$AB$10/100)/T51)+
Assumptions!$S$10),"")</f>
        <v/>
      </c>
      <c r="AS51" s="95" t="str">
        <f>IFERROR(
Assumptions!$AD$8*LN(X51)^2+
Assumptions!$AE$8*LN(W51)*LN(X51)+
Assumptions!$AF$8*LN(W51)^2+
Assumptions!$AG$8*LN(X51)+
Assumptions!$AH$8*LN(W51)-
(IF(V51=1800,
VLOOKUP(C51,Assumptions!$AA$13:$AC$17,3),
IF(V51=3600,
VLOOKUP(C51,Assumptions!$AA$18:$AC$22,3),""))+Assumptions!$AI$8),
"")</f>
        <v/>
      </c>
      <c r="AT51" s="96" t="str">
        <f>IFERROR(
Assumptions!$D$11*(AA51/(Assumptions!$AB$9*AS51/100)+AP51)+
Assumptions!$D$10*(AK51/(Assumptions!$AB$8*AS51/100)+AQ51)+
Assumptions!$D$12*(AL51/(Assumptions!$AB$10*AS51/100)+AR51),
"")</f>
        <v/>
      </c>
      <c r="AU51" s="76" t="str">
        <f>IFERROR(
Z51*Assumptions!$F$11+
AD51*Assumptions!$F$10+
AG51*Assumptions!$F$9+
AJ51*Assumptions!$F$8,
"")</f>
        <v/>
      </c>
      <c r="AV51" s="77" t="str">
        <f t="shared" si="18"/>
        <v/>
      </c>
      <c r="AW51" s="68" t="str">
        <f t="shared" si="19"/>
        <v/>
      </c>
    </row>
    <row r="52" spans="1:49" x14ac:dyDescent="0.25">
      <c r="A52" s="264"/>
      <c r="B52" s="265"/>
      <c r="C52" s="265"/>
      <c r="D52" s="265"/>
      <c r="E52" s="266"/>
      <c r="F52" s="270"/>
      <c r="G52" s="271"/>
      <c r="H52" s="310"/>
      <c r="I52" s="270"/>
      <c r="J52" s="271"/>
      <c r="K52" s="272"/>
      <c r="L52" s="308"/>
      <c r="M52" s="271"/>
      <c r="N52" s="310"/>
      <c r="O52" s="270"/>
      <c r="P52" s="271"/>
      <c r="Q52" s="272"/>
      <c r="R52" s="272"/>
      <c r="S52" s="318"/>
      <c r="T52" s="306"/>
      <c r="U52" s="84" t="str">
        <f t="shared" si="20"/>
        <v/>
      </c>
      <c r="V52" s="84" t="str">
        <f t="shared" si="15"/>
        <v/>
      </c>
      <c r="W52" s="93" t="str">
        <f t="shared" si="21"/>
        <v/>
      </c>
      <c r="X52" s="100" t="str">
        <f t="shared" si="22"/>
        <v/>
      </c>
      <c r="Y52" s="95" t="str">
        <f t="shared" si="23"/>
        <v/>
      </c>
      <c r="Z52" s="95" t="str">
        <f t="shared" si="24"/>
        <v/>
      </c>
      <c r="AA52" s="98" t="str">
        <f>IFERROR(X52*Y52*Assumptions!$B$15/3956,"")</f>
        <v/>
      </c>
      <c r="AB52" s="100" t="str">
        <f t="shared" si="16"/>
        <v/>
      </c>
      <c r="AC52" s="95" t="str">
        <f t="shared" si="17"/>
        <v/>
      </c>
      <c r="AD52" s="95" t="str">
        <f t="shared" si="25"/>
        <v/>
      </c>
      <c r="AE52" s="100" t="str">
        <f t="shared" si="26"/>
        <v/>
      </c>
      <c r="AF52" s="95" t="str">
        <f t="shared" si="27"/>
        <v/>
      </c>
      <c r="AG52" s="98" t="str">
        <f t="shared" si="28"/>
        <v/>
      </c>
      <c r="AH52" s="100" t="str">
        <f t="shared" si="29"/>
        <v/>
      </c>
      <c r="AI52" s="95" t="str">
        <f t="shared" si="30"/>
        <v/>
      </c>
      <c r="AJ52" s="98" t="str">
        <f t="shared" si="31"/>
        <v/>
      </c>
      <c r="AK52" s="94" t="str">
        <f t="shared" si="32"/>
        <v/>
      </c>
      <c r="AL52" s="96" t="str">
        <f t="shared" si="33"/>
        <v/>
      </c>
      <c r="AM52" s="244" t="str">
        <f>IFERROR(
IF(C52="VTS",
IF(T52&gt;=AVERAGE(
INDEX(Assumptions!$I$38:$I$57,MATCH(T52,Assumptions!$I$38:$I$57,-1)),
INDEX(Assumptions!$I$38:$I$57,MATCH(T52,Assumptions!$I$38:$I$57,-1)+1)),
INDEX(Assumptions!$I$38:$I$57,MATCH(T52,Assumptions!$I$38:$I$57,-1)),
INDEX(Assumptions!$I$38:$I$57,MATCH(T52,Assumptions!$I$38:$I$57,-1)+1)),
IF(T52&gt;=AVERAGE(
INDEX(Assumptions!$I$13:$I$32,MATCH(T52,Assumptions!$I$13:$I$32,-1)),
INDEX(Assumptions!$I$13:$I$32,MATCH(T52,Assumptions!$I$13:$I$32,-1)+1)),
INDEX(Assumptions!$I$13:$I$32,MATCH(T52,Assumptions!$I$13:$I$32,-1)),
INDEX(Assumptions!$I$13:$I$32,MATCH(T52,Assumptions!$I$13:$I$32,-1)+1))),
"")</f>
        <v/>
      </c>
      <c r="AN52" s="95" t="str">
        <f>IFERROR(
IF(C52="VTS",
VLOOKUP(AM52,Assumptions!$I$38:$K$57,MATCH(U52,Assumptions!$I$37:$K$37,0),FALSE),
VLOOKUP(AM52,Assumptions!$I$13:$K$32,MATCH(U52,Assumptions!$I$12:$K$12,0),FALSE)),
"")</f>
        <v/>
      </c>
      <c r="AO52" s="95" t="str">
        <f t="shared" si="34"/>
        <v/>
      </c>
      <c r="AP52" s="95" t="str">
        <f>IFERROR(AO52*
(Assumptions!$S$7*(AA52/(AS52*Assumptions!$AB$9/100)/T52)^3+
Assumptions!$S$8*(AA52/(AS52*Assumptions!$AB$9/100)/T52)^2+
Assumptions!$S$9*(AA52/(AS52*Assumptions!$AB$9/100)/T52)+
Assumptions!$S$10),"")</f>
        <v/>
      </c>
      <c r="AQ52" s="95" t="str">
        <f>IFERROR(AO52*
(Assumptions!$S$7*(AK52/(AS52*Assumptions!$AB$8/100)/T52)^3+
Assumptions!$S$8*(AK52/(AS52*Assumptions!$AB$8/100)/T52)^2+
Assumptions!$S$9*(AK52/(AS52*Assumptions!$AB$8/100)/T52)+
Assumptions!$S$10),"")</f>
        <v/>
      </c>
      <c r="AR52" s="95" t="str">
        <f>IFERROR(AO52*
(Assumptions!$S$7*(AL52/(AS52*Assumptions!$AB$10/100)/T52)^3+
Assumptions!$S$8*(AL52/(AS52*Assumptions!$AB$10/100)/T52)^2+
Assumptions!$S$9*(AL52/(AS52*Assumptions!$AB$10/100)/T52)+
Assumptions!$S$10),"")</f>
        <v/>
      </c>
      <c r="AS52" s="95" t="str">
        <f>IFERROR(
Assumptions!$AD$8*LN(X52)^2+
Assumptions!$AE$8*LN(W52)*LN(X52)+
Assumptions!$AF$8*LN(W52)^2+
Assumptions!$AG$8*LN(X52)+
Assumptions!$AH$8*LN(W52)-
(IF(V52=1800,
VLOOKUP(C52,Assumptions!$AA$13:$AC$17,3),
IF(V52=3600,
VLOOKUP(C52,Assumptions!$AA$18:$AC$22,3),""))+Assumptions!$AI$8),
"")</f>
        <v/>
      </c>
      <c r="AT52" s="96" t="str">
        <f>IFERROR(
Assumptions!$D$11*(AA52/(Assumptions!$AB$9*AS52/100)+AP52)+
Assumptions!$D$10*(AK52/(Assumptions!$AB$8*AS52/100)+AQ52)+
Assumptions!$D$12*(AL52/(Assumptions!$AB$10*AS52/100)+AR52),
"")</f>
        <v/>
      </c>
      <c r="AU52" s="76" t="str">
        <f>IFERROR(
Z52*Assumptions!$F$11+
AD52*Assumptions!$F$10+
AG52*Assumptions!$F$9+
AJ52*Assumptions!$F$8,
"")</f>
        <v/>
      </c>
      <c r="AV52" s="77" t="str">
        <f t="shared" si="18"/>
        <v/>
      </c>
      <c r="AW52" s="68" t="str">
        <f t="shared" si="19"/>
        <v/>
      </c>
    </row>
    <row r="53" spans="1:49" x14ac:dyDescent="0.25">
      <c r="A53" s="264"/>
      <c r="B53" s="265"/>
      <c r="C53" s="265"/>
      <c r="D53" s="265"/>
      <c r="E53" s="266"/>
      <c r="F53" s="270"/>
      <c r="G53" s="271"/>
      <c r="H53" s="310"/>
      <c r="I53" s="270"/>
      <c r="J53" s="271"/>
      <c r="K53" s="272"/>
      <c r="L53" s="308"/>
      <c r="M53" s="271"/>
      <c r="N53" s="310"/>
      <c r="O53" s="270"/>
      <c r="P53" s="271"/>
      <c r="Q53" s="272"/>
      <c r="R53" s="272"/>
      <c r="S53" s="318"/>
      <c r="T53" s="306"/>
      <c r="U53" s="84" t="str">
        <f t="shared" si="20"/>
        <v/>
      </c>
      <c r="V53" s="84" t="str">
        <f t="shared" si="15"/>
        <v/>
      </c>
      <c r="W53" s="93" t="str">
        <f t="shared" si="21"/>
        <v/>
      </c>
      <c r="X53" s="100" t="str">
        <f t="shared" si="22"/>
        <v/>
      </c>
      <c r="Y53" s="95" t="str">
        <f t="shared" si="23"/>
        <v/>
      </c>
      <c r="Z53" s="95" t="str">
        <f t="shared" si="24"/>
        <v/>
      </c>
      <c r="AA53" s="98" t="str">
        <f>IFERROR(X53*Y53*Assumptions!$B$15/3956,"")</f>
        <v/>
      </c>
      <c r="AB53" s="100" t="str">
        <f t="shared" si="16"/>
        <v/>
      </c>
      <c r="AC53" s="95" t="str">
        <f t="shared" si="17"/>
        <v/>
      </c>
      <c r="AD53" s="95" t="str">
        <f t="shared" si="25"/>
        <v/>
      </c>
      <c r="AE53" s="100" t="str">
        <f t="shared" si="26"/>
        <v/>
      </c>
      <c r="AF53" s="95" t="str">
        <f t="shared" si="27"/>
        <v/>
      </c>
      <c r="AG53" s="98" t="str">
        <f t="shared" si="28"/>
        <v/>
      </c>
      <c r="AH53" s="100" t="str">
        <f t="shared" si="29"/>
        <v/>
      </c>
      <c r="AI53" s="95" t="str">
        <f t="shared" si="30"/>
        <v/>
      </c>
      <c r="AJ53" s="98" t="str">
        <f t="shared" si="31"/>
        <v/>
      </c>
      <c r="AK53" s="94" t="str">
        <f t="shared" si="32"/>
        <v/>
      </c>
      <c r="AL53" s="96" t="str">
        <f t="shared" si="33"/>
        <v/>
      </c>
      <c r="AM53" s="244" t="str">
        <f>IFERROR(
IF(C53="VTS",
IF(T53&gt;=AVERAGE(
INDEX(Assumptions!$I$38:$I$57,MATCH(T53,Assumptions!$I$38:$I$57,-1)),
INDEX(Assumptions!$I$38:$I$57,MATCH(T53,Assumptions!$I$38:$I$57,-1)+1)),
INDEX(Assumptions!$I$38:$I$57,MATCH(T53,Assumptions!$I$38:$I$57,-1)),
INDEX(Assumptions!$I$38:$I$57,MATCH(T53,Assumptions!$I$38:$I$57,-1)+1)),
IF(T53&gt;=AVERAGE(
INDEX(Assumptions!$I$13:$I$32,MATCH(T53,Assumptions!$I$13:$I$32,-1)),
INDEX(Assumptions!$I$13:$I$32,MATCH(T53,Assumptions!$I$13:$I$32,-1)+1)),
INDEX(Assumptions!$I$13:$I$32,MATCH(T53,Assumptions!$I$13:$I$32,-1)),
INDEX(Assumptions!$I$13:$I$32,MATCH(T53,Assumptions!$I$13:$I$32,-1)+1))),
"")</f>
        <v/>
      </c>
      <c r="AN53" s="95" t="str">
        <f>IFERROR(
IF(C53="VTS",
VLOOKUP(AM53,Assumptions!$I$38:$K$57,MATCH(U53,Assumptions!$I$37:$K$37,0),FALSE),
VLOOKUP(AM53,Assumptions!$I$13:$K$32,MATCH(U53,Assumptions!$I$12:$K$12,0),FALSE)),
"")</f>
        <v/>
      </c>
      <c r="AO53" s="95" t="str">
        <f t="shared" si="34"/>
        <v/>
      </c>
      <c r="AP53" s="95" t="str">
        <f>IFERROR(AO53*
(Assumptions!$S$7*(AA53/(AS53*Assumptions!$AB$9/100)/T53)^3+
Assumptions!$S$8*(AA53/(AS53*Assumptions!$AB$9/100)/T53)^2+
Assumptions!$S$9*(AA53/(AS53*Assumptions!$AB$9/100)/T53)+
Assumptions!$S$10),"")</f>
        <v/>
      </c>
      <c r="AQ53" s="95" t="str">
        <f>IFERROR(AO53*
(Assumptions!$S$7*(AK53/(AS53*Assumptions!$AB$8/100)/T53)^3+
Assumptions!$S$8*(AK53/(AS53*Assumptions!$AB$8/100)/T53)^2+
Assumptions!$S$9*(AK53/(AS53*Assumptions!$AB$8/100)/T53)+
Assumptions!$S$10),"")</f>
        <v/>
      </c>
      <c r="AR53" s="95" t="str">
        <f>IFERROR(AO53*
(Assumptions!$S$7*(AL53/(AS53*Assumptions!$AB$10/100)/T53)^3+
Assumptions!$S$8*(AL53/(AS53*Assumptions!$AB$10/100)/T53)^2+
Assumptions!$S$9*(AL53/(AS53*Assumptions!$AB$10/100)/T53)+
Assumptions!$S$10),"")</f>
        <v/>
      </c>
      <c r="AS53" s="95" t="str">
        <f>IFERROR(
Assumptions!$AD$8*LN(X53)^2+
Assumptions!$AE$8*LN(W53)*LN(X53)+
Assumptions!$AF$8*LN(W53)^2+
Assumptions!$AG$8*LN(X53)+
Assumptions!$AH$8*LN(W53)-
(IF(V53=1800,
VLOOKUP(C53,Assumptions!$AA$13:$AC$17,3),
IF(V53=3600,
VLOOKUP(C53,Assumptions!$AA$18:$AC$22,3),""))+Assumptions!$AI$8),
"")</f>
        <v/>
      </c>
      <c r="AT53" s="96" t="str">
        <f>IFERROR(
Assumptions!$D$11*(AA53/(Assumptions!$AB$9*AS53/100)+AP53)+
Assumptions!$D$10*(AK53/(Assumptions!$AB$8*AS53/100)+AQ53)+
Assumptions!$D$12*(AL53/(Assumptions!$AB$10*AS53/100)+AR53),
"")</f>
        <v/>
      </c>
      <c r="AU53" s="76" t="str">
        <f>IFERROR(
Z53*Assumptions!$F$11+
AD53*Assumptions!$F$10+
AG53*Assumptions!$F$9+
AJ53*Assumptions!$F$8,
"")</f>
        <v/>
      </c>
      <c r="AV53" s="77" t="str">
        <f t="shared" si="18"/>
        <v/>
      </c>
      <c r="AW53" s="68" t="str">
        <f t="shared" si="19"/>
        <v/>
      </c>
    </row>
    <row r="54" spans="1:49" x14ac:dyDescent="0.25">
      <c r="A54" s="264"/>
      <c r="B54" s="265"/>
      <c r="C54" s="265"/>
      <c r="D54" s="265"/>
      <c r="E54" s="266"/>
      <c r="F54" s="270"/>
      <c r="G54" s="271"/>
      <c r="H54" s="310"/>
      <c r="I54" s="270"/>
      <c r="J54" s="271"/>
      <c r="K54" s="272"/>
      <c r="L54" s="308"/>
      <c r="M54" s="271"/>
      <c r="N54" s="310"/>
      <c r="O54" s="270"/>
      <c r="P54" s="271"/>
      <c r="Q54" s="272"/>
      <c r="R54" s="272"/>
      <c r="S54" s="318"/>
      <c r="T54" s="306"/>
      <c r="U54" s="84" t="str">
        <f t="shared" si="20"/>
        <v/>
      </c>
      <c r="V54" s="84" t="str">
        <f t="shared" si="15"/>
        <v/>
      </c>
      <c r="W54" s="93" t="str">
        <f t="shared" si="21"/>
        <v/>
      </c>
      <c r="X54" s="100" t="str">
        <f t="shared" si="22"/>
        <v/>
      </c>
      <c r="Y54" s="95" t="str">
        <f t="shared" si="23"/>
        <v/>
      </c>
      <c r="Z54" s="95" t="str">
        <f t="shared" si="24"/>
        <v/>
      </c>
      <c r="AA54" s="98" t="str">
        <f>IFERROR(X54*Y54*Assumptions!$B$15/3956,"")</f>
        <v/>
      </c>
      <c r="AB54" s="100" t="str">
        <f t="shared" si="16"/>
        <v/>
      </c>
      <c r="AC54" s="95" t="str">
        <f t="shared" si="17"/>
        <v/>
      </c>
      <c r="AD54" s="95" t="str">
        <f t="shared" si="25"/>
        <v/>
      </c>
      <c r="AE54" s="100" t="str">
        <f t="shared" si="26"/>
        <v/>
      </c>
      <c r="AF54" s="95" t="str">
        <f t="shared" si="27"/>
        <v/>
      </c>
      <c r="AG54" s="98" t="str">
        <f t="shared" si="28"/>
        <v/>
      </c>
      <c r="AH54" s="100" t="str">
        <f t="shared" si="29"/>
        <v/>
      </c>
      <c r="AI54" s="95" t="str">
        <f t="shared" si="30"/>
        <v/>
      </c>
      <c r="AJ54" s="98" t="str">
        <f t="shared" si="31"/>
        <v/>
      </c>
      <c r="AK54" s="94" t="str">
        <f t="shared" si="32"/>
        <v/>
      </c>
      <c r="AL54" s="96" t="str">
        <f t="shared" si="33"/>
        <v/>
      </c>
      <c r="AM54" s="244" t="str">
        <f>IFERROR(
IF(C54="VTS",
IF(T54&gt;=AVERAGE(
INDEX(Assumptions!$I$38:$I$57,MATCH(T54,Assumptions!$I$38:$I$57,-1)),
INDEX(Assumptions!$I$38:$I$57,MATCH(T54,Assumptions!$I$38:$I$57,-1)+1)),
INDEX(Assumptions!$I$38:$I$57,MATCH(T54,Assumptions!$I$38:$I$57,-1)),
INDEX(Assumptions!$I$38:$I$57,MATCH(T54,Assumptions!$I$38:$I$57,-1)+1)),
IF(T54&gt;=AVERAGE(
INDEX(Assumptions!$I$13:$I$32,MATCH(T54,Assumptions!$I$13:$I$32,-1)),
INDEX(Assumptions!$I$13:$I$32,MATCH(T54,Assumptions!$I$13:$I$32,-1)+1)),
INDEX(Assumptions!$I$13:$I$32,MATCH(T54,Assumptions!$I$13:$I$32,-1)),
INDEX(Assumptions!$I$13:$I$32,MATCH(T54,Assumptions!$I$13:$I$32,-1)+1))),
"")</f>
        <v/>
      </c>
      <c r="AN54" s="95" t="str">
        <f>IFERROR(
IF(C54="VTS",
VLOOKUP(AM54,Assumptions!$I$38:$K$57,MATCH(U54,Assumptions!$I$37:$K$37,0),FALSE),
VLOOKUP(AM54,Assumptions!$I$13:$K$32,MATCH(U54,Assumptions!$I$12:$K$12,0),FALSE)),
"")</f>
        <v/>
      </c>
      <c r="AO54" s="95" t="str">
        <f t="shared" si="34"/>
        <v/>
      </c>
      <c r="AP54" s="95" t="str">
        <f>IFERROR(AO54*
(Assumptions!$S$7*(AA54/(AS54*Assumptions!$AB$9/100)/T54)^3+
Assumptions!$S$8*(AA54/(AS54*Assumptions!$AB$9/100)/T54)^2+
Assumptions!$S$9*(AA54/(AS54*Assumptions!$AB$9/100)/T54)+
Assumptions!$S$10),"")</f>
        <v/>
      </c>
      <c r="AQ54" s="95" t="str">
        <f>IFERROR(AO54*
(Assumptions!$S$7*(AK54/(AS54*Assumptions!$AB$8/100)/T54)^3+
Assumptions!$S$8*(AK54/(AS54*Assumptions!$AB$8/100)/T54)^2+
Assumptions!$S$9*(AK54/(AS54*Assumptions!$AB$8/100)/T54)+
Assumptions!$S$10),"")</f>
        <v/>
      </c>
      <c r="AR54" s="95" t="str">
        <f>IFERROR(AO54*
(Assumptions!$S$7*(AL54/(AS54*Assumptions!$AB$10/100)/T54)^3+
Assumptions!$S$8*(AL54/(AS54*Assumptions!$AB$10/100)/T54)^2+
Assumptions!$S$9*(AL54/(AS54*Assumptions!$AB$10/100)/T54)+
Assumptions!$S$10),"")</f>
        <v/>
      </c>
      <c r="AS54" s="95" t="str">
        <f>IFERROR(
Assumptions!$AD$8*LN(X54)^2+
Assumptions!$AE$8*LN(W54)*LN(X54)+
Assumptions!$AF$8*LN(W54)^2+
Assumptions!$AG$8*LN(X54)+
Assumptions!$AH$8*LN(W54)-
(IF(V54=1800,
VLOOKUP(C54,Assumptions!$AA$13:$AC$17,3),
IF(V54=3600,
VLOOKUP(C54,Assumptions!$AA$18:$AC$22,3),""))+Assumptions!$AI$8),
"")</f>
        <v/>
      </c>
      <c r="AT54" s="96" t="str">
        <f>IFERROR(
Assumptions!$D$11*(AA54/(Assumptions!$AB$9*AS54/100)+AP54)+
Assumptions!$D$10*(AK54/(Assumptions!$AB$8*AS54/100)+AQ54)+
Assumptions!$D$12*(AL54/(Assumptions!$AB$10*AS54/100)+AR54),
"")</f>
        <v/>
      </c>
      <c r="AU54" s="76" t="str">
        <f>IFERROR(
Z54*Assumptions!$F$11+
AD54*Assumptions!$F$10+
AG54*Assumptions!$F$9+
AJ54*Assumptions!$F$8,
"")</f>
        <v/>
      </c>
      <c r="AV54" s="77" t="str">
        <f t="shared" si="18"/>
        <v/>
      </c>
      <c r="AW54" s="68" t="str">
        <f t="shared" si="19"/>
        <v/>
      </c>
    </row>
    <row r="55" spans="1:49" x14ac:dyDescent="0.25">
      <c r="A55" s="264"/>
      <c r="B55" s="265"/>
      <c r="C55" s="265"/>
      <c r="D55" s="265"/>
      <c r="E55" s="266"/>
      <c r="F55" s="270"/>
      <c r="G55" s="271"/>
      <c r="H55" s="310"/>
      <c r="I55" s="270"/>
      <c r="J55" s="271"/>
      <c r="K55" s="272"/>
      <c r="L55" s="308"/>
      <c r="M55" s="271"/>
      <c r="N55" s="310"/>
      <c r="O55" s="270"/>
      <c r="P55" s="271"/>
      <c r="Q55" s="272"/>
      <c r="R55" s="272"/>
      <c r="S55" s="318"/>
      <c r="T55" s="306"/>
      <c r="U55" s="84" t="str">
        <f t="shared" si="20"/>
        <v/>
      </c>
      <c r="V55" s="84" t="str">
        <f t="shared" si="15"/>
        <v/>
      </c>
      <c r="W55" s="93" t="str">
        <f t="shared" si="21"/>
        <v/>
      </c>
      <c r="X55" s="100" t="str">
        <f t="shared" si="22"/>
        <v/>
      </c>
      <c r="Y55" s="95" t="str">
        <f t="shared" si="23"/>
        <v/>
      </c>
      <c r="Z55" s="95" t="str">
        <f t="shared" si="24"/>
        <v/>
      </c>
      <c r="AA55" s="98" t="str">
        <f>IFERROR(X55*Y55*Assumptions!$B$15/3956,"")</f>
        <v/>
      </c>
      <c r="AB55" s="100" t="str">
        <f t="shared" si="16"/>
        <v/>
      </c>
      <c r="AC55" s="95" t="str">
        <f t="shared" si="17"/>
        <v/>
      </c>
      <c r="AD55" s="95" t="str">
        <f t="shared" si="25"/>
        <v/>
      </c>
      <c r="AE55" s="100" t="str">
        <f t="shared" si="26"/>
        <v/>
      </c>
      <c r="AF55" s="95" t="str">
        <f t="shared" si="27"/>
        <v/>
      </c>
      <c r="AG55" s="98" t="str">
        <f t="shared" si="28"/>
        <v/>
      </c>
      <c r="AH55" s="100" t="str">
        <f t="shared" si="29"/>
        <v/>
      </c>
      <c r="AI55" s="95" t="str">
        <f t="shared" si="30"/>
        <v/>
      </c>
      <c r="AJ55" s="98" t="str">
        <f t="shared" si="31"/>
        <v/>
      </c>
      <c r="AK55" s="94" t="str">
        <f t="shared" si="32"/>
        <v/>
      </c>
      <c r="AL55" s="96" t="str">
        <f t="shared" si="33"/>
        <v/>
      </c>
      <c r="AM55" s="244" t="str">
        <f>IFERROR(
IF(C55="VTS",
IF(T55&gt;=AVERAGE(
INDEX(Assumptions!$I$38:$I$57,MATCH(T55,Assumptions!$I$38:$I$57,-1)),
INDEX(Assumptions!$I$38:$I$57,MATCH(T55,Assumptions!$I$38:$I$57,-1)+1)),
INDEX(Assumptions!$I$38:$I$57,MATCH(T55,Assumptions!$I$38:$I$57,-1)),
INDEX(Assumptions!$I$38:$I$57,MATCH(T55,Assumptions!$I$38:$I$57,-1)+1)),
IF(T55&gt;=AVERAGE(
INDEX(Assumptions!$I$13:$I$32,MATCH(T55,Assumptions!$I$13:$I$32,-1)),
INDEX(Assumptions!$I$13:$I$32,MATCH(T55,Assumptions!$I$13:$I$32,-1)+1)),
INDEX(Assumptions!$I$13:$I$32,MATCH(T55,Assumptions!$I$13:$I$32,-1)),
INDEX(Assumptions!$I$13:$I$32,MATCH(T55,Assumptions!$I$13:$I$32,-1)+1))),
"")</f>
        <v/>
      </c>
      <c r="AN55" s="95" t="str">
        <f>IFERROR(
IF(C55="VTS",
VLOOKUP(AM55,Assumptions!$I$38:$K$57,MATCH(U55,Assumptions!$I$37:$K$37,0),FALSE),
VLOOKUP(AM55,Assumptions!$I$13:$K$32,MATCH(U55,Assumptions!$I$12:$K$12,0),FALSE)),
"")</f>
        <v/>
      </c>
      <c r="AO55" s="95" t="str">
        <f t="shared" si="34"/>
        <v/>
      </c>
      <c r="AP55" s="95" t="str">
        <f>IFERROR(AO55*
(Assumptions!$S$7*(AA55/(AS55*Assumptions!$AB$9/100)/T55)^3+
Assumptions!$S$8*(AA55/(AS55*Assumptions!$AB$9/100)/T55)^2+
Assumptions!$S$9*(AA55/(AS55*Assumptions!$AB$9/100)/T55)+
Assumptions!$S$10),"")</f>
        <v/>
      </c>
      <c r="AQ55" s="95" t="str">
        <f>IFERROR(AO55*
(Assumptions!$S$7*(AK55/(AS55*Assumptions!$AB$8/100)/T55)^3+
Assumptions!$S$8*(AK55/(AS55*Assumptions!$AB$8/100)/T55)^2+
Assumptions!$S$9*(AK55/(AS55*Assumptions!$AB$8/100)/T55)+
Assumptions!$S$10),"")</f>
        <v/>
      </c>
      <c r="AR55" s="95" t="str">
        <f>IFERROR(AO55*
(Assumptions!$S$7*(AL55/(AS55*Assumptions!$AB$10/100)/T55)^3+
Assumptions!$S$8*(AL55/(AS55*Assumptions!$AB$10/100)/T55)^2+
Assumptions!$S$9*(AL55/(AS55*Assumptions!$AB$10/100)/T55)+
Assumptions!$S$10),"")</f>
        <v/>
      </c>
      <c r="AS55" s="95" t="str">
        <f>IFERROR(
Assumptions!$AD$8*LN(X55)^2+
Assumptions!$AE$8*LN(W55)*LN(X55)+
Assumptions!$AF$8*LN(W55)^2+
Assumptions!$AG$8*LN(X55)+
Assumptions!$AH$8*LN(W55)-
(IF(V55=1800,
VLOOKUP(C55,Assumptions!$AA$13:$AC$17,3),
IF(V55=3600,
VLOOKUP(C55,Assumptions!$AA$18:$AC$22,3),""))+Assumptions!$AI$8),
"")</f>
        <v/>
      </c>
      <c r="AT55" s="96" t="str">
        <f>IFERROR(
Assumptions!$D$11*(AA55/(Assumptions!$AB$9*AS55/100)+AP55)+
Assumptions!$D$10*(AK55/(Assumptions!$AB$8*AS55/100)+AQ55)+
Assumptions!$D$12*(AL55/(Assumptions!$AB$10*AS55/100)+AR55),
"")</f>
        <v/>
      </c>
      <c r="AU55" s="76" t="str">
        <f>IFERROR(
Z55*Assumptions!$F$11+
AD55*Assumptions!$F$10+
AG55*Assumptions!$F$9+
AJ55*Assumptions!$F$8,
"")</f>
        <v/>
      </c>
      <c r="AV55" s="77" t="str">
        <f t="shared" si="18"/>
        <v/>
      </c>
      <c r="AW55" s="68" t="str">
        <f t="shared" si="19"/>
        <v/>
      </c>
    </row>
    <row r="56" spans="1:49" x14ac:dyDescent="0.25">
      <c r="A56" s="264"/>
      <c r="B56" s="265"/>
      <c r="C56" s="265"/>
      <c r="D56" s="265"/>
      <c r="E56" s="266"/>
      <c r="F56" s="270"/>
      <c r="G56" s="271"/>
      <c r="H56" s="310"/>
      <c r="I56" s="270"/>
      <c r="J56" s="271"/>
      <c r="K56" s="272"/>
      <c r="L56" s="308"/>
      <c r="M56" s="271"/>
      <c r="N56" s="310"/>
      <c r="O56" s="270"/>
      <c r="P56" s="271"/>
      <c r="Q56" s="272"/>
      <c r="R56" s="272"/>
      <c r="S56" s="318"/>
      <c r="T56" s="306"/>
      <c r="U56" s="84" t="str">
        <f t="shared" si="20"/>
        <v/>
      </c>
      <c r="V56" s="84" t="str">
        <f t="shared" si="15"/>
        <v/>
      </c>
      <c r="W56" s="93" t="str">
        <f t="shared" si="21"/>
        <v/>
      </c>
      <c r="X56" s="100" t="str">
        <f t="shared" si="22"/>
        <v/>
      </c>
      <c r="Y56" s="95" t="str">
        <f t="shared" si="23"/>
        <v/>
      </c>
      <c r="Z56" s="95" t="str">
        <f t="shared" si="24"/>
        <v/>
      </c>
      <c r="AA56" s="98" t="str">
        <f>IFERROR(X56*Y56*Assumptions!$B$15/3956,"")</f>
        <v/>
      </c>
      <c r="AB56" s="100" t="str">
        <f t="shared" si="16"/>
        <v/>
      </c>
      <c r="AC56" s="95" t="str">
        <f t="shared" si="17"/>
        <v/>
      </c>
      <c r="AD56" s="95" t="str">
        <f t="shared" si="25"/>
        <v/>
      </c>
      <c r="AE56" s="100" t="str">
        <f t="shared" si="26"/>
        <v/>
      </c>
      <c r="AF56" s="95" t="str">
        <f t="shared" si="27"/>
        <v/>
      </c>
      <c r="AG56" s="98" t="str">
        <f t="shared" si="28"/>
        <v/>
      </c>
      <c r="AH56" s="100" t="str">
        <f t="shared" si="29"/>
        <v/>
      </c>
      <c r="AI56" s="95" t="str">
        <f t="shared" si="30"/>
        <v/>
      </c>
      <c r="AJ56" s="98" t="str">
        <f t="shared" si="31"/>
        <v/>
      </c>
      <c r="AK56" s="94" t="str">
        <f t="shared" si="32"/>
        <v/>
      </c>
      <c r="AL56" s="96" t="str">
        <f t="shared" si="33"/>
        <v/>
      </c>
      <c r="AM56" s="244" t="str">
        <f>IFERROR(
IF(C56="VTS",
IF(T56&gt;=AVERAGE(
INDEX(Assumptions!$I$38:$I$57,MATCH(T56,Assumptions!$I$38:$I$57,-1)),
INDEX(Assumptions!$I$38:$I$57,MATCH(T56,Assumptions!$I$38:$I$57,-1)+1)),
INDEX(Assumptions!$I$38:$I$57,MATCH(T56,Assumptions!$I$38:$I$57,-1)),
INDEX(Assumptions!$I$38:$I$57,MATCH(T56,Assumptions!$I$38:$I$57,-1)+1)),
IF(T56&gt;=AVERAGE(
INDEX(Assumptions!$I$13:$I$32,MATCH(T56,Assumptions!$I$13:$I$32,-1)),
INDEX(Assumptions!$I$13:$I$32,MATCH(T56,Assumptions!$I$13:$I$32,-1)+1)),
INDEX(Assumptions!$I$13:$I$32,MATCH(T56,Assumptions!$I$13:$I$32,-1)),
INDEX(Assumptions!$I$13:$I$32,MATCH(T56,Assumptions!$I$13:$I$32,-1)+1))),
"")</f>
        <v/>
      </c>
      <c r="AN56" s="95" t="str">
        <f>IFERROR(
IF(C56="VTS",
VLOOKUP(AM56,Assumptions!$I$38:$K$57,MATCH(U56,Assumptions!$I$37:$K$37,0),FALSE),
VLOOKUP(AM56,Assumptions!$I$13:$K$32,MATCH(U56,Assumptions!$I$12:$K$12,0),FALSE)),
"")</f>
        <v/>
      </c>
      <c r="AO56" s="95" t="str">
        <f t="shared" si="34"/>
        <v/>
      </c>
      <c r="AP56" s="95" t="str">
        <f>IFERROR(AO56*
(Assumptions!$S$7*(AA56/(AS56*Assumptions!$AB$9/100)/T56)^3+
Assumptions!$S$8*(AA56/(AS56*Assumptions!$AB$9/100)/T56)^2+
Assumptions!$S$9*(AA56/(AS56*Assumptions!$AB$9/100)/T56)+
Assumptions!$S$10),"")</f>
        <v/>
      </c>
      <c r="AQ56" s="95" t="str">
        <f>IFERROR(AO56*
(Assumptions!$S$7*(AK56/(AS56*Assumptions!$AB$8/100)/T56)^3+
Assumptions!$S$8*(AK56/(AS56*Assumptions!$AB$8/100)/T56)^2+
Assumptions!$S$9*(AK56/(AS56*Assumptions!$AB$8/100)/T56)+
Assumptions!$S$10),"")</f>
        <v/>
      </c>
      <c r="AR56" s="95" t="str">
        <f>IFERROR(AO56*
(Assumptions!$S$7*(AL56/(AS56*Assumptions!$AB$10/100)/T56)^3+
Assumptions!$S$8*(AL56/(AS56*Assumptions!$AB$10/100)/T56)^2+
Assumptions!$S$9*(AL56/(AS56*Assumptions!$AB$10/100)/T56)+
Assumptions!$S$10),"")</f>
        <v/>
      </c>
      <c r="AS56" s="95" t="str">
        <f>IFERROR(
Assumptions!$AD$8*LN(X56)^2+
Assumptions!$AE$8*LN(W56)*LN(X56)+
Assumptions!$AF$8*LN(W56)^2+
Assumptions!$AG$8*LN(X56)+
Assumptions!$AH$8*LN(W56)-
(IF(V56=1800,
VLOOKUP(C56,Assumptions!$AA$13:$AC$17,3),
IF(V56=3600,
VLOOKUP(C56,Assumptions!$AA$18:$AC$22,3),""))+Assumptions!$AI$8),
"")</f>
        <v/>
      </c>
      <c r="AT56" s="96" t="str">
        <f>IFERROR(
Assumptions!$D$11*(AA56/(Assumptions!$AB$9*AS56/100)+AP56)+
Assumptions!$D$10*(AK56/(Assumptions!$AB$8*AS56/100)+AQ56)+
Assumptions!$D$12*(AL56/(Assumptions!$AB$10*AS56/100)+AR56),
"")</f>
        <v/>
      </c>
      <c r="AU56" s="76" t="str">
        <f>IFERROR(
Z56*Assumptions!$F$11+
AD56*Assumptions!$F$10+
AG56*Assumptions!$F$9+
AJ56*Assumptions!$F$8,
"")</f>
        <v/>
      </c>
      <c r="AV56" s="77" t="str">
        <f t="shared" si="18"/>
        <v/>
      </c>
      <c r="AW56" s="68" t="str">
        <f t="shared" si="19"/>
        <v/>
      </c>
    </row>
    <row r="57" spans="1:49" x14ac:dyDescent="0.25">
      <c r="A57" s="264"/>
      <c r="B57" s="265"/>
      <c r="C57" s="265"/>
      <c r="D57" s="265"/>
      <c r="E57" s="266"/>
      <c r="F57" s="270"/>
      <c r="G57" s="271"/>
      <c r="H57" s="310"/>
      <c r="I57" s="270"/>
      <c r="J57" s="271"/>
      <c r="K57" s="272"/>
      <c r="L57" s="308"/>
      <c r="M57" s="271"/>
      <c r="N57" s="310"/>
      <c r="O57" s="270"/>
      <c r="P57" s="271"/>
      <c r="Q57" s="272"/>
      <c r="R57" s="272"/>
      <c r="S57" s="318"/>
      <c r="T57" s="306"/>
      <c r="U57" s="84" t="str">
        <f t="shared" si="20"/>
        <v/>
      </c>
      <c r="V57" s="84" t="str">
        <f t="shared" si="15"/>
        <v/>
      </c>
      <c r="W57" s="93" t="str">
        <f t="shared" si="21"/>
        <v/>
      </c>
      <c r="X57" s="100" t="str">
        <f t="shared" si="22"/>
        <v/>
      </c>
      <c r="Y57" s="95" t="str">
        <f t="shared" si="23"/>
        <v/>
      </c>
      <c r="Z57" s="95" t="str">
        <f t="shared" si="24"/>
        <v/>
      </c>
      <c r="AA57" s="98" t="str">
        <f>IFERROR(X57*Y57*Assumptions!$B$15/3956,"")</f>
        <v/>
      </c>
      <c r="AB57" s="100" t="str">
        <f t="shared" si="16"/>
        <v/>
      </c>
      <c r="AC57" s="95" t="str">
        <f t="shared" si="17"/>
        <v/>
      </c>
      <c r="AD57" s="95" t="str">
        <f t="shared" si="25"/>
        <v/>
      </c>
      <c r="AE57" s="100" t="str">
        <f t="shared" si="26"/>
        <v/>
      </c>
      <c r="AF57" s="95" t="str">
        <f t="shared" si="27"/>
        <v/>
      </c>
      <c r="AG57" s="98" t="str">
        <f t="shared" si="28"/>
        <v/>
      </c>
      <c r="AH57" s="100" t="str">
        <f t="shared" si="29"/>
        <v/>
      </c>
      <c r="AI57" s="95" t="str">
        <f t="shared" si="30"/>
        <v/>
      </c>
      <c r="AJ57" s="98" t="str">
        <f t="shared" si="31"/>
        <v/>
      </c>
      <c r="AK57" s="94" t="str">
        <f t="shared" si="32"/>
        <v/>
      </c>
      <c r="AL57" s="96" t="str">
        <f t="shared" si="33"/>
        <v/>
      </c>
      <c r="AM57" s="244" t="str">
        <f>IFERROR(
IF(C57="VTS",
IF(T57&gt;=AVERAGE(
INDEX(Assumptions!$I$38:$I$57,MATCH(T57,Assumptions!$I$38:$I$57,-1)),
INDEX(Assumptions!$I$38:$I$57,MATCH(T57,Assumptions!$I$38:$I$57,-1)+1)),
INDEX(Assumptions!$I$38:$I$57,MATCH(T57,Assumptions!$I$38:$I$57,-1)),
INDEX(Assumptions!$I$38:$I$57,MATCH(T57,Assumptions!$I$38:$I$57,-1)+1)),
IF(T57&gt;=AVERAGE(
INDEX(Assumptions!$I$13:$I$32,MATCH(T57,Assumptions!$I$13:$I$32,-1)),
INDEX(Assumptions!$I$13:$I$32,MATCH(T57,Assumptions!$I$13:$I$32,-1)+1)),
INDEX(Assumptions!$I$13:$I$32,MATCH(T57,Assumptions!$I$13:$I$32,-1)),
INDEX(Assumptions!$I$13:$I$32,MATCH(T57,Assumptions!$I$13:$I$32,-1)+1))),
"")</f>
        <v/>
      </c>
      <c r="AN57" s="95" t="str">
        <f>IFERROR(
IF(C57="VTS",
VLOOKUP(AM57,Assumptions!$I$38:$K$57,MATCH(U57,Assumptions!$I$37:$K$37,0),FALSE),
VLOOKUP(AM57,Assumptions!$I$13:$K$32,MATCH(U57,Assumptions!$I$12:$K$12,0),FALSE)),
"")</f>
        <v/>
      </c>
      <c r="AO57" s="95" t="str">
        <f t="shared" si="34"/>
        <v/>
      </c>
      <c r="AP57" s="95" t="str">
        <f>IFERROR(AO57*
(Assumptions!$S$7*(AA57/(AS57*Assumptions!$AB$9/100)/T57)^3+
Assumptions!$S$8*(AA57/(AS57*Assumptions!$AB$9/100)/T57)^2+
Assumptions!$S$9*(AA57/(AS57*Assumptions!$AB$9/100)/T57)+
Assumptions!$S$10),"")</f>
        <v/>
      </c>
      <c r="AQ57" s="95" t="str">
        <f>IFERROR(AO57*
(Assumptions!$S$7*(AK57/(AS57*Assumptions!$AB$8/100)/T57)^3+
Assumptions!$S$8*(AK57/(AS57*Assumptions!$AB$8/100)/T57)^2+
Assumptions!$S$9*(AK57/(AS57*Assumptions!$AB$8/100)/T57)+
Assumptions!$S$10),"")</f>
        <v/>
      </c>
      <c r="AR57" s="95" t="str">
        <f>IFERROR(AO57*
(Assumptions!$S$7*(AL57/(AS57*Assumptions!$AB$10/100)/T57)^3+
Assumptions!$S$8*(AL57/(AS57*Assumptions!$AB$10/100)/T57)^2+
Assumptions!$S$9*(AL57/(AS57*Assumptions!$AB$10/100)/T57)+
Assumptions!$S$10),"")</f>
        <v/>
      </c>
      <c r="AS57" s="95" t="str">
        <f>IFERROR(
Assumptions!$AD$8*LN(X57)^2+
Assumptions!$AE$8*LN(W57)*LN(X57)+
Assumptions!$AF$8*LN(W57)^2+
Assumptions!$AG$8*LN(X57)+
Assumptions!$AH$8*LN(W57)-
(IF(V57=1800,
VLOOKUP(C57,Assumptions!$AA$13:$AC$17,3),
IF(V57=3600,
VLOOKUP(C57,Assumptions!$AA$18:$AC$22,3),""))+Assumptions!$AI$8),
"")</f>
        <v/>
      </c>
      <c r="AT57" s="96" t="str">
        <f>IFERROR(
Assumptions!$D$11*(AA57/(Assumptions!$AB$9*AS57/100)+AP57)+
Assumptions!$D$10*(AK57/(Assumptions!$AB$8*AS57/100)+AQ57)+
Assumptions!$D$12*(AL57/(Assumptions!$AB$10*AS57/100)+AR57),
"")</f>
        <v/>
      </c>
      <c r="AU57" s="76" t="str">
        <f>IFERROR(
Z57*Assumptions!$F$11+
AD57*Assumptions!$F$10+
AG57*Assumptions!$F$9+
AJ57*Assumptions!$F$8,
"")</f>
        <v/>
      </c>
      <c r="AV57" s="77" t="str">
        <f t="shared" si="18"/>
        <v/>
      </c>
      <c r="AW57" s="68" t="str">
        <f t="shared" si="19"/>
        <v/>
      </c>
    </row>
    <row r="58" spans="1:49" x14ac:dyDescent="0.25">
      <c r="A58" s="264"/>
      <c r="B58" s="265"/>
      <c r="C58" s="265"/>
      <c r="D58" s="265"/>
      <c r="E58" s="266"/>
      <c r="F58" s="270"/>
      <c r="G58" s="271"/>
      <c r="H58" s="310"/>
      <c r="I58" s="270"/>
      <c r="J58" s="271"/>
      <c r="K58" s="272"/>
      <c r="L58" s="308"/>
      <c r="M58" s="271"/>
      <c r="N58" s="310"/>
      <c r="O58" s="270"/>
      <c r="P58" s="271"/>
      <c r="Q58" s="272"/>
      <c r="R58" s="272"/>
      <c r="S58" s="318"/>
      <c r="T58" s="306"/>
      <c r="U58" s="84" t="str">
        <f t="shared" si="20"/>
        <v/>
      </c>
      <c r="V58" s="84" t="str">
        <f t="shared" si="15"/>
        <v/>
      </c>
      <c r="W58" s="93" t="str">
        <f t="shared" si="21"/>
        <v/>
      </c>
      <c r="X58" s="100" t="str">
        <f t="shared" si="22"/>
        <v/>
      </c>
      <c r="Y58" s="95" t="str">
        <f t="shared" si="23"/>
        <v/>
      </c>
      <c r="Z58" s="95" t="str">
        <f t="shared" si="24"/>
        <v/>
      </c>
      <c r="AA58" s="98" t="str">
        <f>IFERROR(X58*Y58*Assumptions!$B$15/3956,"")</f>
        <v/>
      </c>
      <c r="AB58" s="100" t="str">
        <f t="shared" si="16"/>
        <v/>
      </c>
      <c r="AC58" s="95" t="str">
        <f t="shared" si="17"/>
        <v/>
      </c>
      <c r="AD58" s="95" t="str">
        <f t="shared" si="25"/>
        <v/>
      </c>
      <c r="AE58" s="100" t="str">
        <f t="shared" si="26"/>
        <v/>
      </c>
      <c r="AF58" s="95" t="str">
        <f t="shared" si="27"/>
        <v/>
      </c>
      <c r="AG58" s="98" t="str">
        <f t="shared" si="28"/>
        <v/>
      </c>
      <c r="AH58" s="100" t="str">
        <f t="shared" si="29"/>
        <v/>
      </c>
      <c r="AI58" s="95" t="str">
        <f t="shared" si="30"/>
        <v/>
      </c>
      <c r="AJ58" s="98" t="str">
        <f t="shared" si="31"/>
        <v/>
      </c>
      <c r="AK58" s="94" t="str">
        <f t="shared" si="32"/>
        <v/>
      </c>
      <c r="AL58" s="96" t="str">
        <f t="shared" si="33"/>
        <v/>
      </c>
      <c r="AM58" s="244" t="str">
        <f>IFERROR(
IF(C58="VTS",
IF(T58&gt;=AVERAGE(
INDEX(Assumptions!$I$38:$I$57,MATCH(T58,Assumptions!$I$38:$I$57,-1)),
INDEX(Assumptions!$I$38:$I$57,MATCH(T58,Assumptions!$I$38:$I$57,-1)+1)),
INDEX(Assumptions!$I$38:$I$57,MATCH(T58,Assumptions!$I$38:$I$57,-1)),
INDEX(Assumptions!$I$38:$I$57,MATCH(T58,Assumptions!$I$38:$I$57,-1)+1)),
IF(T58&gt;=AVERAGE(
INDEX(Assumptions!$I$13:$I$32,MATCH(T58,Assumptions!$I$13:$I$32,-1)),
INDEX(Assumptions!$I$13:$I$32,MATCH(T58,Assumptions!$I$13:$I$32,-1)+1)),
INDEX(Assumptions!$I$13:$I$32,MATCH(T58,Assumptions!$I$13:$I$32,-1)),
INDEX(Assumptions!$I$13:$I$32,MATCH(T58,Assumptions!$I$13:$I$32,-1)+1))),
"")</f>
        <v/>
      </c>
      <c r="AN58" s="95" t="str">
        <f>IFERROR(
IF(C58="VTS",
VLOOKUP(AM58,Assumptions!$I$38:$K$57,MATCH(U58,Assumptions!$I$37:$K$37,0),FALSE),
VLOOKUP(AM58,Assumptions!$I$13:$K$32,MATCH(U58,Assumptions!$I$12:$K$12,0),FALSE)),
"")</f>
        <v/>
      </c>
      <c r="AO58" s="95" t="str">
        <f t="shared" si="34"/>
        <v/>
      </c>
      <c r="AP58" s="95" t="str">
        <f>IFERROR(AO58*
(Assumptions!$S$7*(AA58/(AS58*Assumptions!$AB$9/100)/T58)^3+
Assumptions!$S$8*(AA58/(AS58*Assumptions!$AB$9/100)/T58)^2+
Assumptions!$S$9*(AA58/(AS58*Assumptions!$AB$9/100)/T58)+
Assumptions!$S$10),"")</f>
        <v/>
      </c>
      <c r="AQ58" s="95" t="str">
        <f>IFERROR(AO58*
(Assumptions!$S$7*(AK58/(AS58*Assumptions!$AB$8/100)/T58)^3+
Assumptions!$S$8*(AK58/(AS58*Assumptions!$AB$8/100)/T58)^2+
Assumptions!$S$9*(AK58/(AS58*Assumptions!$AB$8/100)/T58)+
Assumptions!$S$10),"")</f>
        <v/>
      </c>
      <c r="AR58" s="95" t="str">
        <f>IFERROR(AO58*
(Assumptions!$S$7*(AL58/(AS58*Assumptions!$AB$10/100)/T58)^3+
Assumptions!$S$8*(AL58/(AS58*Assumptions!$AB$10/100)/T58)^2+
Assumptions!$S$9*(AL58/(AS58*Assumptions!$AB$10/100)/T58)+
Assumptions!$S$10),"")</f>
        <v/>
      </c>
      <c r="AS58" s="95" t="str">
        <f>IFERROR(
Assumptions!$AD$8*LN(X58)^2+
Assumptions!$AE$8*LN(W58)*LN(X58)+
Assumptions!$AF$8*LN(W58)^2+
Assumptions!$AG$8*LN(X58)+
Assumptions!$AH$8*LN(W58)-
(IF(V58=1800,
VLOOKUP(C58,Assumptions!$AA$13:$AC$17,3),
IF(V58=3600,
VLOOKUP(C58,Assumptions!$AA$18:$AC$22,3),""))+Assumptions!$AI$8),
"")</f>
        <v/>
      </c>
      <c r="AT58" s="96" t="str">
        <f>IFERROR(
Assumptions!$D$11*(AA58/(Assumptions!$AB$9*AS58/100)+AP58)+
Assumptions!$D$10*(AK58/(Assumptions!$AB$8*AS58/100)+AQ58)+
Assumptions!$D$12*(AL58/(Assumptions!$AB$10*AS58/100)+AR58),
"")</f>
        <v/>
      </c>
      <c r="AU58" s="76" t="str">
        <f>IFERROR(
Z58*Assumptions!$F$11+
AD58*Assumptions!$F$10+
AG58*Assumptions!$F$9+
AJ58*Assumptions!$F$8,
"")</f>
        <v/>
      </c>
      <c r="AV58" s="77" t="str">
        <f t="shared" si="18"/>
        <v/>
      </c>
      <c r="AW58" s="68" t="str">
        <f t="shared" si="19"/>
        <v/>
      </c>
    </row>
    <row r="59" spans="1:49" x14ac:dyDescent="0.25">
      <c r="A59" s="264"/>
      <c r="B59" s="265"/>
      <c r="C59" s="265"/>
      <c r="D59" s="265"/>
      <c r="E59" s="266"/>
      <c r="F59" s="270"/>
      <c r="G59" s="271"/>
      <c r="H59" s="310"/>
      <c r="I59" s="270"/>
      <c r="J59" s="271"/>
      <c r="K59" s="272"/>
      <c r="L59" s="308"/>
      <c r="M59" s="271"/>
      <c r="N59" s="310"/>
      <c r="O59" s="270"/>
      <c r="P59" s="271"/>
      <c r="Q59" s="272"/>
      <c r="R59" s="272"/>
      <c r="S59" s="318"/>
      <c r="T59" s="306"/>
      <c r="U59" s="84" t="str">
        <f t="shared" si="20"/>
        <v/>
      </c>
      <c r="V59" s="84" t="str">
        <f t="shared" si="15"/>
        <v/>
      </c>
      <c r="W59" s="93" t="str">
        <f t="shared" si="21"/>
        <v/>
      </c>
      <c r="X59" s="100" t="str">
        <f t="shared" si="22"/>
        <v/>
      </c>
      <c r="Y59" s="95" t="str">
        <f t="shared" si="23"/>
        <v/>
      </c>
      <c r="Z59" s="95" t="str">
        <f t="shared" si="24"/>
        <v/>
      </c>
      <c r="AA59" s="98" t="str">
        <f>IFERROR(X59*Y59*Assumptions!$B$15/3956,"")</f>
        <v/>
      </c>
      <c r="AB59" s="100" t="str">
        <f t="shared" si="16"/>
        <v/>
      </c>
      <c r="AC59" s="95" t="str">
        <f t="shared" si="17"/>
        <v/>
      </c>
      <c r="AD59" s="95" t="str">
        <f t="shared" si="25"/>
        <v/>
      </c>
      <c r="AE59" s="100" t="str">
        <f t="shared" si="26"/>
        <v/>
      </c>
      <c r="AF59" s="95" t="str">
        <f t="shared" si="27"/>
        <v/>
      </c>
      <c r="AG59" s="98" t="str">
        <f t="shared" si="28"/>
        <v/>
      </c>
      <c r="AH59" s="100" t="str">
        <f t="shared" si="29"/>
        <v/>
      </c>
      <c r="AI59" s="95" t="str">
        <f t="shared" si="30"/>
        <v/>
      </c>
      <c r="AJ59" s="98" t="str">
        <f t="shared" si="31"/>
        <v/>
      </c>
      <c r="AK59" s="94" t="str">
        <f t="shared" si="32"/>
        <v/>
      </c>
      <c r="AL59" s="96" t="str">
        <f t="shared" si="33"/>
        <v/>
      </c>
      <c r="AM59" s="244" t="str">
        <f>IFERROR(
IF(C59="VTS",
IF(T59&gt;=AVERAGE(
INDEX(Assumptions!$I$38:$I$57,MATCH(T59,Assumptions!$I$38:$I$57,-1)),
INDEX(Assumptions!$I$38:$I$57,MATCH(T59,Assumptions!$I$38:$I$57,-1)+1)),
INDEX(Assumptions!$I$38:$I$57,MATCH(T59,Assumptions!$I$38:$I$57,-1)),
INDEX(Assumptions!$I$38:$I$57,MATCH(T59,Assumptions!$I$38:$I$57,-1)+1)),
IF(T59&gt;=AVERAGE(
INDEX(Assumptions!$I$13:$I$32,MATCH(T59,Assumptions!$I$13:$I$32,-1)),
INDEX(Assumptions!$I$13:$I$32,MATCH(T59,Assumptions!$I$13:$I$32,-1)+1)),
INDEX(Assumptions!$I$13:$I$32,MATCH(T59,Assumptions!$I$13:$I$32,-1)),
INDEX(Assumptions!$I$13:$I$32,MATCH(T59,Assumptions!$I$13:$I$32,-1)+1))),
"")</f>
        <v/>
      </c>
      <c r="AN59" s="95" t="str">
        <f>IFERROR(
IF(C59="VTS",
VLOOKUP(AM59,Assumptions!$I$38:$K$57,MATCH(U59,Assumptions!$I$37:$K$37,0),FALSE),
VLOOKUP(AM59,Assumptions!$I$13:$K$32,MATCH(U59,Assumptions!$I$12:$K$12,0),FALSE)),
"")</f>
        <v/>
      </c>
      <c r="AO59" s="95" t="str">
        <f t="shared" si="34"/>
        <v/>
      </c>
      <c r="AP59" s="95" t="str">
        <f>IFERROR(AO59*
(Assumptions!$S$7*(AA59/(AS59*Assumptions!$AB$9/100)/T59)^3+
Assumptions!$S$8*(AA59/(AS59*Assumptions!$AB$9/100)/T59)^2+
Assumptions!$S$9*(AA59/(AS59*Assumptions!$AB$9/100)/T59)+
Assumptions!$S$10),"")</f>
        <v/>
      </c>
      <c r="AQ59" s="95" t="str">
        <f>IFERROR(AO59*
(Assumptions!$S$7*(AK59/(AS59*Assumptions!$AB$8/100)/T59)^3+
Assumptions!$S$8*(AK59/(AS59*Assumptions!$AB$8/100)/T59)^2+
Assumptions!$S$9*(AK59/(AS59*Assumptions!$AB$8/100)/T59)+
Assumptions!$S$10),"")</f>
        <v/>
      </c>
      <c r="AR59" s="95" t="str">
        <f>IFERROR(AO59*
(Assumptions!$S$7*(AL59/(AS59*Assumptions!$AB$10/100)/T59)^3+
Assumptions!$S$8*(AL59/(AS59*Assumptions!$AB$10/100)/T59)^2+
Assumptions!$S$9*(AL59/(AS59*Assumptions!$AB$10/100)/T59)+
Assumptions!$S$10),"")</f>
        <v/>
      </c>
      <c r="AS59" s="95" t="str">
        <f>IFERROR(
Assumptions!$AD$8*LN(X59)^2+
Assumptions!$AE$8*LN(W59)*LN(X59)+
Assumptions!$AF$8*LN(W59)^2+
Assumptions!$AG$8*LN(X59)+
Assumptions!$AH$8*LN(W59)-
(IF(V59=1800,
VLOOKUP(C59,Assumptions!$AA$13:$AC$17,3),
IF(V59=3600,
VLOOKUP(C59,Assumptions!$AA$18:$AC$22,3),""))+Assumptions!$AI$8),
"")</f>
        <v/>
      </c>
      <c r="AT59" s="96" t="str">
        <f>IFERROR(
Assumptions!$D$11*(AA59/(Assumptions!$AB$9*AS59/100)+AP59)+
Assumptions!$D$10*(AK59/(Assumptions!$AB$8*AS59/100)+AQ59)+
Assumptions!$D$12*(AL59/(Assumptions!$AB$10*AS59/100)+AR59),
"")</f>
        <v/>
      </c>
      <c r="AU59" s="76" t="str">
        <f>IFERROR(
Z59*Assumptions!$F$11+
AD59*Assumptions!$F$10+
AG59*Assumptions!$F$9+
AJ59*Assumptions!$F$8,
"")</f>
        <v/>
      </c>
      <c r="AV59" s="77" t="str">
        <f t="shared" si="18"/>
        <v/>
      </c>
      <c r="AW59" s="68" t="str">
        <f t="shared" si="19"/>
        <v/>
      </c>
    </row>
    <row r="60" spans="1:49" x14ac:dyDescent="0.25">
      <c r="A60" s="264"/>
      <c r="B60" s="265"/>
      <c r="C60" s="265"/>
      <c r="D60" s="265"/>
      <c r="E60" s="266"/>
      <c r="F60" s="270"/>
      <c r="G60" s="271"/>
      <c r="H60" s="310"/>
      <c r="I60" s="270"/>
      <c r="J60" s="271"/>
      <c r="K60" s="272"/>
      <c r="L60" s="308"/>
      <c r="M60" s="271"/>
      <c r="N60" s="310"/>
      <c r="O60" s="270"/>
      <c r="P60" s="271"/>
      <c r="Q60" s="272"/>
      <c r="R60" s="272"/>
      <c r="S60" s="318"/>
      <c r="T60" s="306"/>
      <c r="U60" s="84" t="str">
        <f t="shared" si="20"/>
        <v/>
      </c>
      <c r="V60" s="84" t="str">
        <f t="shared" si="15"/>
        <v/>
      </c>
      <c r="W60" s="93" t="str">
        <f t="shared" si="21"/>
        <v/>
      </c>
      <c r="X60" s="100" t="str">
        <f t="shared" si="22"/>
        <v/>
      </c>
      <c r="Y60" s="95" t="str">
        <f t="shared" si="23"/>
        <v/>
      </c>
      <c r="Z60" s="95" t="str">
        <f t="shared" si="24"/>
        <v/>
      </c>
      <c r="AA60" s="98" t="str">
        <f>IFERROR(X60*Y60*Assumptions!$B$15/3956,"")</f>
        <v/>
      </c>
      <c r="AB60" s="100" t="str">
        <f t="shared" si="16"/>
        <v/>
      </c>
      <c r="AC60" s="95" t="str">
        <f t="shared" si="17"/>
        <v/>
      </c>
      <c r="AD60" s="95" t="str">
        <f t="shared" si="25"/>
        <v/>
      </c>
      <c r="AE60" s="100" t="str">
        <f t="shared" si="26"/>
        <v/>
      </c>
      <c r="AF60" s="95" t="str">
        <f t="shared" si="27"/>
        <v/>
      </c>
      <c r="AG60" s="98" t="str">
        <f t="shared" si="28"/>
        <v/>
      </c>
      <c r="AH60" s="100" t="str">
        <f t="shared" si="29"/>
        <v/>
      </c>
      <c r="AI60" s="95" t="str">
        <f t="shared" si="30"/>
        <v/>
      </c>
      <c r="AJ60" s="98" t="str">
        <f t="shared" si="31"/>
        <v/>
      </c>
      <c r="AK60" s="94" t="str">
        <f t="shared" si="32"/>
        <v/>
      </c>
      <c r="AL60" s="96" t="str">
        <f t="shared" si="33"/>
        <v/>
      </c>
      <c r="AM60" s="244" t="str">
        <f>IFERROR(
IF(C60="VTS",
IF(T60&gt;=AVERAGE(
INDEX(Assumptions!$I$38:$I$57,MATCH(T60,Assumptions!$I$38:$I$57,-1)),
INDEX(Assumptions!$I$38:$I$57,MATCH(T60,Assumptions!$I$38:$I$57,-1)+1)),
INDEX(Assumptions!$I$38:$I$57,MATCH(T60,Assumptions!$I$38:$I$57,-1)),
INDEX(Assumptions!$I$38:$I$57,MATCH(T60,Assumptions!$I$38:$I$57,-1)+1)),
IF(T60&gt;=AVERAGE(
INDEX(Assumptions!$I$13:$I$32,MATCH(T60,Assumptions!$I$13:$I$32,-1)),
INDEX(Assumptions!$I$13:$I$32,MATCH(T60,Assumptions!$I$13:$I$32,-1)+1)),
INDEX(Assumptions!$I$13:$I$32,MATCH(T60,Assumptions!$I$13:$I$32,-1)),
INDEX(Assumptions!$I$13:$I$32,MATCH(T60,Assumptions!$I$13:$I$32,-1)+1))),
"")</f>
        <v/>
      </c>
      <c r="AN60" s="95" t="str">
        <f>IFERROR(
IF(C60="VTS",
VLOOKUP(AM60,Assumptions!$I$38:$K$57,MATCH(U60,Assumptions!$I$37:$K$37,0),FALSE),
VLOOKUP(AM60,Assumptions!$I$13:$K$32,MATCH(U60,Assumptions!$I$12:$K$12,0),FALSE)),
"")</f>
        <v/>
      </c>
      <c r="AO60" s="95" t="str">
        <f t="shared" si="34"/>
        <v/>
      </c>
      <c r="AP60" s="95" t="str">
        <f>IFERROR(AO60*
(Assumptions!$S$7*(AA60/(AS60*Assumptions!$AB$9/100)/T60)^3+
Assumptions!$S$8*(AA60/(AS60*Assumptions!$AB$9/100)/T60)^2+
Assumptions!$S$9*(AA60/(AS60*Assumptions!$AB$9/100)/T60)+
Assumptions!$S$10),"")</f>
        <v/>
      </c>
      <c r="AQ60" s="95" t="str">
        <f>IFERROR(AO60*
(Assumptions!$S$7*(AK60/(AS60*Assumptions!$AB$8/100)/T60)^3+
Assumptions!$S$8*(AK60/(AS60*Assumptions!$AB$8/100)/T60)^2+
Assumptions!$S$9*(AK60/(AS60*Assumptions!$AB$8/100)/T60)+
Assumptions!$S$10),"")</f>
        <v/>
      </c>
      <c r="AR60" s="95" t="str">
        <f>IFERROR(AO60*
(Assumptions!$S$7*(AL60/(AS60*Assumptions!$AB$10/100)/T60)^3+
Assumptions!$S$8*(AL60/(AS60*Assumptions!$AB$10/100)/T60)^2+
Assumptions!$S$9*(AL60/(AS60*Assumptions!$AB$10/100)/T60)+
Assumptions!$S$10),"")</f>
        <v/>
      </c>
      <c r="AS60" s="95" t="str">
        <f>IFERROR(
Assumptions!$AD$8*LN(X60)^2+
Assumptions!$AE$8*LN(W60)*LN(X60)+
Assumptions!$AF$8*LN(W60)^2+
Assumptions!$AG$8*LN(X60)+
Assumptions!$AH$8*LN(W60)-
(IF(V60=1800,
VLOOKUP(C60,Assumptions!$AA$13:$AC$17,3),
IF(V60=3600,
VLOOKUP(C60,Assumptions!$AA$18:$AC$22,3),""))+Assumptions!$AI$8),
"")</f>
        <v/>
      </c>
      <c r="AT60" s="96" t="str">
        <f>IFERROR(
Assumptions!$D$11*(AA60/(Assumptions!$AB$9*AS60/100)+AP60)+
Assumptions!$D$10*(AK60/(Assumptions!$AB$8*AS60/100)+AQ60)+
Assumptions!$D$12*(AL60/(Assumptions!$AB$10*AS60/100)+AR60),
"")</f>
        <v/>
      </c>
      <c r="AU60" s="76" t="str">
        <f>IFERROR(
Z60*Assumptions!$F$11+
AD60*Assumptions!$F$10+
AG60*Assumptions!$F$9+
AJ60*Assumptions!$F$8,
"")</f>
        <v/>
      </c>
      <c r="AV60" s="77" t="str">
        <f t="shared" si="18"/>
        <v/>
      </c>
      <c r="AW60" s="68" t="str">
        <f t="shared" si="19"/>
        <v/>
      </c>
    </row>
    <row r="61" spans="1:49" x14ac:dyDescent="0.25">
      <c r="A61" s="264"/>
      <c r="B61" s="265"/>
      <c r="C61" s="265"/>
      <c r="D61" s="265"/>
      <c r="E61" s="266"/>
      <c r="F61" s="270"/>
      <c r="G61" s="271"/>
      <c r="H61" s="310"/>
      <c r="I61" s="270"/>
      <c r="J61" s="271"/>
      <c r="K61" s="272"/>
      <c r="L61" s="308"/>
      <c r="M61" s="271"/>
      <c r="N61" s="310"/>
      <c r="O61" s="270"/>
      <c r="P61" s="271"/>
      <c r="Q61" s="272"/>
      <c r="R61" s="272"/>
      <c r="S61" s="318"/>
      <c r="T61" s="306"/>
      <c r="U61" s="84" t="str">
        <f t="shared" si="20"/>
        <v/>
      </c>
      <c r="V61" s="84" t="str">
        <f t="shared" si="15"/>
        <v/>
      </c>
      <c r="W61" s="93" t="str">
        <f t="shared" si="21"/>
        <v/>
      </c>
      <c r="X61" s="100" t="str">
        <f t="shared" si="22"/>
        <v/>
      </c>
      <c r="Y61" s="95" t="str">
        <f t="shared" si="23"/>
        <v/>
      </c>
      <c r="Z61" s="95" t="str">
        <f t="shared" si="24"/>
        <v/>
      </c>
      <c r="AA61" s="98" t="str">
        <f>IFERROR(X61*Y61*Assumptions!$B$15/3956,"")</f>
        <v/>
      </c>
      <c r="AB61" s="100" t="str">
        <f t="shared" si="16"/>
        <v/>
      </c>
      <c r="AC61" s="95" t="str">
        <f t="shared" si="17"/>
        <v/>
      </c>
      <c r="AD61" s="95" t="str">
        <f t="shared" si="25"/>
        <v/>
      </c>
      <c r="AE61" s="100" t="str">
        <f t="shared" si="26"/>
        <v/>
      </c>
      <c r="AF61" s="95" t="str">
        <f t="shared" si="27"/>
        <v/>
      </c>
      <c r="AG61" s="98" t="str">
        <f t="shared" si="28"/>
        <v/>
      </c>
      <c r="AH61" s="100" t="str">
        <f t="shared" si="29"/>
        <v/>
      </c>
      <c r="AI61" s="95" t="str">
        <f t="shared" si="30"/>
        <v/>
      </c>
      <c r="AJ61" s="98" t="str">
        <f t="shared" si="31"/>
        <v/>
      </c>
      <c r="AK61" s="94" t="str">
        <f t="shared" si="32"/>
        <v/>
      </c>
      <c r="AL61" s="96" t="str">
        <f t="shared" si="33"/>
        <v/>
      </c>
      <c r="AM61" s="244" t="str">
        <f>IFERROR(
IF(C61="VTS",
IF(T61&gt;=AVERAGE(
INDEX(Assumptions!$I$38:$I$57,MATCH(T61,Assumptions!$I$38:$I$57,-1)),
INDEX(Assumptions!$I$38:$I$57,MATCH(T61,Assumptions!$I$38:$I$57,-1)+1)),
INDEX(Assumptions!$I$38:$I$57,MATCH(T61,Assumptions!$I$38:$I$57,-1)),
INDEX(Assumptions!$I$38:$I$57,MATCH(T61,Assumptions!$I$38:$I$57,-1)+1)),
IF(T61&gt;=AVERAGE(
INDEX(Assumptions!$I$13:$I$32,MATCH(T61,Assumptions!$I$13:$I$32,-1)),
INDEX(Assumptions!$I$13:$I$32,MATCH(T61,Assumptions!$I$13:$I$32,-1)+1)),
INDEX(Assumptions!$I$13:$I$32,MATCH(T61,Assumptions!$I$13:$I$32,-1)),
INDEX(Assumptions!$I$13:$I$32,MATCH(T61,Assumptions!$I$13:$I$32,-1)+1))),
"")</f>
        <v/>
      </c>
      <c r="AN61" s="95" t="str">
        <f>IFERROR(
IF(C61="VTS",
VLOOKUP(AM61,Assumptions!$I$38:$K$57,MATCH(U61,Assumptions!$I$37:$K$37,0),FALSE),
VLOOKUP(AM61,Assumptions!$I$13:$K$32,MATCH(U61,Assumptions!$I$12:$K$12,0),FALSE)),
"")</f>
        <v/>
      </c>
      <c r="AO61" s="95" t="str">
        <f t="shared" si="34"/>
        <v/>
      </c>
      <c r="AP61" s="95" t="str">
        <f>IFERROR(AO61*
(Assumptions!$S$7*(AA61/(AS61*Assumptions!$AB$9/100)/T61)^3+
Assumptions!$S$8*(AA61/(AS61*Assumptions!$AB$9/100)/T61)^2+
Assumptions!$S$9*(AA61/(AS61*Assumptions!$AB$9/100)/T61)+
Assumptions!$S$10),"")</f>
        <v/>
      </c>
      <c r="AQ61" s="95" t="str">
        <f>IFERROR(AO61*
(Assumptions!$S$7*(AK61/(AS61*Assumptions!$AB$8/100)/T61)^3+
Assumptions!$S$8*(AK61/(AS61*Assumptions!$AB$8/100)/T61)^2+
Assumptions!$S$9*(AK61/(AS61*Assumptions!$AB$8/100)/T61)+
Assumptions!$S$10),"")</f>
        <v/>
      </c>
      <c r="AR61" s="95" t="str">
        <f>IFERROR(AO61*
(Assumptions!$S$7*(AL61/(AS61*Assumptions!$AB$10/100)/T61)^3+
Assumptions!$S$8*(AL61/(AS61*Assumptions!$AB$10/100)/T61)^2+
Assumptions!$S$9*(AL61/(AS61*Assumptions!$AB$10/100)/T61)+
Assumptions!$S$10),"")</f>
        <v/>
      </c>
      <c r="AS61" s="95" t="str">
        <f>IFERROR(
Assumptions!$AD$8*LN(X61)^2+
Assumptions!$AE$8*LN(W61)*LN(X61)+
Assumptions!$AF$8*LN(W61)^2+
Assumptions!$AG$8*LN(X61)+
Assumptions!$AH$8*LN(W61)-
(IF(V61=1800,
VLOOKUP(C61,Assumptions!$AA$13:$AC$17,3),
IF(V61=3600,
VLOOKUP(C61,Assumptions!$AA$18:$AC$22,3),""))+Assumptions!$AI$8),
"")</f>
        <v/>
      </c>
      <c r="AT61" s="96" t="str">
        <f>IFERROR(
Assumptions!$D$11*(AA61/(Assumptions!$AB$9*AS61/100)+AP61)+
Assumptions!$D$10*(AK61/(Assumptions!$AB$8*AS61/100)+AQ61)+
Assumptions!$D$12*(AL61/(Assumptions!$AB$10*AS61/100)+AR61),
"")</f>
        <v/>
      </c>
      <c r="AU61" s="76" t="str">
        <f>IFERROR(
Z61*Assumptions!$F$11+
AD61*Assumptions!$F$10+
AG61*Assumptions!$F$9+
AJ61*Assumptions!$F$8,
"")</f>
        <v/>
      </c>
      <c r="AV61" s="77" t="str">
        <f t="shared" si="18"/>
        <v/>
      </c>
      <c r="AW61" s="68" t="str">
        <f t="shared" si="19"/>
        <v/>
      </c>
    </row>
    <row r="62" spans="1:49" x14ac:dyDescent="0.25">
      <c r="A62" s="264"/>
      <c r="B62" s="265"/>
      <c r="C62" s="265"/>
      <c r="D62" s="265"/>
      <c r="E62" s="266"/>
      <c r="F62" s="270"/>
      <c r="G62" s="271"/>
      <c r="H62" s="310"/>
      <c r="I62" s="270"/>
      <c r="J62" s="271"/>
      <c r="K62" s="272"/>
      <c r="L62" s="308"/>
      <c r="M62" s="271"/>
      <c r="N62" s="310"/>
      <c r="O62" s="270"/>
      <c r="P62" s="271"/>
      <c r="Q62" s="272"/>
      <c r="R62" s="272"/>
      <c r="S62" s="318"/>
      <c r="T62" s="306"/>
      <c r="U62" s="84" t="str">
        <f t="shared" si="20"/>
        <v/>
      </c>
      <c r="V62" s="84" t="str">
        <f t="shared" si="15"/>
        <v/>
      </c>
      <c r="W62" s="93" t="str">
        <f t="shared" si="21"/>
        <v/>
      </c>
      <c r="X62" s="100" t="str">
        <f t="shared" si="22"/>
        <v/>
      </c>
      <c r="Y62" s="95" t="str">
        <f t="shared" si="23"/>
        <v/>
      </c>
      <c r="Z62" s="95" t="str">
        <f t="shared" si="24"/>
        <v/>
      </c>
      <c r="AA62" s="98" t="str">
        <f>IFERROR(X62*Y62*Assumptions!$B$15/3956,"")</f>
        <v/>
      </c>
      <c r="AB62" s="100" t="str">
        <f t="shared" si="16"/>
        <v/>
      </c>
      <c r="AC62" s="95" t="str">
        <f t="shared" si="17"/>
        <v/>
      </c>
      <c r="AD62" s="95" t="str">
        <f t="shared" si="25"/>
        <v/>
      </c>
      <c r="AE62" s="100" t="str">
        <f t="shared" si="26"/>
        <v/>
      </c>
      <c r="AF62" s="95" t="str">
        <f t="shared" si="27"/>
        <v/>
      </c>
      <c r="AG62" s="98" t="str">
        <f t="shared" si="28"/>
        <v/>
      </c>
      <c r="AH62" s="100" t="str">
        <f t="shared" si="29"/>
        <v/>
      </c>
      <c r="AI62" s="95" t="str">
        <f t="shared" si="30"/>
        <v/>
      </c>
      <c r="AJ62" s="98" t="str">
        <f t="shared" si="31"/>
        <v/>
      </c>
      <c r="AK62" s="94" t="str">
        <f t="shared" si="32"/>
        <v/>
      </c>
      <c r="AL62" s="96" t="str">
        <f t="shared" si="33"/>
        <v/>
      </c>
      <c r="AM62" s="244" t="str">
        <f>IFERROR(
IF(C62="VTS",
IF(T62&gt;=AVERAGE(
INDEX(Assumptions!$I$38:$I$57,MATCH(T62,Assumptions!$I$38:$I$57,-1)),
INDEX(Assumptions!$I$38:$I$57,MATCH(T62,Assumptions!$I$38:$I$57,-1)+1)),
INDEX(Assumptions!$I$38:$I$57,MATCH(T62,Assumptions!$I$38:$I$57,-1)),
INDEX(Assumptions!$I$38:$I$57,MATCH(T62,Assumptions!$I$38:$I$57,-1)+1)),
IF(T62&gt;=AVERAGE(
INDEX(Assumptions!$I$13:$I$32,MATCH(T62,Assumptions!$I$13:$I$32,-1)),
INDEX(Assumptions!$I$13:$I$32,MATCH(T62,Assumptions!$I$13:$I$32,-1)+1)),
INDEX(Assumptions!$I$13:$I$32,MATCH(T62,Assumptions!$I$13:$I$32,-1)),
INDEX(Assumptions!$I$13:$I$32,MATCH(T62,Assumptions!$I$13:$I$32,-1)+1))),
"")</f>
        <v/>
      </c>
      <c r="AN62" s="95" t="str">
        <f>IFERROR(
IF(C62="VTS",
VLOOKUP(AM62,Assumptions!$I$38:$K$57,MATCH(U62,Assumptions!$I$37:$K$37,0),FALSE),
VLOOKUP(AM62,Assumptions!$I$13:$K$32,MATCH(U62,Assumptions!$I$12:$K$12,0),FALSE)),
"")</f>
        <v/>
      </c>
      <c r="AO62" s="95" t="str">
        <f t="shared" si="34"/>
        <v/>
      </c>
      <c r="AP62" s="95" t="str">
        <f>IFERROR(AO62*
(Assumptions!$S$7*(AA62/(AS62*Assumptions!$AB$9/100)/T62)^3+
Assumptions!$S$8*(AA62/(AS62*Assumptions!$AB$9/100)/T62)^2+
Assumptions!$S$9*(AA62/(AS62*Assumptions!$AB$9/100)/T62)+
Assumptions!$S$10),"")</f>
        <v/>
      </c>
      <c r="AQ62" s="95" t="str">
        <f>IFERROR(AO62*
(Assumptions!$S$7*(AK62/(AS62*Assumptions!$AB$8/100)/T62)^3+
Assumptions!$S$8*(AK62/(AS62*Assumptions!$AB$8/100)/T62)^2+
Assumptions!$S$9*(AK62/(AS62*Assumptions!$AB$8/100)/T62)+
Assumptions!$S$10),"")</f>
        <v/>
      </c>
      <c r="AR62" s="95" t="str">
        <f>IFERROR(AO62*
(Assumptions!$S$7*(AL62/(AS62*Assumptions!$AB$10/100)/T62)^3+
Assumptions!$S$8*(AL62/(AS62*Assumptions!$AB$10/100)/T62)^2+
Assumptions!$S$9*(AL62/(AS62*Assumptions!$AB$10/100)/T62)+
Assumptions!$S$10),"")</f>
        <v/>
      </c>
      <c r="AS62" s="95" t="str">
        <f>IFERROR(
Assumptions!$AD$8*LN(X62)^2+
Assumptions!$AE$8*LN(W62)*LN(X62)+
Assumptions!$AF$8*LN(W62)^2+
Assumptions!$AG$8*LN(X62)+
Assumptions!$AH$8*LN(W62)-
(IF(V62=1800,
VLOOKUP(C62,Assumptions!$AA$13:$AC$17,3),
IF(V62=3600,
VLOOKUP(C62,Assumptions!$AA$18:$AC$22,3),""))+Assumptions!$AI$8),
"")</f>
        <v/>
      </c>
      <c r="AT62" s="96" t="str">
        <f>IFERROR(
Assumptions!$D$11*(AA62/(Assumptions!$AB$9*AS62/100)+AP62)+
Assumptions!$D$10*(AK62/(Assumptions!$AB$8*AS62/100)+AQ62)+
Assumptions!$D$12*(AL62/(Assumptions!$AB$10*AS62/100)+AR62),
"")</f>
        <v/>
      </c>
      <c r="AU62" s="76" t="str">
        <f>IFERROR(
Z62*Assumptions!$F$11+
AD62*Assumptions!$F$10+
AG62*Assumptions!$F$9+
AJ62*Assumptions!$F$8,
"")</f>
        <v/>
      </c>
      <c r="AV62" s="77" t="str">
        <f t="shared" si="18"/>
        <v/>
      </c>
      <c r="AW62" s="68" t="str">
        <f t="shared" si="19"/>
        <v/>
      </c>
    </row>
    <row r="63" spans="1:49" x14ac:dyDescent="0.25">
      <c r="A63" s="264"/>
      <c r="B63" s="265"/>
      <c r="C63" s="265"/>
      <c r="D63" s="265"/>
      <c r="E63" s="266"/>
      <c r="F63" s="270"/>
      <c r="G63" s="271"/>
      <c r="H63" s="310"/>
      <c r="I63" s="270"/>
      <c r="J63" s="271"/>
      <c r="K63" s="272"/>
      <c r="L63" s="308"/>
      <c r="M63" s="271"/>
      <c r="N63" s="310"/>
      <c r="O63" s="270"/>
      <c r="P63" s="271"/>
      <c r="Q63" s="272"/>
      <c r="R63" s="272"/>
      <c r="S63" s="318"/>
      <c r="T63" s="306"/>
      <c r="U63" s="84" t="str">
        <f t="shared" si="20"/>
        <v/>
      </c>
      <c r="V63" s="84" t="str">
        <f t="shared" si="15"/>
        <v/>
      </c>
      <c r="W63" s="93" t="str">
        <f t="shared" si="21"/>
        <v/>
      </c>
      <c r="X63" s="100" t="str">
        <f t="shared" si="22"/>
        <v/>
      </c>
      <c r="Y63" s="95" t="str">
        <f t="shared" si="23"/>
        <v/>
      </c>
      <c r="Z63" s="95" t="str">
        <f t="shared" si="24"/>
        <v/>
      </c>
      <c r="AA63" s="98" t="str">
        <f>IFERROR(X63*Y63*Assumptions!$B$15/3956,"")</f>
        <v/>
      </c>
      <c r="AB63" s="100" t="str">
        <f t="shared" si="16"/>
        <v/>
      </c>
      <c r="AC63" s="95" t="str">
        <f t="shared" si="17"/>
        <v/>
      </c>
      <c r="AD63" s="95" t="str">
        <f t="shared" si="25"/>
        <v/>
      </c>
      <c r="AE63" s="100" t="str">
        <f t="shared" si="26"/>
        <v/>
      </c>
      <c r="AF63" s="95" t="str">
        <f t="shared" si="27"/>
        <v/>
      </c>
      <c r="AG63" s="98" t="str">
        <f t="shared" si="28"/>
        <v/>
      </c>
      <c r="AH63" s="100" t="str">
        <f t="shared" si="29"/>
        <v/>
      </c>
      <c r="AI63" s="95" t="str">
        <f t="shared" si="30"/>
        <v/>
      </c>
      <c r="AJ63" s="98" t="str">
        <f t="shared" si="31"/>
        <v/>
      </c>
      <c r="AK63" s="94" t="str">
        <f t="shared" si="32"/>
        <v/>
      </c>
      <c r="AL63" s="96" t="str">
        <f t="shared" si="33"/>
        <v/>
      </c>
      <c r="AM63" s="244" t="str">
        <f>IFERROR(
IF(C63="VTS",
IF(T63&gt;=AVERAGE(
INDEX(Assumptions!$I$38:$I$57,MATCH(T63,Assumptions!$I$38:$I$57,-1)),
INDEX(Assumptions!$I$38:$I$57,MATCH(T63,Assumptions!$I$38:$I$57,-1)+1)),
INDEX(Assumptions!$I$38:$I$57,MATCH(T63,Assumptions!$I$38:$I$57,-1)),
INDEX(Assumptions!$I$38:$I$57,MATCH(T63,Assumptions!$I$38:$I$57,-1)+1)),
IF(T63&gt;=AVERAGE(
INDEX(Assumptions!$I$13:$I$32,MATCH(T63,Assumptions!$I$13:$I$32,-1)),
INDEX(Assumptions!$I$13:$I$32,MATCH(T63,Assumptions!$I$13:$I$32,-1)+1)),
INDEX(Assumptions!$I$13:$I$32,MATCH(T63,Assumptions!$I$13:$I$32,-1)),
INDEX(Assumptions!$I$13:$I$32,MATCH(T63,Assumptions!$I$13:$I$32,-1)+1))),
"")</f>
        <v/>
      </c>
      <c r="AN63" s="95" t="str">
        <f>IFERROR(
IF(C63="VTS",
VLOOKUP(AM63,Assumptions!$I$38:$K$57,MATCH(U63,Assumptions!$I$37:$K$37,0),FALSE),
VLOOKUP(AM63,Assumptions!$I$13:$K$32,MATCH(U63,Assumptions!$I$12:$K$12,0),FALSE)),
"")</f>
        <v/>
      </c>
      <c r="AO63" s="95" t="str">
        <f t="shared" si="34"/>
        <v/>
      </c>
      <c r="AP63" s="95" t="str">
        <f>IFERROR(AO63*
(Assumptions!$S$7*(AA63/(AS63*Assumptions!$AB$9/100)/T63)^3+
Assumptions!$S$8*(AA63/(AS63*Assumptions!$AB$9/100)/T63)^2+
Assumptions!$S$9*(AA63/(AS63*Assumptions!$AB$9/100)/T63)+
Assumptions!$S$10),"")</f>
        <v/>
      </c>
      <c r="AQ63" s="95" t="str">
        <f>IFERROR(AO63*
(Assumptions!$S$7*(AK63/(AS63*Assumptions!$AB$8/100)/T63)^3+
Assumptions!$S$8*(AK63/(AS63*Assumptions!$AB$8/100)/T63)^2+
Assumptions!$S$9*(AK63/(AS63*Assumptions!$AB$8/100)/T63)+
Assumptions!$S$10),"")</f>
        <v/>
      </c>
      <c r="AR63" s="95" t="str">
        <f>IFERROR(AO63*
(Assumptions!$S$7*(AL63/(AS63*Assumptions!$AB$10/100)/T63)^3+
Assumptions!$S$8*(AL63/(AS63*Assumptions!$AB$10/100)/T63)^2+
Assumptions!$S$9*(AL63/(AS63*Assumptions!$AB$10/100)/T63)+
Assumptions!$S$10),"")</f>
        <v/>
      </c>
      <c r="AS63" s="95" t="str">
        <f>IFERROR(
Assumptions!$AD$8*LN(X63)^2+
Assumptions!$AE$8*LN(W63)*LN(X63)+
Assumptions!$AF$8*LN(W63)^2+
Assumptions!$AG$8*LN(X63)+
Assumptions!$AH$8*LN(W63)-
(IF(V63=1800,
VLOOKUP(C63,Assumptions!$AA$13:$AC$17,3),
IF(V63=3600,
VLOOKUP(C63,Assumptions!$AA$18:$AC$22,3),""))+Assumptions!$AI$8),
"")</f>
        <v/>
      </c>
      <c r="AT63" s="96" t="str">
        <f>IFERROR(
Assumptions!$D$11*(AA63/(Assumptions!$AB$9*AS63/100)+AP63)+
Assumptions!$D$10*(AK63/(Assumptions!$AB$8*AS63/100)+AQ63)+
Assumptions!$D$12*(AL63/(Assumptions!$AB$10*AS63/100)+AR63),
"")</f>
        <v/>
      </c>
      <c r="AU63" s="76" t="str">
        <f>IFERROR(
Z63*Assumptions!$F$11+
AD63*Assumptions!$F$10+
AG63*Assumptions!$F$9+
AJ63*Assumptions!$F$8,
"")</f>
        <v/>
      </c>
      <c r="AV63" s="77" t="str">
        <f t="shared" si="18"/>
        <v/>
      </c>
      <c r="AW63" s="68" t="str">
        <f t="shared" si="19"/>
        <v/>
      </c>
    </row>
    <row r="64" spans="1:49" x14ac:dyDescent="0.25">
      <c r="A64" s="264"/>
      <c r="B64" s="265"/>
      <c r="C64" s="265"/>
      <c r="D64" s="265"/>
      <c r="E64" s="266"/>
      <c r="F64" s="270"/>
      <c r="G64" s="271"/>
      <c r="H64" s="310"/>
      <c r="I64" s="270"/>
      <c r="J64" s="271"/>
      <c r="K64" s="272"/>
      <c r="L64" s="308"/>
      <c r="M64" s="271"/>
      <c r="N64" s="310"/>
      <c r="O64" s="270"/>
      <c r="P64" s="271"/>
      <c r="Q64" s="272"/>
      <c r="R64" s="272"/>
      <c r="S64" s="318"/>
      <c r="T64" s="306"/>
      <c r="U64" s="84" t="str">
        <f t="shared" si="20"/>
        <v/>
      </c>
      <c r="V64" s="84" t="str">
        <f t="shared" si="15"/>
        <v/>
      </c>
      <c r="W64" s="93" t="str">
        <f t="shared" si="21"/>
        <v/>
      </c>
      <c r="X64" s="100" t="str">
        <f t="shared" si="22"/>
        <v/>
      </c>
      <c r="Y64" s="95" t="str">
        <f t="shared" si="23"/>
        <v/>
      </c>
      <c r="Z64" s="95" t="str">
        <f t="shared" si="24"/>
        <v/>
      </c>
      <c r="AA64" s="98" t="str">
        <f>IFERROR(X64*Y64*Assumptions!$B$15/3956,"")</f>
        <v/>
      </c>
      <c r="AB64" s="100" t="str">
        <f t="shared" si="16"/>
        <v/>
      </c>
      <c r="AC64" s="95" t="str">
        <f t="shared" si="17"/>
        <v/>
      </c>
      <c r="AD64" s="95" t="str">
        <f t="shared" si="25"/>
        <v/>
      </c>
      <c r="AE64" s="100" t="str">
        <f t="shared" si="26"/>
        <v/>
      </c>
      <c r="AF64" s="95" t="str">
        <f t="shared" si="27"/>
        <v/>
      </c>
      <c r="AG64" s="98" t="str">
        <f t="shared" si="28"/>
        <v/>
      </c>
      <c r="AH64" s="100" t="str">
        <f t="shared" si="29"/>
        <v/>
      </c>
      <c r="AI64" s="95" t="str">
        <f t="shared" si="30"/>
        <v/>
      </c>
      <c r="AJ64" s="98" t="str">
        <f t="shared" si="31"/>
        <v/>
      </c>
      <c r="AK64" s="94" t="str">
        <f t="shared" si="32"/>
        <v/>
      </c>
      <c r="AL64" s="96" t="str">
        <f t="shared" si="33"/>
        <v/>
      </c>
      <c r="AM64" s="244" t="str">
        <f>IFERROR(
IF(C64="VTS",
IF(T64&gt;=AVERAGE(
INDEX(Assumptions!$I$38:$I$57,MATCH(T64,Assumptions!$I$38:$I$57,-1)),
INDEX(Assumptions!$I$38:$I$57,MATCH(T64,Assumptions!$I$38:$I$57,-1)+1)),
INDEX(Assumptions!$I$38:$I$57,MATCH(T64,Assumptions!$I$38:$I$57,-1)),
INDEX(Assumptions!$I$38:$I$57,MATCH(T64,Assumptions!$I$38:$I$57,-1)+1)),
IF(T64&gt;=AVERAGE(
INDEX(Assumptions!$I$13:$I$32,MATCH(T64,Assumptions!$I$13:$I$32,-1)),
INDEX(Assumptions!$I$13:$I$32,MATCH(T64,Assumptions!$I$13:$I$32,-1)+1)),
INDEX(Assumptions!$I$13:$I$32,MATCH(T64,Assumptions!$I$13:$I$32,-1)),
INDEX(Assumptions!$I$13:$I$32,MATCH(T64,Assumptions!$I$13:$I$32,-1)+1))),
"")</f>
        <v/>
      </c>
      <c r="AN64" s="95" t="str">
        <f>IFERROR(
IF(C64="VTS",
VLOOKUP(AM64,Assumptions!$I$38:$K$57,MATCH(U64,Assumptions!$I$37:$K$37,0),FALSE),
VLOOKUP(AM64,Assumptions!$I$13:$K$32,MATCH(U64,Assumptions!$I$12:$K$12,0),FALSE)),
"")</f>
        <v/>
      </c>
      <c r="AO64" s="95" t="str">
        <f t="shared" si="34"/>
        <v/>
      </c>
      <c r="AP64" s="95" t="str">
        <f>IFERROR(AO64*
(Assumptions!$S$7*(AA64/(AS64*Assumptions!$AB$9/100)/T64)^3+
Assumptions!$S$8*(AA64/(AS64*Assumptions!$AB$9/100)/T64)^2+
Assumptions!$S$9*(AA64/(AS64*Assumptions!$AB$9/100)/T64)+
Assumptions!$S$10),"")</f>
        <v/>
      </c>
      <c r="AQ64" s="95" t="str">
        <f>IFERROR(AO64*
(Assumptions!$S$7*(AK64/(AS64*Assumptions!$AB$8/100)/T64)^3+
Assumptions!$S$8*(AK64/(AS64*Assumptions!$AB$8/100)/T64)^2+
Assumptions!$S$9*(AK64/(AS64*Assumptions!$AB$8/100)/T64)+
Assumptions!$S$10),"")</f>
        <v/>
      </c>
      <c r="AR64" s="95" t="str">
        <f>IFERROR(AO64*
(Assumptions!$S$7*(AL64/(AS64*Assumptions!$AB$10/100)/T64)^3+
Assumptions!$S$8*(AL64/(AS64*Assumptions!$AB$10/100)/T64)^2+
Assumptions!$S$9*(AL64/(AS64*Assumptions!$AB$10/100)/T64)+
Assumptions!$S$10),"")</f>
        <v/>
      </c>
      <c r="AS64" s="95" t="str">
        <f>IFERROR(
Assumptions!$AD$8*LN(X64)^2+
Assumptions!$AE$8*LN(W64)*LN(X64)+
Assumptions!$AF$8*LN(W64)^2+
Assumptions!$AG$8*LN(X64)+
Assumptions!$AH$8*LN(W64)-
(IF(V64=1800,
VLOOKUP(C64,Assumptions!$AA$13:$AC$17,3),
IF(V64=3600,
VLOOKUP(C64,Assumptions!$AA$18:$AC$22,3),""))+Assumptions!$AI$8),
"")</f>
        <v/>
      </c>
      <c r="AT64" s="96" t="str">
        <f>IFERROR(
Assumptions!$D$11*(AA64/(Assumptions!$AB$9*AS64/100)+AP64)+
Assumptions!$D$10*(AK64/(Assumptions!$AB$8*AS64/100)+AQ64)+
Assumptions!$D$12*(AL64/(Assumptions!$AB$10*AS64/100)+AR64),
"")</f>
        <v/>
      </c>
      <c r="AU64" s="76" t="str">
        <f>IFERROR(
Z64*Assumptions!$F$11+
AD64*Assumptions!$F$10+
AG64*Assumptions!$F$9+
AJ64*Assumptions!$F$8,
"")</f>
        <v/>
      </c>
      <c r="AV64" s="77" t="str">
        <f t="shared" si="18"/>
        <v/>
      </c>
      <c r="AW64" s="68" t="str">
        <f t="shared" si="19"/>
        <v/>
      </c>
    </row>
    <row r="65" spans="1:49" x14ac:dyDescent="0.25">
      <c r="A65" s="264"/>
      <c r="B65" s="265"/>
      <c r="C65" s="265"/>
      <c r="D65" s="265"/>
      <c r="E65" s="266"/>
      <c r="F65" s="270"/>
      <c r="G65" s="271"/>
      <c r="H65" s="310"/>
      <c r="I65" s="270"/>
      <c r="J65" s="271"/>
      <c r="K65" s="272"/>
      <c r="L65" s="308"/>
      <c r="M65" s="271"/>
      <c r="N65" s="310"/>
      <c r="O65" s="270"/>
      <c r="P65" s="271"/>
      <c r="Q65" s="272"/>
      <c r="R65" s="272"/>
      <c r="S65" s="318"/>
      <c r="T65" s="306"/>
      <c r="U65" s="84" t="str">
        <f t="shared" si="20"/>
        <v/>
      </c>
      <c r="V65" s="84" t="str">
        <f t="shared" si="15"/>
        <v/>
      </c>
      <c r="W65" s="93" t="str">
        <f t="shared" si="21"/>
        <v/>
      </c>
      <c r="X65" s="100" t="str">
        <f t="shared" si="22"/>
        <v/>
      </c>
      <c r="Y65" s="95" t="str">
        <f t="shared" si="23"/>
        <v/>
      </c>
      <c r="Z65" s="95" t="str">
        <f t="shared" si="24"/>
        <v/>
      </c>
      <c r="AA65" s="98" t="str">
        <f>IFERROR(X65*Y65*Assumptions!$B$15/3956,"")</f>
        <v/>
      </c>
      <c r="AB65" s="100" t="str">
        <f t="shared" si="16"/>
        <v/>
      </c>
      <c r="AC65" s="95" t="str">
        <f t="shared" si="17"/>
        <v/>
      </c>
      <c r="AD65" s="95" t="str">
        <f t="shared" si="25"/>
        <v/>
      </c>
      <c r="AE65" s="100" t="str">
        <f t="shared" si="26"/>
        <v/>
      </c>
      <c r="AF65" s="95" t="str">
        <f t="shared" si="27"/>
        <v/>
      </c>
      <c r="AG65" s="98" t="str">
        <f t="shared" si="28"/>
        <v/>
      </c>
      <c r="AH65" s="100" t="str">
        <f t="shared" si="29"/>
        <v/>
      </c>
      <c r="AI65" s="95" t="str">
        <f t="shared" si="30"/>
        <v/>
      </c>
      <c r="AJ65" s="98" t="str">
        <f t="shared" si="31"/>
        <v/>
      </c>
      <c r="AK65" s="94" t="str">
        <f t="shared" si="32"/>
        <v/>
      </c>
      <c r="AL65" s="96" t="str">
        <f t="shared" si="33"/>
        <v/>
      </c>
      <c r="AM65" s="244" t="str">
        <f>IFERROR(
IF(C65="VTS",
IF(T65&gt;=AVERAGE(
INDEX(Assumptions!$I$38:$I$57,MATCH(T65,Assumptions!$I$38:$I$57,-1)),
INDEX(Assumptions!$I$38:$I$57,MATCH(T65,Assumptions!$I$38:$I$57,-1)+1)),
INDEX(Assumptions!$I$38:$I$57,MATCH(T65,Assumptions!$I$38:$I$57,-1)),
INDEX(Assumptions!$I$38:$I$57,MATCH(T65,Assumptions!$I$38:$I$57,-1)+1)),
IF(T65&gt;=AVERAGE(
INDEX(Assumptions!$I$13:$I$32,MATCH(T65,Assumptions!$I$13:$I$32,-1)),
INDEX(Assumptions!$I$13:$I$32,MATCH(T65,Assumptions!$I$13:$I$32,-1)+1)),
INDEX(Assumptions!$I$13:$I$32,MATCH(T65,Assumptions!$I$13:$I$32,-1)),
INDEX(Assumptions!$I$13:$I$32,MATCH(T65,Assumptions!$I$13:$I$32,-1)+1))),
"")</f>
        <v/>
      </c>
      <c r="AN65" s="95" t="str">
        <f>IFERROR(
IF(C65="VTS",
VLOOKUP(AM65,Assumptions!$I$38:$K$57,MATCH(U65,Assumptions!$I$37:$K$37,0),FALSE),
VLOOKUP(AM65,Assumptions!$I$13:$K$32,MATCH(U65,Assumptions!$I$12:$K$12,0),FALSE)),
"")</f>
        <v/>
      </c>
      <c r="AO65" s="95" t="str">
        <f t="shared" si="34"/>
        <v/>
      </c>
      <c r="AP65" s="95" t="str">
        <f>IFERROR(AO65*
(Assumptions!$S$7*(AA65/(AS65*Assumptions!$AB$9/100)/T65)^3+
Assumptions!$S$8*(AA65/(AS65*Assumptions!$AB$9/100)/T65)^2+
Assumptions!$S$9*(AA65/(AS65*Assumptions!$AB$9/100)/T65)+
Assumptions!$S$10),"")</f>
        <v/>
      </c>
      <c r="AQ65" s="95" t="str">
        <f>IFERROR(AO65*
(Assumptions!$S$7*(AK65/(AS65*Assumptions!$AB$8/100)/T65)^3+
Assumptions!$S$8*(AK65/(AS65*Assumptions!$AB$8/100)/T65)^2+
Assumptions!$S$9*(AK65/(AS65*Assumptions!$AB$8/100)/T65)+
Assumptions!$S$10),"")</f>
        <v/>
      </c>
      <c r="AR65" s="95" t="str">
        <f>IFERROR(AO65*
(Assumptions!$S$7*(AL65/(AS65*Assumptions!$AB$10/100)/T65)^3+
Assumptions!$S$8*(AL65/(AS65*Assumptions!$AB$10/100)/T65)^2+
Assumptions!$S$9*(AL65/(AS65*Assumptions!$AB$10/100)/T65)+
Assumptions!$S$10),"")</f>
        <v/>
      </c>
      <c r="AS65" s="95" t="str">
        <f>IFERROR(
Assumptions!$AD$8*LN(X65)^2+
Assumptions!$AE$8*LN(W65)*LN(X65)+
Assumptions!$AF$8*LN(W65)^2+
Assumptions!$AG$8*LN(X65)+
Assumptions!$AH$8*LN(W65)-
(IF(V65=1800,
VLOOKUP(C65,Assumptions!$AA$13:$AC$17,3),
IF(V65=3600,
VLOOKUP(C65,Assumptions!$AA$18:$AC$22,3),""))+Assumptions!$AI$8),
"")</f>
        <v/>
      </c>
      <c r="AT65" s="96" t="str">
        <f>IFERROR(
Assumptions!$D$11*(AA65/(Assumptions!$AB$9*AS65/100)+AP65)+
Assumptions!$D$10*(AK65/(Assumptions!$AB$8*AS65/100)+AQ65)+
Assumptions!$D$12*(AL65/(Assumptions!$AB$10*AS65/100)+AR65),
"")</f>
        <v/>
      </c>
      <c r="AU65" s="76" t="str">
        <f>IFERROR(
Z65*Assumptions!$F$11+
AD65*Assumptions!$F$10+
AG65*Assumptions!$F$9+
AJ65*Assumptions!$F$8,
"")</f>
        <v/>
      </c>
      <c r="AV65" s="77" t="str">
        <f t="shared" si="18"/>
        <v/>
      </c>
      <c r="AW65" s="68" t="str">
        <f t="shared" si="19"/>
        <v/>
      </c>
    </row>
    <row r="66" spans="1:49" x14ac:dyDescent="0.25">
      <c r="A66" s="264"/>
      <c r="B66" s="265"/>
      <c r="C66" s="265"/>
      <c r="D66" s="265"/>
      <c r="E66" s="266"/>
      <c r="F66" s="270"/>
      <c r="G66" s="271"/>
      <c r="H66" s="310"/>
      <c r="I66" s="270"/>
      <c r="J66" s="271"/>
      <c r="K66" s="272"/>
      <c r="L66" s="308"/>
      <c r="M66" s="271"/>
      <c r="N66" s="310"/>
      <c r="O66" s="270"/>
      <c r="P66" s="271"/>
      <c r="Q66" s="272"/>
      <c r="R66" s="272"/>
      <c r="S66" s="318"/>
      <c r="T66" s="306"/>
      <c r="U66" s="84" t="str">
        <f t="shared" si="20"/>
        <v/>
      </c>
      <c r="V66" s="84" t="str">
        <f t="shared" si="15"/>
        <v/>
      </c>
      <c r="W66" s="93" t="str">
        <f t="shared" si="21"/>
        <v/>
      </c>
      <c r="X66" s="100" t="str">
        <f t="shared" si="22"/>
        <v/>
      </c>
      <c r="Y66" s="95" t="str">
        <f t="shared" si="23"/>
        <v/>
      </c>
      <c r="Z66" s="95" t="str">
        <f t="shared" si="24"/>
        <v/>
      </c>
      <c r="AA66" s="98" t="str">
        <f>IFERROR(X66*Y66*Assumptions!$B$15/3956,"")</f>
        <v/>
      </c>
      <c r="AB66" s="100" t="str">
        <f t="shared" si="16"/>
        <v/>
      </c>
      <c r="AC66" s="95" t="str">
        <f t="shared" si="17"/>
        <v/>
      </c>
      <c r="AD66" s="95" t="str">
        <f t="shared" si="25"/>
        <v/>
      </c>
      <c r="AE66" s="100" t="str">
        <f t="shared" si="26"/>
        <v/>
      </c>
      <c r="AF66" s="95" t="str">
        <f t="shared" si="27"/>
        <v/>
      </c>
      <c r="AG66" s="98" t="str">
        <f t="shared" si="28"/>
        <v/>
      </c>
      <c r="AH66" s="100" t="str">
        <f t="shared" si="29"/>
        <v/>
      </c>
      <c r="AI66" s="95" t="str">
        <f t="shared" si="30"/>
        <v/>
      </c>
      <c r="AJ66" s="98" t="str">
        <f t="shared" si="31"/>
        <v/>
      </c>
      <c r="AK66" s="94" t="str">
        <f t="shared" si="32"/>
        <v/>
      </c>
      <c r="AL66" s="96" t="str">
        <f t="shared" si="33"/>
        <v/>
      </c>
      <c r="AM66" s="244" t="str">
        <f>IFERROR(
IF(C66="VTS",
IF(T66&gt;=AVERAGE(
INDEX(Assumptions!$I$38:$I$57,MATCH(T66,Assumptions!$I$38:$I$57,-1)),
INDEX(Assumptions!$I$38:$I$57,MATCH(T66,Assumptions!$I$38:$I$57,-1)+1)),
INDEX(Assumptions!$I$38:$I$57,MATCH(T66,Assumptions!$I$38:$I$57,-1)),
INDEX(Assumptions!$I$38:$I$57,MATCH(T66,Assumptions!$I$38:$I$57,-1)+1)),
IF(T66&gt;=AVERAGE(
INDEX(Assumptions!$I$13:$I$32,MATCH(T66,Assumptions!$I$13:$I$32,-1)),
INDEX(Assumptions!$I$13:$I$32,MATCH(T66,Assumptions!$I$13:$I$32,-1)+1)),
INDEX(Assumptions!$I$13:$I$32,MATCH(T66,Assumptions!$I$13:$I$32,-1)),
INDEX(Assumptions!$I$13:$I$32,MATCH(T66,Assumptions!$I$13:$I$32,-1)+1))),
"")</f>
        <v/>
      </c>
      <c r="AN66" s="95" t="str">
        <f>IFERROR(
IF(C66="VTS",
VLOOKUP(AM66,Assumptions!$I$38:$K$57,MATCH(U66,Assumptions!$I$37:$K$37,0),FALSE),
VLOOKUP(AM66,Assumptions!$I$13:$K$32,MATCH(U66,Assumptions!$I$12:$K$12,0),FALSE)),
"")</f>
        <v/>
      </c>
      <c r="AO66" s="95" t="str">
        <f t="shared" si="34"/>
        <v/>
      </c>
      <c r="AP66" s="95" t="str">
        <f>IFERROR(AO66*
(Assumptions!$S$7*(AA66/(AS66*Assumptions!$AB$9/100)/T66)^3+
Assumptions!$S$8*(AA66/(AS66*Assumptions!$AB$9/100)/T66)^2+
Assumptions!$S$9*(AA66/(AS66*Assumptions!$AB$9/100)/T66)+
Assumptions!$S$10),"")</f>
        <v/>
      </c>
      <c r="AQ66" s="95" t="str">
        <f>IFERROR(AO66*
(Assumptions!$S$7*(AK66/(AS66*Assumptions!$AB$8/100)/T66)^3+
Assumptions!$S$8*(AK66/(AS66*Assumptions!$AB$8/100)/T66)^2+
Assumptions!$S$9*(AK66/(AS66*Assumptions!$AB$8/100)/T66)+
Assumptions!$S$10),"")</f>
        <v/>
      </c>
      <c r="AR66" s="95" t="str">
        <f>IFERROR(AO66*
(Assumptions!$S$7*(AL66/(AS66*Assumptions!$AB$10/100)/T66)^3+
Assumptions!$S$8*(AL66/(AS66*Assumptions!$AB$10/100)/T66)^2+
Assumptions!$S$9*(AL66/(AS66*Assumptions!$AB$10/100)/T66)+
Assumptions!$S$10),"")</f>
        <v/>
      </c>
      <c r="AS66" s="95" t="str">
        <f>IFERROR(
Assumptions!$AD$8*LN(X66)^2+
Assumptions!$AE$8*LN(W66)*LN(X66)+
Assumptions!$AF$8*LN(W66)^2+
Assumptions!$AG$8*LN(X66)+
Assumptions!$AH$8*LN(W66)-
(IF(V66=1800,
VLOOKUP(C66,Assumptions!$AA$13:$AC$17,3),
IF(V66=3600,
VLOOKUP(C66,Assumptions!$AA$18:$AC$22,3),""))+Assumptions!$AI$8),
"")</f>
        <v/>
      </c>
      <c r="AT66" s="96" t="str">
        <f>IFERROR(
Assumptions!$D$11*(AA66/(Assumptions!$AB$9*AS66/100)+AP66)+
Assumptions!$D$10*(AK66/(Assumptions!$AB$8*AS66/100)+AQ66)+
Assumptions!$D$12*(AL66/(Assumptions!$AB$10*AS66/100)+AR66),
"")</f>
        <v/>
      </c>
      <c r="AU66" s="76" t="str">
        <f>IFERROR(
Z66*Assumptions!$F$11+
AD66*Assumptions!$F$10+
AG66*Assumptions!$F$9+
AJ66*Assumptions!$F$8,
"")</f>
        <v/>
      </c>
      <c r="AV66" s="77" t="str">
        <f t="shared" si="18"/>
        <v/>
      </c>
      <c r="AW66" s="68" t="str">
        <f t="shared" si="19"/>
        <v/>
      </c>
    </row>
    <row r="67" spans="1:49" x14ac:dyDescent="0.25">
      <c r="A67" s="264"/>
      <c r="B67" s="265"/>
      <c r="C67" s="265"/>
      <c r="D67" s="265"/>
      <c r="E67" s="266"/>
      <c r="F67" s="270"/>
      <c r="G67" s="271"/>
      <c r="H67" s="310"/>
      <c r="I67" s="270"/>
      <c r="J67" s="271"/>
      <c r="K67" s="272"/>
      <c r="L67" s="308"/>
      <c r="M67" s="271"/>
      <c r="N67" s="310"/>
      <c r="O67" s="270"/>
      <c r="P67" s="271"/>
      <c r="Q67" s="272"/>
      <c r="R67" s="272"/>
      <c r="S67" s="318"/>
      <c r="T67" s="306"/>
      <c r="U67" s="84" t="str">
        <f t="shared" si="20"/>
        <v/>
      </c>
      <c r="V67" s="84" t="str">
        <f t="shared" si="15"/>
        <v/>
      </c>
      <c r="W67" s="93" t="str">
        <f t="shared" si="21"/>
        <v/>
      </c>
      <c r="X67" s="100" t="str">
        <f t="shared" si="22"/>
        <v/>
      </c>
      <c r="Y67" s="95" t="str">
        <f t="shared" si="23"/>
        <v/>
      </c>
      <c r="Z67" s="95" t="str">
        <f t="shared" si="24"/>
        <v/>
      </c>
      <c r="AA67" s="98" t="str">
        <f>IFERROR(X67*Y67*Assumptions!$B$15/3956,"")</f>
        <v/>
      </c>
      <c r="AB67" s="100" t="str">
        <f t="shared" si="16"/>
        <v/>
      </c>
      <c r="AC67" s="95" t="str">
        <f t="shared" si="17"/>
        <v/>
      </c>
      <c r="AD67" s="95" t="str">
        <f t="shared" si="25"/>
        <v/>
      </c>
      <c r="AE67" s="100" t="str">
        <f t="shared" si="26"/>
        <v/>
      </c>
      <c r="AF67" s="95" t="str">
        <f t="shared" si="27"/>
        <v/>
      </c>
      <c r="AG67" s="98" t="str">
        <f t="shared" si="28"/>
        <v/>
      </c>
      <c r="AH67" s="100" t="str">
        <f t="shared" si="29"/>
        <v/>
      </c>
      <c r="AI67" s="95" t="str">
        <f t="shared" si="30"/>
        <v/>
      </c>
      <c r="AJ67" s="98" t="str">
        <f t="shared" si="31"/>
        <v/>
      </c>
      <c r="AK67" s="94" t="str">
        <f t="shared" si="32"/>
        <v/>
      </c>
      <c r="AL67" s="96" t="str">
        <f t="shared" si="33"/>
        <v/>
      </c>
      <c r="AM67" s="244" t="str">
        <f>IFERROR(
IF(C67="VTS",
IF(T67&gt;=AVERAGE(
INDEX(Assumptions!$I$38:$I$57,MATCH(T67,Assumptions!$I$38:$I$57,-1)),
INDEX(Assumptions!$I$38:$I$57,MATCH(T67,Assumptions!$I$38:$I$57,-1)+1)),
INDEX(Assumptions!$I$38:$I$57,MATCH(T67,Assumptions!$I$38:$I$57,-1)),
INDEX(Assumptions!$I$38:$I$57,MATCH(T67,Assumptions!$I$38:$I$57,-1)+1)),
IF(T67&gt;=AVERAGE(
INDEX(Assumptions!$I$13:$I$32,MATCH(T67,Assumptions!$I$13:$I$32,-1)),
INDEX(Assumptions!$I$13:$I$32,MATCH(T67,Assumptions!$I$13:$I$32,-1)+1)),
INDEX(Assumptions!$I$13:$I$32,MATCH(T67,Assumptions!$I$13:$I$32,-1)),
INDEX(Assumptions!$I$13:$I$32,MATCH(T67,Assumptions!$I$13:$I$32,-1)+1))),
"")</f>
        <v/>
      </c>
      <c r="AN67" s="95" t="str">
        <f>IFERROR(
IF(C67="VTS",
VLOOKUP(AM67,Assumptions!$I$38:$K$57,MATCH(U67,Assumptions!$I$37:$K$37,0),FALSE),
VLOOKUP(AM67,Assumptions!$I$13:$K$32,MATCH(U67,Assumptions!$I$12:$K$12,0),FALSE)),
"")</f>
        <v/>
      </c>
      <c r="AO67" s="95" t="str">
        <f t="shared" si="34"/>
        <v/>
      </c>
      <c r="AP67" s="95" t="str">
        <f>IFERROR(AO67*
(Assumptions!$S$7*(AA67/(AS67*Assumptions!$AB$9/100)/T67)^3+
Assumptions!$S$8*(AA67/(AS67*Assumptions!$AB$9/100)/T67)^2+
Assumptions!$S$9*(AA67/(AS67*Assumptions!$AB$9/100)/T67)+
Assumptions!$S$10),"")</f>
        <v/>
      </c>
      <c r="AQ67" s="95" t="str">
        <f>IFERROR(AO67*
(Assumptions!$S$7*(AK67/(AS67*Assumptions!$AB$8/100)/T67)^3+
Assumptions!$S$8*(AK67/(AS67*Assumptions!$AB$8/100)/T67)^2+
Assumptions!$S$9*(AK67/(AS67*Assumptions!$AB$8/100)/T67)+
Assumptions!$S$10),"")</f>
        <v/>
      </c>
      <c r="AR67" s="95" t="str">
        <f>IFERROR(AO67*
(Assumptions!$S$7*(AL67/(AS67*Assumptions!$AB$10/100)/T67)^3+
Assumptions!$S$8*(AL67/(AS67*Assumptions!$AB$10/100)/T67)^2+
Assumptions!$S$9*(AL67/(AS67*Assumptions!$AB$10/100)/T67)+
Assumptions!$S$10),"")</f>
        <v/>
      </c>
      <c r="AS67" s="95" t="str">
        <f>IFERROR(
Assumptions!$AD$8*LN(X67)^2+
Assumptions!$AE$8*LN(W67)*LN(X67)+
Assumptions!$AF$8*LN(W67)^2+
Assumptions!$AG$8*LN(X67)+
Assumptions!$AH$8*LN(W67)-
(IF(V67=1800,
VLOOKUP(C67,Assumptions!$AA$13:$AC$17,3),
IF(V67=3600,
VLOOKUP(C67,Assumptions!$AA$18:$AC$22,3),""))+Assumptions!$AI$8),
"")</f>
        <v/>
      </c>
      <c r="AT67" s="96" t="str">
        <f>IFERROR(
Assumptions!$D$11*(AA67/(Assumptions!$AB$9*AS67/100)+AP67)+
Assumptions!$D$10*(AK67/(Assumptions!$AB$8*AS67/100)+AQ67)+
Assumptions!$D$12*(AL67/(Assumptions!$AB$10*AS67/100)+AR67),
"")</f>
        <v/>
      </c>
      <c r="AU67" s="76" t="str">
        <f>IFERROR(
Z67*Assumptions!$F$11+
AD67*Assumptions!$F$10+
AG67*Assumptions!$F$9+
AJ67*Assumptions!$F$8,
"")</f>
        <v/>
      </c>
      <c r="AV67" s="77" t="str">
        <f t="shared" si="18"/>
        <v/>
      </c>
      <c r="AW67" s="68" t="str">
        <f t="shared" si="19"/>
        <v/>
      </c>
    </row>
    <row r="68" spans="1:49" x14ac:dyDescent="0.25">
      <c r="A68" s="264"/>
      <c r="B68" s="265"/>
      <c r="C68" s="265"/>
      <c r="D68" s="265"/>
      <c r="E68" s="266"/>
      <c r="F68" s="270"/>
      <c r="G68" s="271"/>
      <c r="H68" s="310"/>
      <c r="I68" s="270"/>
      <c r="J68" s="271"/>
      <c r="K68" s="272"/>
      <c r="L68" s="308"/>
      <c r="M68" s="271"/>
      <c r="N68" s="310"/>
      <c r="O68" s="270"/>
      <c r="P68" s="271"/>
      <c r="Q68" s="272"/>
      <c r="R68" s="272"/>
      <c r="S68" s="318"/>
      <c r="T68" s="306"/>
      <c r="U68" s="84" t="str">
        <f t="shared" si="20"/>
        <v/>
      </c>
      <c r="V68" s="84" t="str">
        <f t="shared" si="15"/>
        <v/>
      </c>
      <c r="W68" s="93" t="str">
        <f t="shared" si="21"/>
        <v/>
      </c>
      <c r="X68" s="100" t="str">
        <f t="shared" si="22"/>
        <v/>
      </c>
      <c r="Y68" s="95" t="str">
        <f t="shared" si="23"/>
        <v/>
      </c>
      <c r="Z68" s="95" t="str">
        <f t="shared" si="24"/>
        <v/>
      </c>
      <c r="AA68" s="98" t="str">
        <f>IFERROR(X68*Y68*Assumptions!$B$15/3956,"")</f>
        <v/>
      </c>
      <c r="AB68" s="100" t="str">
        <f t="shared" si="16"/>
        <v/>
      </c>
      <c r="AC68" s="95" t="str">
        <f t="shared" si="17"/>
        <v/>
      </c>
      <c r="AD68" s="95" t="str">
        <f t="shared" si="25"/>
        <v/>
      </c>
      <c r="AE68" s="100" t="str">
        <f t="shared" si="26"/>
        <v/>
      </c>
      <c r="AF68" s="95" t="str">
        <f t="shared" si="27"/>
        <v/>
      </c>
      <c r="AG68" s="98" t="str">
        <f t="shared" si="28"/>
        <v/>
      </c>
      <c r="AH68" s="100" t="str">
        <f t="shared" si="29"/>
        <v/>
      </c>
      <c r="AI68" s="95" t="str">
        <f t="shared" si="30"/>
        <v/>
      </c>
      <c r="AJ68" s="98" t="str">
        <f t="shared" si="31"/>
        <v/>
      </c>
      <c r="AK68" s="94" t="str">
        <f t="shared" si="32"/>
        <v/>
      </c>
      <c r="AL68" s="96" t="str">
        <f t="shared" si="33"/>
        <v/>
      </c>
      <c r="AM68" s="244" t="str">
        <f>IFERROR(
IF(C68="VTS",
IF(T68&gt;=AVERAGE(
INDEX(Assumptions!$I$38:$I$57,MATCH(T68,Assumptions!$I$38:$I$57,-1)),
INDEX(Assumptions!$I$38:$I$57,MATCH(T68,Assumptions!$I$38:$I$57,-1)+1)),
INDEX(Assumptions!$I$38:$I$57,MATCH(T68,Assumptions!$I$38:$I$57,-1)),
INDEX(Assumptions!$I$38:$I$57,MATCH(T68,Assumptions!$I$38:$I$57,-1)+1)),
IF(T68&gt;=AVERAGE(
INDEX(Assumptions!$I$13:$I$32,MATCH(T68,Assumptions!$I$13:$I$32,-1)),
INDEX(Assumptions!$I$13:$I$32,MATCH(T68,Assumptions!$I$13:$I$32,-1)+1)),
INDEX(Assumptions!$I$13:$I$32,MATCH(T68,Assumptions!$I$13:$I$32,-1)),
INDEX(Assumptions!$I$13:$I$32,MATCH(T68,Assumptions!$I$13:$I$32,-1)+1))),
"")</f>
        <v/>
      </c>
      <c r="AN68" s="95" t="str">
        <f>IFERROR(
IF(C68="VTS",
VLOOKUP(AM68,Assumptions!$I$38:$K$57,MATCH(U68,Assumptions!$I$37:$K$37,0),FALSE),
VLOOKUP(AM68,Assumptions!$I$13:$K$32,MATCH(U68,Assumptions!$I$12:$K$12,0),FALSE)),
"")</f>
        <v/>
      </c>
      <c r="AO68" s="95" t="str">
        <f t="shared" si="34"/>
        <v/>
      </c>
      <c r="AP68" s="95" t="str">
        <f>IFERROR(AO68*
(Assumptions!$S$7*(AA68/(AS68*Assumptions!$AB$9/100)/T68)^3+
Assumptions!$S$8*(AA68/(AS68*Assumptions!$AB$9/100)/T68)^2+
Assumptions!$S$9*(AA68/(AS68*Assumptions!$AB$9/100)/T68)+
Assumptions!$S$10),"")</f>
        <v/>
      </c>
      <c r="AQ68" s="95" t="str">
        <f>IFERROR(AO68*
(Assumptions!$S$7*(AK68/(AS68*Assumptions!$AB$8/100)/T68)^3+
Assumptions!$S$8*(AK68/(AS68*Assumptions!$AB$8/100)/T68)^2+
Assumptions!$S$9*(AK68/(AS68*Assumptions!$AB$8/100)/T68)+
Assumptions!$S$10),"")</f>
        <v/>
      </c>
      <c r="AR68" s="95" t="str">
        <f>IFERROR(AO68*
(Assumptions!$S$7*(AL68/(AS68*Assumptions!$AB$10/100)/T68)^3+
Assumptions!$S$8*(AL68/(AS68*Assumptions!$AB$10/100)/T68)^2+
Assumptions!$S$9*(AL68/(AS68*Assumptions!$AB$10/100)/T68)+
Assumptions!$S$10),"")</f>
        <v/>
      </c>
      <c r="AS68" s="95" t="str">
        <f>IFERROR(
Assumptions!$AD$8*LN(X68)^2+
Assumptions!$AE$8*LN(W68)*LN(X68)+
Assumptions!$AF$8*LN(W68)^2+
Assumptions!$AG$8*LN(X68)+
Assumptions!$AH$8*LN(W68)-
(IF(V68=1800,
VLOOKUP(C68,Assumptions!$AA$13:$AC$17,3),
IF(V68=3600,
VLOOKUP(C68,Assumptions!$AA$18:$AC$22,3),""))+Assumptions!$AI$8),
"")</f>
        <v/>
      </c>
      <c r="AT68" s="96" t="str">
        <f>IFERROR(
Assumptions!$D$11*(AA68/(Assumptions!$AB$9*AS68/100)+AP68)+
Assumptions!$D$10*(AK68/(Assumptions!$AB$8*AS68/100)+AQ68)+
Assumptions!$D$12*(AL68/(Assumptions!$AB$10*AS68/100)+AR68),
"")</f>
        <v/>
      </c>
      <c r="AU68" s="76" t="str">
        <f>IFERROR(
Z68*Assumptions!$F$11+
AD68*Assumptions!$F$10+
AG68*Assumptions!$F$9+
AJ68*Assumptions!$F$8,
"")</f>
        <v/>
      </c>
      <c r="AV68" s="77" t="str">
        <f t="shared" si="18"/>
        <v/>
      </c>
      <c r="AW68" s="68" t="str">
        <f t="shared" si="19"/>
        <v/>
      </c>
    </row>
    <row r="69" spans="1:49" x14ac:dyDescent="0.25">
      <c r="A69" s="264"/>
      <c r="B69" s="265"/>
      <c r="C69" s="265"/>
      <c r="D69" s="265"/>
      <c r="E69" s="266"/>
      <c r="F69" s="270"/>
      <c r="G69" s="271"/>
      <c r="H69" s="310"/>
      <c r="I69" s="270"/>
      <c r="J69" s="271"/>
      <c r="K69" s="272"/>
      <c r="L69" s="308"/>
      <c r="M69" s="271"/>
      <c r="N69" s="310"/>
      <c r="O69" s="270"/>
      <c r="P69" s="271"/>
      <c r="Q69" s="272"/>
      <c r="R69" s="272"/>
      <c r="S69" s="318"/>
      <c r="T69" s="306"/>
      <c r="U69" s="84" t="str">
        <f t="shared" si="20"/>
        <v/>
      </c>
      <c r="V69" s="84" t="str">
        <f t="shared" si="15"/>
        <v/>
      </c>
      <c r="W69" s="93" t="str">
        <f t="shared" si="21"/>
        <v/>
      </c>
      <c r="X69" s="100" t="str">
        <f t="shared" si="22"/>
        <v/>
      </c>
      <c r="Y69" s="95" t="str">
        <f t="shared" si="23"/>
        <v/>
      </c>
      <c r="Z69" s="95" t="str">
        <f t="shared" si="24"/>
        <v/>
      </c>
      <c r="AA69" s="98" t="str">
        <f>IFERROR(X69*Y69*Assumptions!$B$15/3956,"")</f>
        <v/>
      </c>
      <c r="AB69" s="100" t="str">
        <f t="shared" si="16"/>
        <v/>
      </c>
      <c r="AC69" s="95" t="str">
        <f t="shared" si="17"/>
        <v/>
      </c>
      <c r="AD69" s="95" t="str">
        <f t="shared" si="25"/>
        <v/>
      </c>
      <c r="AE69" s="100" t="str">
        <f t="shared" si="26"/>
        <v/>
      </c>
      <c r="AF69" s="95" t="str">
        <f t="shared" si="27"/>
        <v/>
      </c>
      <c r="AG69" s="98" t="str">
        <f t="shared" si="28"/>
        <v/>
      </c>
      <c r="AH69" s="100" t="str">
        <f t="shared" si="29"/>
        <v/>
      </c>
      <c r="AI69" s="95" t="str">
        <f t="shared" si="30"/>
        <v/>
      </c>
      <c r="AJ69" s="98" t="str">
        <f t="shared" si="31"/>
        <v/>
      </c>
      <c r="AK69" s="94" t="str">
        <f t="shared" si="32"/>
        <v/>
      </c>
      <c r="AL69" s="96" t="str">
        <f t="shared" si="33"/>
        <v/>
      </c>
      <c r="AM69" s="244" t="str">
        <f>IFERROR(
IF(C69="VTS",
IF(T69&gt;=AVERAGE(
INDEX(Assumptions!$I$38:$I$57,MATCH(T69,Assumptions!$I$38:$I$57,-1)),
INDEX(Assumptions!$I$38:$I$57,MATCH(T69,Assumptions!$I$38:$I$57,-1)+1)),
INDEX(Assumptions!$I$38:$I$57,MATCH(T69,Assumptions!$I$38:$I$57,-1)),
INDEX(Assumptions!$I$38:$I$57,MATCH(T69,Assumptions!$I$38:$I$57,-1)+1)),
IF(T69&gt;=AVERAGE(
INDEX(Assumptions!$I$13:$I$32,MATCH(T69,Assumptions!$I$13:$I$32,-1)),
INDEX(Assumptions!$I$13:$I$32,MATCH(T69,Assumptions!$I$13:$I$32,-1)+1)),
INDEX(Assumptions!$I$13:$I$32,MATCH(T69,Assumptions!$I$13:$I$32,-1)),
INDEX(Assumptions!$I$13:$I$32,MATCH(T69,Assumptions!$I$13:$I$32,-1)+1))),
"")</f>
        <v/>
      </c>
      <c r="AN69" s="95" t="str">
        <f>IFERROR(
IF(C69="VTS",
VLOOKUP(AM69,Assumptions!$I$38:$K$57,MATCH(U69,Assumptions!$I$37:$K$37,0),FALSE),
VLOOKUP(AM69,Assumptions!$I$13:$K$32,MATCH(U69,Assumptions!$I$12:$K$12,0),FALSE)),
"")</f>
        <v/>
      </c>
      <c r="AO69" s="95" t="str">
        <f t="shared" si="34"/>
        <v/>
      </c>
      <c r="AP69" s="95" t="str">
        <f>IFERROR(AO69*
(Assumptions!$S$7*(AA69/(AS69*Assumptions!$AB$9/100)/T69)^3+
Assumptions!$S$8*(AA69/(AS69*Assumptions!$AB$9/100)/T69)^2+
Assumptions!$S$9*(AA69/(AS69*Assumptions!$AB$9/100)/T69)+
Assumptions!$S$10),"")</f>
        <v/>
      </c>
      <c r="AQ69" s="95" t="str">
        <f>IFERROR(AO69*
(Assumptions!$S$7*(AK69/(AS69*Assumptions!$AB$8/100)/T69)^3+
Assumptions!$S$8*(AK69/(AS69*Assumptions!$AB$8/100)/T69)^2+
Assumptions!$S$9*(AK69/(AS69*Assumptions!$AB$8/100)/T69)+
Assumptions!$S$10),"")</f>
        <v/>
      </c>
      <c r="AR69" s="95" t="str">
        <f>IFERROR(AO69*
(Assumptions!$S$7*(AL69/(AS69*Assumptions!$AB$10/100)/T69)^3+
Assumptions!$S$8*(AL69/(AS69*Assumptions!$AB$10/100)/T69)^2+
Assumptions!$S$9*(AL69/(AS69*Assumptions!$AB$10/100)/T69)+
Assumptions!$S$10),"")</f>
        <v/>
      </c>
      <c r="AS69" s="95" t="str">
        <f>IFERROR(
Assumptions!$AD$8*LN(X69)^2+
Assumptions!$AE$8*LN(W69)*LN(X69)+
Assumptions!$AF$8*LN(W69)^2+
Assumptions!$AG$8*LN(X69)+
Assumptions!$AH$8*LN(W69)-
(IF(V69=1800,
VLOOKUP(C69,Assumptions!$AA$13:$AC$17,3),
IF(V69=3600,
VLOOKUP(C69,Assumptions!$AA$18:$AC$22,3),""))+Assumptions!$AI$8),
"")</f>
        <v/>
      </c>
      <c r="AT69" s="96" t="str">
        <f>IFERROR(
Assumptions!$D$11*(AA69/(Assumptions!$AB$9*AS69/100)+AP69)+
Assumptions!$D$10*(AK69/(Assumptions!$AB$8*AS69/100)+AQ69)+
Assumptions!$D$12*(AL69/(Assumptions!$AB$10*AS69/100)+AR69),
"")</f>
        <v/>
      </c>
      <c r="AU69" s="76" t="str">
        <f>IFERROR(
Z69*Assumptions!$F$11+
AD69*Assumptions!$F$10+
AG69*Assumptions!$F$9+
AJ69*Assumptions!$F$8,
"")</f>
        <v/>
      </c>
      <c r="AV69" s="77" t="str">
        <f t="shared" si="18"/>
        <v/>
      </c>
      <c r="AW69" s="68" t="str">
        <f t="shared" si="19"/>
        <v/>
      </c>
    </row>
    <row r="70" spans="1:49" x14ac:dyDescent="0.25">
      <c r="A70" s="264"/>
      <c r="B70" s="265"/>
      <c r="C70" s="265"/>
      <c r="D70" s="265"/>
      <c r="E70" s="266"/>
      <c r="F70" s="270"/>
      <c r="G70" s="271"/>
      <c r="H70" s="310"/>
      <c r="I70" s="270"/>
      <c r="J70" s="271"/>
      <c r="K70" s="272"/>
      <c r="L70" s="308"/>
      <c r="M70" s="271"/>
      <c r="N70" s="310"/>
      <c r="O70" s="270"/>
      <c r="P70" s="271"/>
      <c r="Q70" s="272"/>
      <c r="R70" s="272"/>
      <c r="S70" s="318"/>
      <c r="T70" s="306"/>
      <c r="U70" s="84" t="str">
        <f t="shared" si="20"/>
        <v/>
      </c>
      <c r="V70" s="84" t="str">
        <f t="shared" si="15"/>
        <v/>
      </c>
      <c r="W70" s="93" t="str">
        <f t="shared" si="21"/>
        <v/>
      </c>
      <c r="X70" s="100" t="str">
        <f t="shared" si="22"/>
        <v/>
      </c>
      <c r="Y70" s="95" t="str">
        <f t="shared" si="23"/>
        <v/>
      </c>
      <c r="Z70" s="95" t="str">
        <f t="shared" si="24"/>
        <v/>
      </c>
      <c r="AA70" s="98" t="str">
        <f>IFERROR(X70*Y70*Assumptions!$B$15/3956,"")</f>
        <v/>
      </c>
      <c r="AB70" s="100" t="str">
        <f t="shared" si="16"/>
        <v/>
      </c>
      <c r="AC70" s="95" t="str">
        <f t="shared" si="17"/>
        <v/>
      </c>
      <c r="AD70" s="95" t="str">
        <f t="shared" si="25"/>
        <v/>
      </c>
      <c r="AE70" s="100" t="str">
        <f t="shared" si="26"/>
        <v/>
      </c>
      <c r="AF70" s="95" t="str">
        <f t="shared" si="27"/>
        <v/>
      </c>
      <c r="AG70" s="98" t="str">
        <f t="shared" si="28"/>
        <v/>
      </c>
      <c r="AH70" s="100" t="str">
        <f t="shared" si="29"/>
        <v/>
      </c>
      <c r="AI70" s="95" t="str">
        <f t="shared" si="30"/>
        <v/>
      </c>
      <c r="AJ70" s="98" t="str">
        <f t="shared" si="31"/>
        <v/>
      </c>
      <c r="AK70" s="94" t="str">
        <f t="shared" si="32"/>
        <v/>
      </c>
      <c r="AL70" s="96" t="str">
        <f t="shared" si="33"/>
        <v/>
      </c>
      <c r="AM70" s="244" t="str">
        <f>IFERROR(
IF(C70="VTS",
IF(T70&gt;=AVERAGE(
INDEX(Assumptions!$I$38:$I$57,MATCH(T70,Assumptions!$I$38:$I$57,-1)),
INDEX(Assumptions!$I$38:$I$57,MATCH(T70,Assumptions!$I$38:$I$57,-1)+1)),
INDEX(Assumptions!$I$38:$I$57,MATCH(T70,Assumptions!$I$38:$I$57,-1)),
INDEX(Assumptions!$I$38:$I$57,MATCH(T70,Assumptions!$I$38:$I$57,-1)+1)),
IF(T70&gt;=AVERAGE(
INDEX(Assumptions!$I$13:$I$32,MATCH(T70,Assumptions!$I$13:$I$32,-1)),
INDEX(Assumptions!$I$13:$I$32,MATCH(T70,Assumptions!$I$13:$I$32,-1)+1)),
INDEX(Assumptions!$I$13:$I$32,MATCH(T70,Assumptions!$I$13:$I$32,-1)),
INDEX(Assumptions!$I$13:$I$32,MATCH(T70,Assumptions!$I$13:$I$32,-1)+1))),
"")</f>
        <v/>
      </c>
      <c r="AN70" s="95" t="str">
        <f>IFERROR(
IF(C70="VTS",
VLOOKUP(AM70,Assumptions!$I$38:$K$57,MATCH(U70,Assumptions!$I$37:$K$37,0),FALSE),
VLOOKUP(AM70,Assumptions!$I$13:$K$32,MATCH(U70,Assumptions!$I$12:$K$12,0),FALSE)),
"")</f>
        <v/>
      </c>
      <c r="AO70" s="95" t="str">
        <f t="shared" si="34"/>
        <v/>
      </c>
      <c r="AP70" s="95" t="str">
        <f>IFERROR(AO70*
(Assumptions!$S$7*(AA70/(AS70*Assumptions!$AB$9/100)/T70)^3+
Assumptions!$S$8*(AA70/(AS70*Assumptions!$AB$9/100)/T70)^2+
Assumptions!$S$9*(AA70/(AS70*Assumptions!$AB$9/100)/T70)+
Assumptions!$S$10),"")</f>
        <v/>
      </c>
      <c r="AQ70" s="95" t="str">
        <f>IFERROR(AO70*
(Assumptions!$S$7*(AK70/(AS70*Assumptions!$AB$8/100)/T70)^3+
Assumptions!$S$8*(AK70/(AS70*Assumptions!$AB$8/100)/T70)^2+
Assumptions!$S$9*(AK70/(AS70*Assumptions!$AB$8/100)/T70)+
Assumptions!$S$10),"")</f>
        <v/>
      </c>
      <c r="AR70" s="95" t="str">
        <f>IFERROR(AO70*
(Assumptions!$S$7*(AL70/(AS70*Assumptions!$AB$10/100)/T70)^3+
Assumptions!$S$8*(AL70/(AS70*Assumptions!$AB$10/100)/T70)^2+
Assumptions!$S$9*(AL70/(AS70*Assumptions!$AB$10/100)/T70)+
Assumptions!$S$10),"")</f>
        <v/>
      </c>
      <c r="AS70" s="95" t="str">
        <f>IFERROR(
Assumptions!$AD$8*LN(X70)^2+
Assumptions!$AE$8*LN(W70)*LN(X70)+
Assumptions!$AF$8*LN(W70)^2+
Assumptions!$AG$8*LN(X70)+
Assumptions!$AH$8*LN(W70)-
(IF(V70=1800,
VLOOKUP(C70,Assumptions!$AA$13:$AC$17,3),
IF(V70=3600,
VLOOKUP(C70,Assumptions!$AA$18:$AC$22,3),""))+Assumptions!$AI$8),
"")</f>
        <v/>
      </c>
      <c r="AT70" s="96" t="str">
        <f>IFERROR(
Assumptions!$D$11*(AA70/(Assumptions!$AB$9*AS70/100)+AP70)+
Assumptions!$D$10*(AK70/(Assumptions!$AB$8*AS70/100)+AQ70)+
Assumptions!$D$12*(AL70/(Assumptions!$AB$10*AS70/100)+AR70),
"")</f>
        <v/>
      </c>
      <c r="AU70" s="76" t="str">
        <f>IFERROR(
Z70*Assumptions!$F$11+
AD70*Assumptions!$F$10+
AG70*Assumptions!$F$9+
AJ70*Assumptions!$F$8,
"")</f>
        <v/>
      </c>
      <c r="AV70" s="77" t="str">
        <f t="shared" si="18"/>
        <v/>
      </c>
      <c r="AW70" s="68" t="str">
        <f t="shared" si="19"/>
        <v/>
      </c>
    </row>
    <row r="71" spans="1:49" x14ac:dyDescent="0.25">
      <c r="A71" s="264"/>
      <c r="B71" s="265"/>
      <c r="C71" s="265"/>
      <c r="D71" s="265"/>
      <c r="E71" s="266"/>
      <c r="F71" s="270"/>
      <c r="G71" s="271"/>
      <c r="H71" s="310"/>
      <c r="I71" s="270"/>
      <c r="J71" s="271"/>
      <c r="K71" s="272"/>
      <c r="L71" s="308"/>
      <c r="M71" s="271"/>
      <c r="N71" s="310"/>
      <c r="O71" s="270"/>
      <c r="P71" s="271"/>
      <c r="Q71" s="272"/>
      <c r="R71" s="272"/>
      <c r="S71" s="318"/>
      <c r="T71" s="306"/>
      <c r="U71" s="84" t="str">
        <f t="shared" si="20"/>
        <v/>
      </c>
      <c r="V71" s="84" t="str">
        <f t="shared" si="15"/>
        <v/>
      </c>
      <c r="W71" s="93" t="str">
        <f t="shared" si="21"/>
        <v/>
      </c>
      <c r="X71" s="100" t="str">
        <f t="shared" si="22"/>
        <v/>
      </c>
      <c r="Y71" s="95" t="str">
        <f t="shared" si="23"/>
        <v/>
      </c>
      <c r="Z71" s="95" t="str">
        <f t="shared" si="24"/>
        <v/>
      </c>
      <c r="AA71" s="98" t="str">
        <f>IFERROR(X71*Y71*Assumptions!$B$15/3956,"")</f>
        <v/>
      </c>
      <c r="AB71" s="100" t="str">
        <f t="shared" si="16"/>
        <v/>
      </c>
      <c r="AC71" s="95" t="str">
        <f t="shared" si="17"/>
        <v/>
      </c>
      <c r="AD71" s="95" t="str">
        <f t="shared" si="25"/>
        <v/>
      </c>
      <c r="AE71" s="100" t="str">
        <f t="shared" si="26"/>
        <v/>
      </c>
      <c r="AF71" s="95" t="str">
        <f t="shared" si="27"/>
        <v/>
      </c>
      <c r="AG71" s="98" t="str">
        <f t="shared" si="28"/>
        <v/>
      </c>
      <c r="AH71" s="100" t="str">
        <f t="shared" si="29"/>
        <v/>
      </c>
      <c r="AI71" s="95" t="str">
        <f t="shared" si="30"/>
        <v/>
      </c>
      <c r="AJ71" s="98" t="str">
        <f t="shared" si="31"/>
        <v/>
      </c>
      <c r="AK71" s="94" t="str">
        <f t="shared" si="32"/>
        <v/>
      </c>
      <c r="AL71" s="96" t="str">
        <f t="shared" si="33"/>
        <v/>
      </c>
      <c r="AM71" s="244" t="str">
        <f>IFERROR(
IF(C71="VTS",
IF(T71&gt;=AVERAGE(
INDEX(Assumptions!$I$38:$I$57,MATCH(T71,Assumptions!$I$38:$I$57,-1)),
INDEX(Assumptions!$I$38:$I$57,MATCH(T71,Assumptions!$I$38:$I$57,-1)+1)),
INDEX(Assumptions!$I$38:$I$57,MATCH(T71,Assumptions!$I$38:$I$57,-1)),
INDEX(Assumptions!$I$38:$I$57,MATCH(T71,Assumptions!$I$38:$I$57,-1)+1)),
IF(T71&gt;=AVERAGE(
INDEX(Assumptions!$I$13:$I$32,MATCH(T71,Assumptions!$I$13:$I$32,-1)),
INDEX(Assumptions!$I$13:$I$32,MATCH(T71,Assumptions!$I$13:$I$32,-1)+1)),
INDEX(Assumptions!$I$13:$I$32,MATCH(T71,Assumptions!$I$13:$I$32,-1)),
INDEX(Assumptions!$I$13:$I$32,MATCH(T71,Assumptions!$I$13:$I$32,-1)+1))),
"")</f>
        <v/>
      </c>
      <c r="AN71" s="95" t="str">
        <f>IFERROR(
IF(C71="VTS",
VLOOKUP(AM71,Assumptions!$I$38:$K$57,MATCH(U71,Assumptions!$I$37:$K$37,0),FALSE),
VLOOKUP(AM71,Assumptions!$I$13:$K$32,MATCH(U71,Assumptions!$I$12:$K$12,0),FALSE)),
"")</f>
        <v/>
      </c>
      <c r="AO71" s="95" t="str">
        <f t="shared" si="34"/>
        <v/>
      </c>
      <c r="AP71" s="95" t="str">
        <f>IFERROR(AO71*
(Assumptions!$S$7*(AA71/(AS71*Assumptions!$AB$9/100)/T71)^3+
Assumptions!$S$8*(AA71/(AS71*Assumptions!$AB$9/100)/T71)^2+
Assumptions!$S$9*(AA71/(AS71*Assumptions!$AB$9/100)/T71)+
Assumptions!$S$10),"")</f>
        <v/>
      </c>
      <c r="AQ71" s="95" t="str">
        <f>IFERROR(AO71*
(Assumptions!$S$7*(AK71/(AS71*Assumptions!$AB$8/100)/T71)^3+
Assumptions!$S$8*(AK71/(AS71*Assumptions!$AB$8/100)/T71)^2+
Assumptions!$S$9*(AK71/(AS71*Assumptions!$AB$8/100)/T71)+
Assumptions!$S$10),"")</f>
        <v/>
      </c>
      <c r="AR71" s="95" t="str">
        <f>IFERROR(AO71*
(Assumptions!$S$7*(AL71/(AS71*Assumptions!$AB$10/100)/T71)^3+
Assumptions!$S$8*(AL71/(AS71*Assumptions!$AB$10/100)/T71)^2+
Assumptions!$S$9*(AL71/(AS71*Assumptions!$AB$10/100)/T71)+
Assumptions!$S$10),"")</f>
        <v/>
      </c>
      <c r="AS71" s="95" t="str">
        <f>IFERROR(
Assumptions!$AD$8*LN(X71)^2+
Assumptions!$AE$8*LN(W71)*LN(X71)+
Assumptions!$AF$8*LN(W71)^2+
Assumptions!$AG$8*LN(X71)+
Assumptions!$AH$8*LN(W71)-
(IF(V71=1800,
VLOOKUP(C71,Assumptions!$AA$13:$AC$17,3),
IF(V71=3600,
VLOOKUP(C71,Assumptions!$AA$18:$AC$22,3),""))+Assumptions!$AI$8),
"")</f>
        <v/>
      </c>
      <c r="AT71" s="96" t="str">
        <f>IFERROR(
Assumptions!$D$11*(AA71/(Assumptions!$AB$9*AS71/100)+AP71)+
Assumptions!$D$10*(AK71/(Assumptions!$AB$8*AS71/100)+AQ71)+
Assumptions!$D$12*(AL71/(Assumptions!$AB$10*AS71/100)+AR71),
"")</f>
        <v/>
      </c>
      <c r="AU71" s="76" t="str">
        <f>IFERROR(
Z71*Assumptions!$F$11+
AD71*Assumptions!$F$10+
AG71*Assumptions!$F$9+
AJ71*Assumptions!$F$8,
"")</f>
        <v/>
      </c>
      <c r="AV71" s="77" t="str">
        <f t="shared" si="18"/>
        <v/>
      </c>
      <c r="AW71" s="68" t="str">
        <f t="shared" si="19"/>
        <v/>
      </c>
    </row>
    <row r="72" spans="1:49" x14ac:dyDescent="0.25">
      <c r="A72" s="264"/>
      <c r="B72" s="265"/>
      <c r="C72" s="265"/>
      <c r="D72" s="265"/>
      <c r="E72" s="266"/>
      <c r="F72" s="270"/>
      <c r="G72" s="271"/>
      <c r="H72" s="310"/>
      <c r="I72" s="270"/>
      <c r="J72" s="271"/>
      <c r="K72" s="272"/>
      <c r="L72" s="308"/>
      <c r="M72" s="271"/>
      <c r="N72" s="310"/>
      <c r="O72" s="270"/>
      <c r="P72" s="271"/>
      <c r="Q72" s="272"/>
      <c r="R72" s="272"/>
      <c r="S72" s="318"/>
      <c r="T72" s="306"/>
      <c r="U72" s="84" t="str">
        <f t="shared" si="20"/>
        <v/>
      </c>
      <c r="V72" s="84" t="str">
        <f t="shared" si="15"/>
        <v/>
      </c>
      <c r="W72" s="93" t="str">
        <f t="shared" si="21"/>
        <v/>
      </c>
      <c r="X72" s="100" t="str">
        <f t="shared" si="22"/>
        <v/>
      </c>
      <c r="Y72" s="95" t="str">
        <f t="shared" si="23"/>
        <v/>
      </c>
      <c r="Z72" s="95" t="str">
        <f t="shared" si="24"/>
        <v/>
      </c>
      <c r="AA72" s="98" t="str">
        <f>IFERROR(X72*Y72*Assumptions!$B$15/3956,"")</f>
        <v/>
      </c>
      <c r="AB72" s="100" t="str">
        <f t="shared" si="16"/>
        <v/>
      </c>
      <c r="AC72" s="95" t="str">
        <f t="shared" si="17"/>
        <v/>
      </c>
      <c r="AD72" s="95" t="str">
        <f t="shared" si="25"/>
        <v/>
      </c>
      <c r="AE72" s="100" t="str">
        <f t="shared" si="26"/>
        <v/>
      </c>
      <c r="AF72" s="95" t="str">
        <f t="shared" si="27"/>
        <v/>
      </c>
      <c r="AG72" s="98" t="str">
        <f t="shared" si="28"/>
        <v/>
      </c>
      <c r="AH72" s="100" t="str">
        <f t="shared" si="29"/>
        <v/>
      </c>
      <c r="AI72" s="95" t="str">
        <f t="shared" si="30"/>
        <v/>
      </c>
      <c r="AJ72" s="98" t="str">
        <f t="shared" si="31"/>
        <v/>
      </c>
      <c r="AK72" s="94" t="str">
        <f t="shared" si="32"/>
        <v/>
      </c>
      <c r="AL72" s="96" t="str">
        <f t="shared" si="33"/>
        <v/>
      </c>
      <c r="AM72" s="244" t="str">
        <f>IFERROR(
IF(C72="VTS",
IF(T72&gt;=AVERAGE(
INDEX(Assumptions!$I$38:$I$57,MATCH(T72,Assumptions!$I$38:$I$57,-1)),
INDEX(Assumptions!$I$38:$I$57,MATCH(T72,Assumptions!$I$38:$I$57,-1)+1)),
INDEX(Assumptions!$I$38:$I$57,MATCH(T72,Assumptions!$I$38:$I$57,-1)),
INDEX(Assumptions!$I$38:$I$57,MATCH(T72,Assumptions!$I$38:$I$57,-1)+1)),
IF(T72&gt;=AVERAGE(
INDEX(Assumptions!$I$13:$I$32,MATCH(T72,Assumptions!$I$13:$I$32,-1)),
INDEX(Assumptions!$I$13:$I$32,MATCH(T72,Assumptions!$I$13:$I$32,-1)+1)),
INDEX(Assumptions!$I$13:$I$32,MATCH(T72,Assumptions!$I$13:$I$32,-1)),
INDEX(Assumptions!$I$13:$I$32,MATCH(T72,Assumptions!$I$13:$I$32,-1)+1))),
"")</f>
        <v/>
      </c>
      <c r="AN72" s="95" t="str">
        <f>IFERROR(
IF(C72="VTS",
VLOOKUP(AM72,Assumptions!$I$38:$K$57,MATCH(U72,Assumptions!$I$37:$K$37,0),FALSE),
VLOOKUP(AM72,Assumptions!$I$13:$K$32,MATCH(U72,Assumptions!$I$12:$K$12,0),FALSE)),
"")</f>
        <v/>
      </c>
      <c r="AO72" s="95" t="str">
        <f t="shared" si="34"/>
        <v/>
      </c>
      <c r="AP72" s="95" t="str">
        <f>IFERROR(AO72*
(Assumptions!$S$7*(AA72/(AS72*Assumptions!$AB$9/100)/T72)^3+
Assumptions!$S$8*(AA72/(AS72*Assumptions!$AB$9/100)/T72)^2+
Assumptions!$S$9*(AA72/(AS72*Assumptions!$AB$9/100)/T72)+
Assumptions!$S$10),"")</f>
        <v/>
      </c>
      <c r="AQ72" s="95" t="str">
        <f>IFERROR(AO72*
(Assumptions!$S$7*(AK72/(AS72*Assumptions!$AB$8/100)/T72)^3+
Assumptions!$S$8*(AK72/(AS72*Assumptions!$AB$8/100)/T72)^2+
Assumptions!$S$9*(AK72/(AS72*Assumptions!$AB$8/100)/T72)+
Assumptions!$S$10),"")</f>
        <v/>
      </c>
      <c r="AR72" s="95" t="str">
        <f>IFERROR(AO72*
(Assumptions!$S$7*(AL72/(AS72*Assumptions!$AB$10/100)/T72)^3+
Assumptions!$S$8*(AL72/(AS72*Assumptions!$AB$10/100)/T72)^2+
Assumptions!$S$9*(AL72/(AS72*Assumptions!$AB$10/100)/T72)+
Assumptions!$S$10),"")</f>
        <v/>
      </c>
      <c r="AS72" s="95" t="str">
        <f>IFERROR(
Assumptions!$AD$8*LN(X72)^2+
Assumptions!$AE$8*LN(W72)*LN(X72)+
Assumptions!$AF$8*LN(W72)^2+
Assumptions!$AG$8*LN(X72)+
Assumptions!$AH$8*LN(W72)-
(IF(V72=1800,
VLOOKUP(C72,Assumptions!$AA$13:$AC$17,3),
IF(V72=3600,
VLOOKUP(C72,Assumptions!$AA$18:$AC$22,3),""))+Assumptions!$AI$8),
"")</f>
        <v/>
      </c>
      <c r="AT72" s="96" t="str">
        <f>IFERROR(
Assumptions!$D$11*(AA72/(Assumptions!$AB$9*AS72/100)+AP72)+
Assumptions!$D$10*(AK72/(Assumptions!$AB$8*AS72/100)+AQ72)+
Assumptions!$D$12*(AL72/(Assumptions!$AB$10*AS72/100)+AR72),
"")</f>
        <v/>
      </c>
      <c r="AU72" s="76" t="str">
        <f>IFERROR(
Z72*Assumptions!$F$11+
AD72*Assumptions!$F$10+
AG72*Assumptions!$F$9+
AJ72*Assumptions!$F$8,
"")</f>
        <v/>
      </c>
      <c r="AV72" s="77" t="str">
        <f t="shared" si="18"/>
        <v/>
      </c>
      <c r="AW72" s="68" t="str">
        <f t="shared" si="19"/>
        <v/>
      </c>
    </row>
    <row r="73" spans="1:49" x14ac:dyDescent="0.25">
      <c r="A73" s="264"/>
      <c r="B73" s="265"/>
      <c r="C73" s="265"/>
      <c r="D73" s="265"/>
      <c r="E73" s="266"/>
      <c r="F73" s="270"/>
      <c r="G73" s="271"/>
      <c r="H73" s="310"/>
      <c r="I73" s="270"/>
      <c r="J73" s="271"/>
      <c r="K73" s="272"/>
      <c r="L73" s="308"/>
      <c r="M73" s="271"/>
      <c r="N73" s="310"/>
      <c r="O73" s="270"/>
      <c r="P73" s="271"/>
      <c r="Q73" s="272"/>
      <c r="R73" s="272"/>
      <c r="S73" s="318"/>
      <c r="T73" s="306"/>
      <c r="U73" s="84" t="str">
        <f t="shared" si="20"/>
        <v/>
      </c>
      <c r="V73" s="84" t="str">
        <f t="shared" si="15"/>
        <v/>
      </c>
      <c r="W73" s="93" t="str">
        <f t="shared" si="21"/>
        <v/>
      </c>
      <c r="X73" s="100" t="str">
        <f t="shared" si="22"/>
        <v/>
      </c>
      <c r="Y73" s="95" t="str">
        <f t="shared" si="23"/>
        <v/>
      </c>
      <c r="Z73" s="95" t="str">
        <f t="shared" si="24"/>
        <v/>
      </c>
      <c r="AA73" s="98" t="str">
        <f>IFERROR(X73*Y73*Assumptions!$B$15/3956,"")</f>
        <v/>
      </c>
      <c r="AB73" s="100" t="str">
        <f t="shared" si="16"/>
        <v/>
      </c>
      <c r="AC73" s="95" t="str">
        <f t="shared" si="17"/>
        <v/>
      </c>
      <c r="AD73" s="95" t="str">
        <f t="shared" si="25"/>
        <v/>
      </c>
      <c r="AE73" s="100" t="str">
        <f t="shared" si="26"/>
        <v/>
      </c>
      <c r="AF73" s="95" t="str">
        <f t="shared" si="27"/>
        <v/>
      </c>
      <c r="AG73" s="98" t="str">
        <f t="shared" si="28"/>
        <v/>
      </c>
      <c r="AH73" s="100" t="str">
        <f t="shared" si="29"/>
        <v/>
      </c>
      <c r="AI73" s="95" t="str">
        <f t="shared" si="30"/>
        <v/>
      </c>
      <c r="AJ73" s="98" t="str">
        <f t="shared" si="31"/>
        <v/>
      </c>
      <c r="AK73" s="94" t="str">
        <f t="shared" si="32"/>
        <v/>
      </c>
      <c r="AL73" s="96" t="str">
        <f t="shared" si="33"/>
        <v/>
      </c>
      <c r="AM73" s="244" t="str">
        <f>IFERROR(
IF(C73="VTS",
IF(T73&gt;=AVERAGE(
INDEX(Assumptions!$I$38:$I$57,MATCH(T73,Assumptions!$I$38:$I$57,-1)),
INDEX(Assumptions!$I$38:$I$57,MATCH(T73,Assumptions!$I$38:$I$57,-1)+1)),
INDEX(Assumptions!$I$38:$I$57,MATCH(T73,Assumptions!$I$38:$I$57,-1)),
INDEX(Assumptions!$I$38:$I$57,MATCH(T73,Assumptions!$I$38:$I$57,-1)+1)),
IF(T73&gt;=AVERAGE(
INDEX(Assumptions!$I$13:$I$32,MATCH(T73,Assumptions!$I$13:$I$32,-1)),
INDEX(Assumptions!$I$13:$I$32,MATCH(T73,Assumptions!$I$13:$I$32,-1)+1)),
INDEX(Assumptions!$I$13:$I$32,MATCH(T73,Assumptions!$I$13:$I$32,-1)),
INDEX(Assumptions!$I$13:$I$32,MATCH(T73,Assumptions!$I$13:$I$32,-1)+1))),
"")</f>
        <v/>
      </c>
      <c r="AN73" s="95" t="str">
        <f>IFERROR(
IF(C73="VTS",
VLOOKUP(AM73,Assumptions!$I$38:$K$57,MATCH(U73,Assumptions!$I$37:$K$37,0),FALSE),
VLOOKUP(AM73,Assumptions!$I$13:$K$32,MATCH(U73,Assumptions!$I$12:$K$12,0),FALSE)),
"")</f>
        <v/>
      </c>
      <c r="AO73" s="95" t="str">
        <f t="shared" si="34"/>
        <v/>
      </c>
      <c r="AP73" s="95" t="str">
        <f>IFERROR(AO73*
(Assumptions!$S$7*(AA73/(AS73*Assumptions!$AB$9/100)/T73)^3+
Assumptions!$S$8*(AA73/(AS73*Assumptions!$AB$9/100)/T73)^2+
Assumptions!$S$9*(AA73/(AS73*Assumptions!$AB$9/100)/T73)+
Assumptions!$S$10),"")</f>
        <v/>
      </c>
      <c r="AQ73" s="95" t="str">
        <f>IFERROR(AO73*
(Assumptions!$S$7*(AK73/(AS73*Assumptions!$AB$8/100)/T73)^3+
Assumptions!$S$8*(AK73/(AS73*Assumptions!$AB$8/100)/T73)^2+
Assumptions!$S$9*(AK73/(AS73*Assumptions!$AB$8/100)/T73)+
Assumptions!$S$10),"")</f>
        <v/>
      </c>
      <c r="AR73" s="95" t="str">
        <f>IFERROR(AO73*
(Assumptions!$S$7*(AL73/(AS73*Assumptions!$AB$10/100)/T73)^3+
Assumptions!$S$8*(AL73/(AS73*Assumptions!$AB$10/100)/T73)^2+
Assumptions!$S$9*(AL73/(AS73*Assumptions!$AB$10/100)/T73)+
Assumptions!$S$10),"")</f>
        <v/>
      </c>
      <c r="AS73" s="95" t="str">
        <f>IFERROR(
Assumptions!$AD$8*LN(X73)^2+
Assumptions!$AE$8*LN(W73)*LN(X73)+
Assumptions!$AF$8*LN(W73)^2+
Assumptions!$AG$8*LN(X73)+
Assumptions!$AH$8*LN(W73)-
(IF(V73=1800,
VLOOKUP(C73,Assumptions!$AA$13:$AC$17,3),
IF(V73=3600,
VLOOKUP(C73,Assumptions!$AA$18:$AC$22,3),""))+Assumptions!$AI$8),
"")</f>
        <v/>
      </c>
      <c r="AT73" s="96" t="str">
        <f>IFERROR(
Assumptions!$D$11*(AA73/(Assumptions!$AB$9*AS73/100)+AP73)+
Assumptions!$D$10*(AK73/(Assumptions!$AB$8*AS73/100)+AQ73)+
Assumptions!$D$12*(AL73/(Assumptions!$AB$10*AS73/100)+AR73),
"")</f>
        <v/>
      </c>
      <c r="AU73" s="76" t="str">
        <f>IFERROR(
Z73*Assumptions!$F$11+
AD73*Assumptions!$F$10+
AG73*Assumptions!$F$9+
AJ73*Assumptions!$F$8,
"")</f>
        <v/>
      </c>
      <c r="AV73" s="77" t="str">
        <f t="shared" si="18"/>
        <v/>
      </c>
      <c r="AW73" s="68" t="str">
        <f t="shared" si="19"/>
        <v/>
      </c>
    </row>
    <row r="74" spans="1:49" x14ac:dyDescent="0.25">
      <c r="A74" s="264"/>
      <c r="B74" s="265"/>
      <c r="C74" s="265"/>
      <c r="D74" s="265"/>
      <c r="E74" s="266"/>
      <c r="F74" s="270"/>
      <c r="G74" s="271"/>
      <c r="H74" s="310"/>
      <c r="I74" s="270"/>
      <c r="J74" s="271"/>
      <c r="K74" s="272"/>
      <c r="L74" s="308"/>
      <c r="M74" s="271"/>
      <c r="N74" s="310"/>
      <c r="O74" s="270"/>
      <c r="P74" s="271"/>
      <c r="Q74" s="272"/>
      <c r="R74" s="272"/>
      <c r="S74" s="318"/>
      <c r="T74" s="306"/>
      <c r="U74" s="84" t="str">
        <f t="shared" ref="U74:U109" si="35">IF(AND(E74&gt;=1440,E74&lt;=2160),4,IF(AND(E74&gt;=2880,E74&lt;=4320),2,""))</f>
        <v/>
      </c>
      <c r="V74" s="84" t="str">
        <f t="shared" si="15"/>
        <v/>
      </c>
      <c r="W74" s="93" t="str">
        <f t="shared" ref="W74:W105" si="36">IFERROR(V74*X74^0.5/(Y74/D74)^0.75,"")</f>
        <v/>
      </c>
      <c r="X74" s="100" t="str">
        <f t="shared" ref="X74:X109" si="37">IFERROR(F74*V74/E74,"")</f>
        <v/>
      </c>
      <c r="Y74" s="95" t="str">
        <f t="shared" ref="Y74:Y109" si="38">IFERROR(G74*(V74/E74)^2,"")</f>
        <v/>
      </c>
      <c r="Z74" s="95" t="str">
        <f t="shared" ref="Z74:Z109" si="39">IFERROR(H74*(V74/E74)^3,"")</f>
        <v/>
      </c>
      <c r="AA74" s="98" t="str">
        <f>IFERROR(X74*Y74*Assumptions!$B$15/3956,"")</f>
        <v/>
      </c>
      <c r="AB74" s="100" t="str">
        <f t="shared" si="16"/>
        <v/>
      </c>
      <c r="AC74" s="95" t="str">
        <f t="shared" si="17"/>
        <v/>
      </c>
      <c r="AD74" s="95" t="str">
        <f t="shared" ref="AD74:AD105" si="40">IFERROR(K74*(AC74/J74)*(AB74/I74),"")</f>
        <v/>
      </c>
      <c r="AE74" s="100" t="str">
        <f t="shared" ref="AE74:AE109" si="41">IF(X74="","",(X74*0.5))</f>
        <v/>
      </c>
      <c r="AF74" s="95" t="str">
        <f t="shared" ref="AF74:AF105" si="42">IFERROR((0.8*(AE74/X74)^2+0.2)*Y74,"")</f>
        <v/>
      </c>
      <c r="AG74" s="98" t="str">
        <f t="shared" ref="AG74:AG105" si="43">IFERROR(N74*(AF74/M74)*(AE74/L74),"")</f>
        <v/>
      </c>
      <c r="AH74" s="100" t="str">
        <f t="shared" ref="AH74:AH109" si="44">IF(X74="","",(X74*0.25))</f>
        <v/>
      </c>
      <c r="AI74" s="95" t="str">
        <f t="shared" ref="AI74:AI105" si="45">IFERROR((0.8*(AH74/X74)^2+0.2)*Y74,"")</f>
        <v/>
      </c>
      <c r="AJ74" s="98" t="str">
        <f t="shared" ref="AJ74:AJ105" si="46">IFERROR(Q74*(AI74/P74)*(AH74/O74),"")</f>
        <v/>
      </c>
      <c r="AK74" s="94" t="str">
        <f t="shared" ref="AK74:AK109" si="47">IFERROR(R74*(V74/E74)^3,"")</f>
        <v/>
      </c>
      <c r="AL74" s="96" t="str">
        <f t="shared" ref="AL74:AL109" si="48">IFERROR(S74*(V74/E74)^3,"")</f>
        <v/>
      </c>
      <c r="AM74" s="244" t="str">
        <f>IFERROR(
IF(C74="VTS",
IF(T74&gt;=AVERAGE(
INDEX(Assumptions!$I$38:$I$57,MATCH(T74,Assumptions!$I$38:$I$57,-1)),
INDEX(Assumptions!$I$38:$I$57,MATCH(T74,Assumptions!$I$38:$I$57,-1)+1)),
INDEX(Assumptions!$I$38:$I$57,MATCH(T74,Assumptions!$I$38:$I$57,-1)),
INDEX(Assumptions!$I$38:$I$57,MATCH(T74,Assumptions!$I$38:$I$57,-1)+1)),
IF(T74&gt;=AVERAGE(
INDEX(Assumptions!$I$13:$I$32,MATCH(T74,Assumptions!$I$13:$I$32,-1)),
INDEX(Assumptions!$I$13:$I$32,MATCH(T74,Assumptions!$I$13:$I$32,-1)+1)),
INDEX(Assumptions!$I$13:$I$32,MATCH(T74,Assumptions!$I$13:$I$32,-1)),
INDEX(Assumptions!$I$13:$I$32,MATCH(T74,Assumptions!$I$13:$I$32,-1)+1))),
"")</f>
        <v/>
      </c>
      <c r="AN74" s="95" t="str">
        <f>IFERROR(
IF(C74="VTS",
VLOOKUP(AM74,Assumptions!$I$38:$K$57,MATCH(U74,Assumptions!$I$37:$K$37,0),FALSE),
VLOOKUP(AM74,Assumptions!$I$13:$K$32,MATCH(U74,Assumptions!$I$12:$K$12,0),FALSE)),
"")</f>
        <v/>
      </c>
      <c r="AO74" s="95" t="str">
        <f t="shared" ref="AO74:AO105" si="49">IFERROR(T74/(AN74/100)-T74,"")</f>
        <v/>
      </c>
      <c r="AP74" s="95" t="str">
        <f>IFERROR(AO74*
(Assumptions!$S$7*(AA74/(AS74*Assumptions!$AB$9/100)/T74)^3+
Assumptions!$S$8*(AA74/(AS74*Assumptions!$AB$9/100)/T74)^2+
Assumptions!$S$9*(AA74/(AS74*Assumptions!$AB$9/100)/T74)+
Assumptions!$S$10),"")</f>
        <v/>
      </c>
      <c r="AQ74" s="95" t="str">
        <f>IFERROR(AO74*
(Assumptions!$S$7*(AK74/(AS74*Assumptions!$AB$8/100)/T74)^3+
Assumptions!$S$8*(AK74/(AS74*Assumptions!$AB$8/100)/T74)^2+
Assumptions!$S$9*(AK74/(AS74*Assumptions!$AB$8/100)/T74)+
Assumptions!$S$10),"")</f>
        <v/>
      </c>
      <c r="AR74" s="95" t="str">
        <f>IFERROR(AO74*
(Assumptions!$S$7*(AL74/(AS74*Assumptions!$AB$10/100)/T74)^3+
Assumptions!$S$8*(AL74/(AS74*Assumptions!$AB$10/100)/T74)^2+
Assumptions!$S$9*(AL74/(AS74*Assumptions!$AB$10/100)/T74)+
Assumptions!$S$10),"")</f>
        <v/>
      </c>
      <c r="AS74" s="95" t="str">
        <f>IFERROR(
Assumptions!$AD$8*LN(X74)^2+
Assumptions!$AE$8*LN(W74)*LN(X74)+
Assumptions!$AF$8*LN(W74)^2+
Assumptions!$AG$8*LN(X74)+
Assumptions!$AH$8*LN(W74)-
(IF(V74=1800,
VLOOKUP(C74,Assumptions!$AA$13:$AC$17,3),
IF(V74=3600,
VLOOKUP(C74,Assumptions!$AA$18:$AC$22,3),""))+Assumptions!$AI$8),
"")</f>
        <v/>
      </c>
      <c r="AT74" s="96" t="str">
        <f>IFERROR(
Assumptions!$D$11*(AA74/(Assumptions!$AB$9*AS74/100)+AP74)+
Assumptions!$D$10*(AK74/(Assumptions!$AB$8*AS74/100)+AQ74)+
Assumptions!$D$12*(AL74/(Assumptions!$AB$10*AS74/100)+AR74),
"")</f>
        <v/>
      </c>
      <c r="AU74" s="76" t="str">
        <f>IFERROR(
Z74*Assumptions!$F$11+
AD74*Assumptions!$F$10+
AG74*Assumptions!$F$9+
AJ74*Assumptions!$F$8,
"")</f>
        <v/>
      </c>
      <c r="AV74" s="77" t="str">
        <f t="shared" si="18"/>
        <v/>
      </c>
      <c r="AW74" s="68" t="str">
        <f t="shared" si="19"/>
        <v/>
      </c>
    </row>
    <row r="75" spans="1:49" x14ac:dyDescent="0.25">
      <c r="A75" s="264"/>
      <c r="B75" s="265"/>
      <c r="C75" s="265"/>
      <c r="D75" s="265"/>
      <c r="E75" s="266"/>
      <c r="F75" s="270"/>
      <c r="G75" s="271"/>
      <c r="H75" s="310"/>
      <c r="I75" s="270"/>
      <c r="J75" s="271"/>
      <c r="K75" s="272"/>
      <c r="L75" s="308"/>
      <c r="M75" s="271"/>
      <c r="N75" s="310"/>
      <c r="O75" s="270"/>
      <c r="P75" s="271"/>
      <c r="Q75" s="272"/>
      <c r="R75" s="272"/>
      <c r="S75" s="318"/>
      <c r="T75" s="306"/>
      <c r="U75" s="84" t="str">
        <f t="shared" si="35"/>
        <v/>
      </c>
      <c r="V75" s="84" t="str">
        <f t="shared" ref="V75:V109" si="50">IF(U75=4,1800,IF(U75=2,3600,""))</f>
        <v/>
      </c>
      <c r="W75" s="93" t="str">
        <f t="shared" si="36"/>
        <v/>
      </c>
      <c r="X75" s="100" t="str">
        <f t="shared" si="37"/>
        <v/>
      </c>
      <c r="Y75" s="95" t="str">
        <f t="shared" si="38"/>
        <v/>
      </c>
      <c r="Z75" s="95" t="str">
        <f t="shared" si="39"/>
        <v/>
      </c>
      <c r="AA75" s="98" t="str">
        <f>IFERROR(X75*Y75*Assumptions!$B$15/3956,"")</f>
        <v/>
      </c>
      <c r="AB75" s="100" t="str">
        <f t="shared" ref="AB75:AB109" si="51">IF(X75="","",(X75*0.75))</f>
        <v/>
      </c>
      <c r="AC75" s="95" t="str">
        <f t="shared" ref="AC75:AC109" si="52">IFERROR((0.8*(AB75/X75)^2+0.2)*Y75,"")</f>
        <v/>
      </c>
      <c r="AD75" s="95" t="str">
        <f t="shared" si="40"/>
        <v/>
      </c>
      <c r="AE75" s="100" t="str">
        <f t="shared" si="41"/>
        <v/>
      </c>
      <c r="AF75" s="95" t="str">
        <f t="shared" si="42"/>
        <v/>
      </c>
      <c r="AG75" s="98" t="str">
        <f t="shared" si="43"/>
        <v/>
      </c>
      <c r="AH75" s="100" t="str">
        <f t="shared" si="44"/>
        <v/>
      </c>
      <c r="AI75" s="95" t="str">
        <f t="shared" si="45"/>
        <v/>
      </c>
      <c r="AJ75" s="98" t="str">
        <f t="shared" si="46"/>
        <v/>
      </c>
      <c r="AK75" s="94" t="str">
        <f t="shared" si="47"/>
        <v/>
      </c>
      <c r="AL75" s="96" t="str">
        <f t="shared" si="48"/>
        <v/>
      </c>
      <c r="AM75" s="244" t="str">
        <f>IFERROR(
IF(C75="VTS",
IF(T75&gt;=AVERAGE(
INDEX(Assumptions!$I$38:$I$57,MATCH(T75,Assumptions!$I$38:$I$57,-1)),
INDEX(Assumptions!$I$38:$I$57,MATCH(T75,Assumptions!$I$38:$I$57,-1)+1)),
INDEX(Assumptions!$I$38:$I$57,MATCH(T75,Assumptions!$I$38:$I$57,-1)),
INDEX(Assumptions!$I$38:$I$57,MATCH(T75,Assumptions!$I$38:$I$57,-1)+1)),
IF(T75&gt;=AVERAGE(
INDEX(Assumptions!$I$13:$I$32,MATCH(T75,Assumptions!$I$13:$I$32,-1)),
INDEX(Assumptions!$I$13:$I$32,MATCH(T75,Assumptions!$I$13:$I$32,-1)+1)),
INDEX(Assumptions!$I$13:$I$32,MATCH(T75,Assumptions!$I$13:$I$32,-1)),
INDEX(Assumptions!$I$13:$I$32,MATCH(T75,Assumptions!$I$13:$I$32,-1)+1))),
"")</f>
        <v/>
      </c>
      <c r="AN75" s="95" t="str">
        <f>IFERROR(
IF(C75="VTS",
VLOOKUP(AM75,Assumptions!$I$38:$K$57,MATCH(U75,Assumptions!$I$37:$K$37,0),FALSE),
VLOOKUP(AM75,Assumptions!$I$13:$K$32,MATCH(U75,Assumptions!$I$12:$K$12,0),FALSE)),
"")</f>
        <v/>
      </c>
      <c r="AO75" s="95" t="str">
        <f t="shared" si="49"/>
        <v/>
      </c>
      <c r="AP75" s="95" t="str">
        <f>IFERROR(AO75*
(Assumptions!$S$7*(AA75/(AS75*Assumptions!$AB$9/100)/T75)^3+
Assumptions!$S$8*(AA75/(AS75*Assumptions!$AB$9/100)/T75)^2+
Assumptions!$S$9*(AA75/(AS75*Assumptions!$AB$9/100)/T75)+
Assumptions!$S$10),"")</f>
        <v/>
      </c>
      <c r="AQ75" s="95" t="str">
        <f>IFERROR(AO75*
(Assumptions!$S$7*(AK75/(AS75*Assumptions!$AB$8/100)/T75)^3+
Assumptions!$S$8*(AK75/(AS75*Assumptions!$AB$8/100)/T75)^2+
Assumptions!$S$9*(AK75/(AS75*Assumptions!$AB$8/100)/T75)+
Assumptions!$S$10),"")</f>
        <v/>
      </c>
      <c r="AR75" s="95" t="str">
        <f>IFERROR(AO75*
(Assumptions!$S$7*(AL75/(AS75*Assumptions!$AB$10/100)/T75)^3+
Assumptions!$S$8*(AL75/(AS75*Assumptions!$AB$10/100)/T75)^2+
Assumptions!$S$9*(AL75/(AS75*Assumptions!$AB$10/100)/T75)+
Assumptions!$S$10),"")</f>
        <v/>
      </c>
      <c r="AS75" s="95" t="str">
        <f>IFERROR(
Assumptions!$AD$8*LN(X75)^2+
Assumptions!$AE$8*LN(W75)*LN(X75)+
Assumptions!$AF$8*LN(W75)^2+
Assumptions!$AG$8*LN(X75)+
Assumptions!$AH$8*LN(W75)-
(IF(V75=1800,
VLOOKUP(C75,Assumptions!$AA$13:$AC$17,3),
IF(V75=3600,
VLOOKUP(C75,Assumptions!$AA$18:$AC$22,3),""))+Assumptions!$AI$8),
"")</f>
        <v/>
      </c>
      <c r="AT75" s="96" t="str">
        <f>IFERROR(
Assumptions!$D$11*(AA75/(Assumptions!$AB$9*AS75/100)+AP75)+
Assumptions!$D$10*(AK75/(Assumptions!$AB$8*AS75/100)+AQ75)+
Assumptions!$D$12*(AL75/(Assumptions!$AB$10*AS75/100)+AR75),
"")</f>
        <v/>
      </c>
      <c r="AU75" s="76" t="str">
        <f>IFERROR(
Z75*Assumptions!$F$11+
AD75*Assumptions!$F$10+
AG75*Assumptions!$F$9+
AJ75*Assumptions!$F$8,
"")</f>
        <v/>
      </c>
      <c r="AV75" s="77" t="str">
        <f t="shared" ref="AV75:AV107" si="53">IFERROR(AU75/AT75,"")</f>
        <v/>
      </c>
      <c r="AW75" s="68" t="str">
        <f t="shared" ref="AW75:AW109" si="54">IF(AV75="","",IF(AV75&gt;1,"FAIL","PASS"))</f>
        <v/>
      </c>
    </row>
    <row r="76" spans="1:49" x14ac:dyDescent="0.25">
      <c r="A76" s="264"/>
      <c r="B76" s="265"/>
      <c r="C76" s="265"/>
      <c r="D76" s="265"/>
      <c r="E76" s="266"/>
      <c r="F76" s="270"/>
      <c r="G76" s="271"/>
      <c r="H76" s="310"/>
      <c r="I76" s="270"/>
      <c r="J76" s="271"/>
      <c r="K76" s="272"/>
      <c r="L76" s="308"/>
      <c r="M76" s="271"/>
      <c r="N76" s="310"/>
      <c r="O76" s="270"/>
      <c r="P76" s="271"/>
      <c r="Q76" s="272"/>
      <c r="R76" s="272"/>
      <c r="S76" s="318"/>
      <c r="T76" s="306"/>
      <c r="U76" s="84" t="str">
        <f t="shared" si="35"/>
        <v/>
      </c>
      <c r="V76" s="84" t="str">
        <f t="shared" si="50"/>
        <v/>
      </c>
      <c r="W76" s="93" t="str">
        <f t="shared" si="36"/>
        <v/>
      </c>
      <c r="X76" s="100" t="str">
        <f t="shared" si="37"/>
        <v/>
      </c>
      <c r="Y76" s="95" t="str">
        <f t="shared" si="38"/>
        <v/>
      </c>
      <c r="Z76" s="95" t="str">
        <f t="shared" si="39"/>
        <v/>
      </c>
      <c r="AA76" s="98" t="str">
        <f>IFERROR(X76*Y76*Assumptions!$B$15/3956,"")</f>
        <v/>
      </c>
      <c r="AB76" s="100" t="str">
        <f t="shared" si="51"/>
        <v/>
      </c>
      <c r="AC76" s="95" t="str">
        <f t="shared" si="52"/>
        <v/>
      </c>
      <c r="AD76" s="95" t="str">
        <f t="shared" si="40"/>
        <v/>
      </c>
      <c r="AE76" s="100" t="str">
        <f t="shared" si="41"/>
        <v/>
      </c>
      <c r="AF76" s="95" t="str">
        <f t="shared" si="42"/>
        <v/>
      </c>
      <c r="AG76" s="98" t="str">
        <f t="shared" si="43"/>
        <v/>
      </c>
      <c r="AH76" s="100" t="str">
        <f t="shared" si="44"/>
        <v/>
      </c>
      <c r="AI76" s="95" t="str">
        <f t="shared" si="45"/>
        <v/>
      </c>
      <c r="AJ76" s="98" t="str">
        <f t="shared" si="46"/>
        <v/>
      </c>
      <c r="AK76" s="94" t="str">
        <f t="shared" si="47"/>
        <v/>
      </c>
      <c r="AL76" s="96" t="str">
        <f t="shared" si="48"/>
        <v/>
      </c>
      <c r="AM76" s="244" t="str">
        <f>IFERROR(
IF(C76="VTS",
IF(T76&gt;=AVERAGE(
INDEX(Assumptions!$I$38:$I$57,MATCH(T76,Assumptions!$I$38:$I$57,-1)),
INDEX(Assumptions!$I$38:$I$57,MATCH(T76,Assumptions!$I$38:$I$57,-1)+1)),
INDEX(Assumptions!$I$38:$I$57,MATCH(T76,Assumptions!$I$38:$I$57,-1)),
INDEX(Assumptions!$I$38:$I$57,MATCH(T76,Assumptions!$I$38:$I$57,-1)+1)),
IF(T76&gt;=AVERAGE(
INDEX(Assumptions!$I$13:$I$32,MATCH(T76,Assumptions!$I$13:$I$32,-1)),
INDEX(Assumptions!$I$13:$I$32,MATCH(T76,Assumptions!$I$13:$I$32,-1)+1)),
INDEX(Assumptions!$I$13:$I$32,MATCH(T76,Assumptions!$I$13:$I$32,-1)),
INDEX(Assumptions!$I$13:$I$32,MATCH(T76,Assumptions!$I$13:$I$32,-1)+1))),
"")</f>
        <v/>
      </c>
      <c r="AN76" s="95" t="str">
        <f>IFERROR(
IF(C76="VTS",
VLOOKUP(AM76,Assumptions!$I$38:$K$57,MATCH(U76,Assumptions!$I$37:$K$37,0),FALSE),
VLOOKUP(AM76,Assumptions!$I$13:$K$32,MATCH(U76,Assumptions!$I$12:$K$12,0),FALSE)),
"")</f>
        <v/>
      </c>
      <c r="AO76" s="95" t="str">
        <f t="shared" si="49"/>
        <v/>
      </c>
      <c r="AP76" s="95" t="str">
        <f>IFERROR(AO76*
(Assumptions!$S$7*(AA76/(AS76*Assumptions!$AB$9/100)/T76)^3+
Assumptions!$S$8*(AA76/(AS76*Assumptions!$AB$9/100)/T76)^2+
Assumptions!$S$9*(AA76/(AS76*Assumptions!$AB$9/100)/T76)+
Assumptions!$S$10),"")</f>
        <v/>
      </c>
      <c r="AQ76" s="95" t="str">
        <f>IFERROR(AO76*
(Assumptions!$S$7*(AK76/(AS76*Assumptions!$AB$8/100)/T76)^3+
Assumptions!$S$8*(AK76/(AS76*Assumptions!$AB$8/100)/T76)^2+
Assumptions!$S$9*(AK76/(AS76*Assumptions!$AB$8/100)/T76)+
Assumptions!$S$10),"")</f>
        <v/>
      </c>
      <c r="AR76" s="95" t="str">
        <f>IFERROR(AO76*
(Assumptions!$S$7*(AL76/(AS76*Assumptions!$AB$10/100)/T76)^3+
Assumptions!$S$8*(AL76/(AS76*Assumptions!$AB$10/100)/T76)^2+
Assumptions!$S$9*(AL76/(AS76*Assumptions!$AB$10/100)/T76)+
Assumptions!$S$10),"")</f>
        <v/>
      </c>
      <c r="AS76" s="95" t="str">
        <f>IFERROR(
Assumptions!$AD$8*LN(X76)^2+
Assumptions!$AE$8*LN(W76)*LN(X76)+
Assumptions!$AF$8*LN(W76)^2+
Assumptions!$AG$8*LN(X76)+
Assumptions!$AH$8*LN(W76)-
(IF(V76=1800,
VLOOKUP(C76,Assumptions!$AA$13:$AC$17,3),
IF(V76=3600,
VLOOKUP(C76,Assumptions!$AA$18:$AC$22,3),""))+Assumptions!$AI$8),
"")</f>
        <v/>
      </c>
      <c r="AT76" s="96" t="str">
        <f>IFERROR(
Assumptions!$D$11*(AA76/(Assumptions!$AB$9*AS76/100)+AP76)+
Assumptions!$D$10*(AK76/(Assumptions!$AB$8*AS76/100)+AQ76)+
Assumptions!$D$12*(AL76/(Assumptions!$AB$10*AS76/100)+AR76),
"")</f>
        <v/>
      </c>
      <c r="AU76" s="76" t="str">
        <f>IFERROR(
Z76*Assumptions!$F$11+
AD76*Assumptions!$F$10+
AG76*Assumptions!$F$9+
AJ76*Assumptions!$F$8,
"")</f>
        <v/>
      </c>
      <c r="AV76" s="77" t="str">
        <f t="shared" si="53"/>
        <v/>
      </c>
      <c r="AW76" s="68" t="str">
        <f t="shared" si="54"/>
        <v/>
      </c>
    </row>
    <row r="77" spans="1:49" x14ac:dyDescent="0.25">
      <c r="A77" s="264"/>
      <c r="B77" s="265"/>
      <c r="C77" s="265"/>
      <c r="D77" s="265"/>
      <c r="E77" s="266"/>
      <c r="F77" s="270"/>
      <c r="G77" s="271"/>
      <c r="H77" s="310"/>
      <c r="I77" s="270"/>
      <c r="J77" s="271"/>
      <c r="K77" s="272"/>
      <c r="L77" s="308"/>
      <c r="M77" s="271"/>
      <c r="N77" s="310"/>
      <c r="O77" s="270"/>
      <c r="P77" s="271"/>
      <c r="Q77" s="272"/>
      <c r="R77" s="272"/>
      <c r="S77" s="318"/>
      <c r="T77" s="306"/>
      <c r="U77" s="84" t="str">
        <f t="shared" si="35"/>
        <v/>
      </c>
      <c r="V77" s="84" t="str">
        <f t="shared" si="50"/>
        <v/>
      </c>
      <c r="W77" s="93" t="str">
        <f t="shared" si="36"/>
        <v/>
      </c>
      <c r="X77" s="100" t="str">
        <f t="shared" si="37"/>
        <v/>
      </c>
      <c r="Y77" s="95" t="str">
        <f t="shared" si="38"/>
        <v/>
      </c>
      <c r="Z77" s="95" t="str">
        <f t="shared" si="39"/>
        <v/>
      </c>
      <c r="AA77" s="98" t="str">
        <f>IFERROR(X77*Y77*Assumptions!$B$15/3956,"")</f>
        <v/>
      </c>
      <c r="AB77" s="100" t="str">
        <f t="shared" si="51"/>
        <v/>
      </c>
      <c r="AC77" s="95" t="str">
        <f t="shared" si="52"/>
        <v/>
      </c>
      <c r="AD77" s="95" t="str">
        <f t="shared" si="40"/>
        <v/>
      </c>
      <c r="AE77" s="100" t="str">
        <f t="shared" si="41"/>
        <v/>
      </c>
      <c r="AF77" s="95" t="str">
        <f t="shared" si="42"/>
        <v/>
      </c>
      <c r="AG77" s="98" t="str">
        <f t="shared" si="43"/>
        <v/>
      </c>
      <c r="AH77" s="100" t="str">
        <f t="shared" si="44"/>
        <v/>
      </c>
      <c r="AI77" s="95" t="str">
        <f t="shared" si="45"/>
        <v/>
      </c>
      <c r="AJ77" s="98" t="str">
        <f t="shared" si="46"/>
        <v/>
      </c>
      <c r="AK77" s="94" t="str">
        <f t="shared" si="47"/>
        <v/>
      </c>
      <c r="AL77" s="96" t="str">
        <f t="shared" si="48"/>
        <v/>
      </c>
      <c r="AM77" s="244" t="str">
        <f>IFERROR(
IF(C77="VTS",
IF(T77&gt;=AVERAGE(
INDEX(Assumptions!$I$38:$I$57,MATCH(T77,Assumptions!$I$38:$I$57,-1)),
INDEX(Assumptions!$I$38:$I$57,MATCH(T77,Assumptions!$I$38:$I$57,-1)+1)),
INDEX(Assumptions!$I$38:$I$57,MATCH(T77,Assumptions!$I$38:$I$57,-1)),
INDEX(Assumptions!$I$38:$I$57,MATCH(T77,Assumptions!$I$38:$I$57,-1)+1)),
IF(T77&gt;=AVERAGE(
INDEX(Assumptions!$I$13:$I$32,MATCH(T77,Assumptions!$I$13:$I$32,-1)),
INDEX(Assumptions!$I$13:$I$32,MATCH(T77,Assumptions!$I$13:$I$32,-1)+1)),
INDEX(Assumptions!$I$13:$I$32,MATCH(T77,Assumptions!$I$13:$I$32,-1)),
INDEX(Assumptions!$I$13:$I$32,MATCH(T77,Assumptions!$I$13:$I$32,-1)+1))),
"")</f>
        <v/>
      </c>
      <c r="AN77" s="95" t="str">
        <f>IFERROR(
IF(C77="VTS",
VLOOKUP(AM77,Assumptions!$I$38:$K$57,MATCH(U77,Assumptions!$I$37:$K$37,0),FALSE),
VLOOKUP(AM77,Assumptions!$I$13:$K$32,MATCH(U77,Assumptions!$I$12:$K$12,0),FALSE)),
"")</f>
        <v/>
      </c>
      <c r="AO77" s="95" t="str">
        <f t="shared" si="49"/>
        <v/>
      </c>
      <c r="AP77" s="95" t="str">
        <f>IFERROR(AO77*
(Assumptions!$S$7*(AA77/(AS77*Assumptions!$AB$9/100)/T77)^3+
Assumptions!$S$8*(AA77/(AS77*Assumptions!$AB$9/100)/T77)^2+
Assumptions!$S$9*(AA77/(AS77*Assumptions!$AB$9/100)/T77)+
Assumptions!$S$10),"")</f>
        <v/>
      </c>
      <c r="AQ77" s="95" t="str">
        <f>IFERROR(AO77*
(Assumptions!$S$7*(AK77/(AS77*Assumptions!$AB$8/100)/T77)^3+
Assumptions!$S$8*(AK77/(AS77*Assumptions!$AB$8/100)/T77)^2+
Assumptions!$S$9*(AK77/(AS77*Assumptions!$AB$8/100)/T77)+
Assumptions!$S$10),"")</f>
        <v/>
      </c>
      <c r="AR77" s="95" t="str">
        <f>IFERROR(AO77*
(Assumptions!$S$7*(AL77/(AS77*Assumptions!$AB$10/100)/T77)^3+
Assumptions!$S$8*(AL77/(AS77*Assumptions!$AB$10/100)/T77)^2+
Assumptions!$S$9*(AL77/(AS77*Assumptions!$AB$10/100)/T77)+
Assumptions!$S$10),"")</f>
        <v/>
      </c>
      <c r="AS77" s="95" t="str">
        <f>IFERROR(
Assumptions!$AD$8*LN(X77)^2+
Assumptions!$AE$8*LN(W77)*LN(X77)+
Assumptions!$AF$8*LN(W77)^2+
Assumptions!$AG$8*LN(X77)+
Assumptions!$AH$8*LN(W77)-
(IF(V77=1800,
VLOOKUP(C77,Assumptions!$AA$13:$AC$17,3),
IF(V77=3600,
VLOOKUP(C77,Assumptions!$AA$18:$AC$22,3),""))+Assumptions!$AI$8),
"")</f>
        <v/>
      </c>
      <c r="AT77" s="96" t="str">
        <f>IFERROR(
Assumptions!$D$11*(AA77/(Assumptions!$AB$9*AS77/100)+AP77)+
Assumptions!$D$10*(AK77/(Assumptions!$AB$8*AS77/100)+AQ77)+
Assumptions!$D$12*(AL77/(Assumptions!$AB$10*AS77/100)+AR77),
"")</f>
        <v/>
      </c>
      <c r="AU77" s="76" t="str">
        <f>IFERROR(
Z77*Assumptions!$F$11+
AD77*Assumptions!$F$10+
AG77*Assumptions!$F$9+
AJ77*Assumptions!$F$8,
"")</f>
        <v/>
      </c>
      <c r="AV77" s="77" t="str">
        <f t="shared" si="53"/>
        <v/>
      </c>
      <c r="AW77" s="68" t="str">
        <f t="shared" si="54"/>
        <v/>
      </c>
    </row>
    <row r="78" spans="1:49" x14ac:dyDescent="0.25">
      <c r="A78" s="264"/>
      <c r="B78" s="265"/>
      <c r="C78" s="265"/>
      <c r="D78" s="265"/>
      <c r="E78" s="266"/>
      <c r="F78" s="270"/>
      <c r="G78" s="271"/>
      <c r="H78" s="310"/>
      <c r="I78" s="270"/>
      <c r="J78" s="271"/>
      <c r="K78" s="272"/>
      <c r="L78" s="308"/>
      <c r="M78" s="271"/>
      <c r="N78" s="310"/>
      <c r="O78" s="270"/>
      <c r="P78" s="271"/>
      <c r="Q78" s="272"/>
      <c r="R78" s="272"/>
      <c r="S78" s="318"/>
      <c r="T78" s="306"/>
      <c r="U78" s="84" t="str">
        <f t="shared" si="35"/>
        <v/>
      </c>
      <c r="V78" s="84" t="str">
        <f t="shared" si="50"/>
        <v/>
      </c>
      <c r="W78" s="93" t="str">
        <f t="shared" si="36"/>
        <v/>
      </c>
      <c r="X78" s="100" t="str">
        <f t="shared" si="37"/>
        <v/>
      </c>
      <c r="Y78" s="95" t="str">
        <f t="shared" si="38"/>
        <v/>
      </c>
      <c r="Z78" s="95" t="str">
        <f t="shared" si="39"/>
        <v/>
      </c>
      <c r="AA78" s="98" t="str">
        <f>IFERROR(X78*Y78*Assumptions!$B$15/3956,"")</f>
        <v/>
      </c>
      <c r="AB78" s="100" t="str">
        <f t="shared" si="51"/>
        <v/>
      </c>
      <c r="AC78" s="95" t="str">
        <f t="shared" si="52"/>
        <v/>
      </c>
      <c r="AD78" s="95" t="str">
        <f t="shared" si="40"/>
        <v/>
      </c>
      <c r="AE78" s="100" t="str">
        <f t="shared" si="41"/>
        <v/>
      </c>
      <c r="AF78" s="95" t="str">
        <f t="shared" si="42"/>
        <v/>
      </c>
      <c r="AG78" s="98" t="str">
        <f t="shared" si="43"/>
        <v/>
      </c>
      <c r="AH78" s="100" t="str">
        <f t="shared" si="44"/>
        <v/>
      </c>
      <c r="AI78" s="95" t="str">
        <f t="shared" si="45"/>
        <v/>
      </c>
      <c r="AJ78" s="98" t="str">
        <f t="shared" si="46"/>
        <v/>
      </c>
      <c r="AK78" s="94" t="str">
        <f t="shared" si="47"/>
        <v/>
      </c>
      <c r="AL78" s="96" t="str">
        <f t="shared" si="48"/>
        <v/>
      </c>
      <c r="AM78" s="244" t="str">
        <f>IFERROR(
IF(C78="VTS",
IF(T78&gt;=AVERAGE(
INDEX(Assumptions!$I$38:$I$57,MATCH(T78,Assumptions!$I$38:$I$57,-1)),
INDEX(Assumptions!$I$38:$I$57,MATCH(T78,Assumptions!$I$38:$I$57,-1)+1)),
INDEX(Assumptions!$I$38:$I$57,MATCH(T78,Assumptions!$I$38:$I$57,-1)),
INDEX(Assumptions!$I$38:$I$57,MATCH(T78,Assumptions!$I$38:$I$57,-1)+1)),
IF(T78&gt;=AVERAGE(
INDEX(Assumptions!$I$13:$I$32,MATCH(T78,Assumptions!$I$13:$I$32,-1)),
INDEX(Assumptions!$I$13:$I$32,MATCH(T78,Assumptions!$I$13:$I$32,-1)+1)),
INDEX(Assumptions!$I$13:$I$32,MATCH(T78,Assumptions!$I$13:$I$32,-1)),
INDEX(Assumptions!$I$13:$I$32,MATCH(T78,Assumptions!$I$13:$I$32,-1)+1))),
"")</f>
        <v/>
      </c>
      <c r="AN78" s="95" t="str">
        <f>IFERROR(
IF(C78="VTS",
VLOOKUP(AM78,Assumptions!$I$38:$K$57,MATCH(U78,Assumptions!$I$37:$K$37,0),FALSE),
VLOOKUP(AM78,Assumptions!$I$13:$K$32,MATCH(U78,Assumptions!$I$12:$K$12,0),FALSE)),
"")</f>
        <v/>
      </c>
      <c r="AO78" s="95" t="str">
        <f t="shared" si="49"/>
        <v/>
      </c>
      <c r="AP78" s="95" t="str">
        <f>IFERROR(AO78*
(Assumptions!$S$7*(AA78/(AS78*Assumptions!$AB$9/100)/T78)^3+
Assumptions!$S$8*(AA78/(AS78*Assumptions!$AB$9/100)/T78)^2+
Assumptions!$S$9*(AA78/(AS78*Assumptions!$AB$9/100)/T78)+
Assumptions!$S$10),"")</f>
        <v/>
      </c>
      <c r="AQ78" s="95" t="str">
        <f>IFERROR(AO78*
(Assumptions!$S$7*(AK78/(AS78*Assumptions!$AB$8/100)/T78)^3+
Assumptions!$S$8*(AK78/(AS78*Assumptions!$AB$8/100)/T78)^2+
Assumptions!$S$9*(AK78/(AS78*Assumptions!$AB$8/100)/T78)+
Assumptions!$S$10),"")</f>
        <v/>
      </c>
      <c r="AR78" s="95" t="str">
        <f>IFERROR(AO78*
(Assumptions!$S$7*(AL78/(AS78*Assumptions!$AB$10/100)/T78)^3+
Assumptions!$S$8*(AL78/(AS78*Assumptions!$AB$10/100)/T78)^2+
Assumptions!$S$9*(AL78/(AS78*Assumptions!$AB$10/100)/T78)+
Assumptions!$S$10),"")</f>
        <v/>
      </c>
      <c r="AS78" s="95" t="str">
        <f>IFERROR(
Assumptions!$AD$8*LN(X78)^2+
Assumptions!$AE$8*LN(W78)*LN(X78)+
Assumptions!$AF$8*LN(W78)^2+
Assumptions!$AG$8*LN(X78)+
Assumptions!$AH$8*LN(W78)-
(IF(V78=1800,
VLOOKUP(C78,Assumptions!$AA$13:$AC$17,3),
IF(V78=3600,
VLOOKUP(C78,Assumptions!$AA$18:$AC$22,3),""))+Assumptions!$AI$8),
"")</f>
        <v/>
      </c>
      <c r="AT78" s="96" t="str">
        <f>IFERROR(
Assumptions!$D$11*(AA78/(Assumptions!$AB$9*AS78/100)+AP78)+
Assumptions!$D$10*(AK78/(Assumptions!$AB$8*AS78/100)+AQ78)+
Assumptions!$D$12*(AL78/(Assumptions!$AB$10*AS78/100)+AR78),
"")</f>
        <v/>
      </c>
      <c r="AU78" s="76" t="str">
        <f>IFERROR(
Z78*Assumptions!$F$11+
AD78*Assumptions!$F$10+
AG78*Assumptions!$F$9+
AJ78*Assumptions!$F$8,
"")</f>
        <v/>
      </c>
      <c r="AV78" s="77" t="str">
        <f t="shared" si="53"/>
        <v/>
      </c>
      <c r="AW78" s="68" t="str">
        <f t="shared" si="54"/>
        <v/>
      </c>
    </row>
    <row r="79" spans="1:49" x14ac:dyDescent="0.25">
      <c r="A79" s="264"/>
      <c r="B79" s="265"/>
      <c r="C79" s="265"/>
      <c r="D79" s="265"/>
      <c r="E79" s="266"/>
      <c r="F79" s="270"/>
      <c r="G79" s="271"/>
      <c r="H79" s="310"/>
      <c r="I79" s="270"/>
      <c r="J79" s="271"/>
      <c r="K79" s="272"/>
      <c r="L79" s="308"/>
      <c r="M79" s="271"/>
      <c r="N79" s="310"/>
      <c r="O79" s="270"/>
      <c r="P79" s="271"/>
      <c r="Q79" s="272"/>
      <c r="R79" s="272"/>
      <c r="S79" s="318"/>
      <c r="T79" s="306"/>
      <c r="U79" s="84" t="str">
        <f t="shared" si="35"/>
        <v/>
      </c>
      <c r="V79" s="84" t="str">
        <f t="shared" si="50"/>
        <v/>
      </c>
      <c r="W79" s="93" t="str">
        <f t="shared" si="36"/>
        <v/>
      </c>
      <c r="X79" s="100" t="str">
        <f t="shared" si="37"/>
        <v/>
      </c>
      <c r="Y79" s="95" t="str">
        <f t="shared" si="38"/>
        <v/>
      </c>
      <c r="Z79" s="95" t="str">
        <f t="shared" si="39"/>
        <v/>
      </c>
      <c r="AA79" s="98" t="str">
        <f>IFERROR(X79*Y79*Assumptions!$B$15/3956,"")</f>
        <v/>
      </c>
      <c r="AB79" s="100" t="str">
        <f t="shared" si="51"/>
        <v/>
      </c>
      <c r="AC79" s="95" t="str">
        <f t="shared" si="52"/>
        <v/>
      </c>
      <c r="AD79" s="95" t="str">
        <f t="shared" si="40"/>
        <v/>
      </c>
      <c r="AE79" s="100" t="str">
        <f t="shared" si="41"/>
        <v/>
      </c>
      <c r="AF79" s="95" t="str">
        <f t="shared" si="42"/>
        <v/>
      </c>
      <c r="AG79" s="98" t="str">
        <f t="shared" si="43"/>
        <v/>
      </c>
      <c r="AH79" s="100" t="str">
        <f t="shared" si="44"/>
        <v/>
      </c>
      <c r="AI79" s="95" t="str">
        <f t="shared" si="45"/>
        <v/>
      </c>
      <c r="AJ79" s="98" t="str">
        <f t="shared" si="46"/>
        <v/>
      </c>
      <c r="AK79" s="94" t="str">
        <f t="shared" si="47"/>
        <v/>
      </c>
      <c r="AL79" s="96" t="str">
        <f t="shared" si="48"/>
        <v/>
      </c>
      <c r="AM79" s="244" t="str">
        <f>IFERROR(
IF(C79="VTS",
IF(T79&gt;=AVERAGE(
INDEX(Assumptions!$I$38:$I$57,MATCH(T79,Assumptions!$I$38:$I$57,-1)),
INDEX(Assumptions!$I$38:$I$57,MATCH(T79,Assumptions!$I$38:$I$57,-1)+1)),
INDEX(Assumptions!$I$38:$I$57,MATCH(T79,Assumptions!$I$38:$I$57,-1)),
INDEX(Assumptions!$I$38:$I$57,MATCH(T79,Assumptions!$I$38:$I$57,-1)+1)),
IF(T79&gt;=AVERAGE(
INDEX(Assumptions!$I$13:$I$32,MATCH(T79,Assumptions!$I$13:$I$32,-1)),
INDEX(Assumptions!$I$13:$I$32,MATCH(T79,Assumptions!$I$13:$I$32,-1)+1)),
INDEX(Assumptions!$I$13:$I$32,MATCH(T79,Assumptions!$I$13:$I$32,-1)),
INDEX(Assumptions!$I$13:$I$32,MATCH(T79,Assumptions!$I$13:$I$32,-1)+1))),
"")</f>
        <v/>
      </c>
      <c r="AN79" s="95" t="str">
        <f>IFERROR(
IF(C79="VTS",
VLOOKUP(AM79,Assumptions!$I$38:$K$57,MATCH(U79,Assumptions!$I$37:$K$37,0),FALSE),
VLOOKUP(AM79,Assumptions!$I$13:$K$32,MATCH(U79,Assumptions!$I$12:$K$12,0),FALSE)),
"")</f>
        <v/>
      </c>
      <c r="AO79" s="95" t="str">
        <f t="shared" si="49"/>
        <v/>
      </c>
      <c r="AP79" s="95" t="str">
        <f>IFERROR(AO79*
(Assumptions!$S$7*(AA79/(AS79*Assumptions!$AB$9/100)/T79)^3+
Assumptions!$S$8*(AA79/(AS79*Assumptions!$AB$9/100)/T79)^2+
Assumptions!$S$9*(AA79/(AS79*Assumptions!$AB$9/100)/T79)+
Assumptions!$S$10),"")</f>
        <v/>
      </c>
      <c r="AQ79" s="95" t="str">
        <f>IFERROR(AO79*
(Assumptions!$S$7*(AK79/(AS79*Assumptions!$AB$8/100)/T79)^3+
Assumptions!$S$8*(AK79/(AS79*Assumptions!$AB$8/100)/T79)^2+
Assumptions!$S$9*(AK79/(AS79*Assumptions!$AB$8/100)/T79)+
Assumptions!$S$10),"")</f>
        <v/>
      </c>
      <c r="AR79" s="95" t="str">
        <f>IFERROR(AO79*
(Assumptions!$S$7*(AL79/(AS79*Assumptions!$AB$10/100)/T79)^3+
Assumptions!$S$8*(AL79/(AS79*Assumptions!$AB$10/100)/T79)^2+
Assumptions!$S$9*(AL79/(AS79*Assumptions!$AB$10/100)/T79)+
Assumptions!$S$10),"")</f>
        <v/>
      </c>
      <c r="AS79" s="95" t="str">
        <f>IFERROR(
Assumptions!$AD$8*LN(X79)^2+
Assumptions!$AE$8*LN(W79)*LN(X79)+
Assumptions!$AF$8*LN(W79)^2+
Assumptions!$AG$8*LN(X79)+
Assumptions!$AH$8*LN(W79)-
(IF(V79=1800,
VLOOKUP(C79,Assumptions!$AA$13:$AC$17,3),
IF(V79=3600,
VLOOKUP(C79,Assumptions!$AA$18:$AC$22,3),""))+Assumptions!$AI$8),
"")</f>
        <v/>
      </c>
      <c r="AT79" s="96" t="str">
        <f>IFERROR(
Assumptions!$D$11*(AA79/(Assumptions!$AB$9*AS79/100)+AP79)+
Assumptions!$D$10*(AK79/(Assumptions!$AB$8*AS79/100)+AQ79)+
Assumptions!$D$12*(AL79/(Assumptions!$AB$10*AS79/100)+AR79),
"")</f>
        <v/>
      </c>
      <c r="AU79" s="76" t="str">
        <f>IFERROR(
Z79*Assumptions!$F$11+
AD79*Assumptions!$F$10+
AG79*Assumptions!$F$9+
AJ79*Assumptions!$F$8,
"")</f>
        <v/>
      </c>
      <c r="AV79" s="77" t="str">
        <f t="shared" si="53"/>
        <v/>
      </c>
      <c r="AW79" s="68" t="str">
        <f t="shared" si="54"/>
        <v/>
      </c>
    </row>
    <row r="80" spans="1:49" x14ac:dyDescent="0.25">
      <c r="A80" s="264"/>
      <c r="B80" s="265"/>
      <c r="C80" s="265"/>
      <c r="D80" s="265"/>
      <c r="E80" s="266"/>
      <c r="F80" s="270"/>
      <c r="G80" s="271"/>
      <c r="H80" s="310"/>
      <c r="I80" s="270"/>
      <c r="J80" s="271"/>
      <c r="K80" s="272"/>
      <c r="L80" s="308"/>
      <c r="M80" s="271"/>
      <c r="N80" s="310"/>
      <c r="O80" s="270"/>
      <c r="P80" s="271"/>
      <c r="Q80" s="272"/>
      <c r="R80" s="272"/>
      <c r="S80" s="318"/>
      <c r="T80" s="306"/>
      <c r="U80" s="84" t="str">
        <f t="shared" si="35"/>
        <v/>
      </c>
      <c r="V80" s="84" t="str">
        <f t="shared" si="50"/>
        <v/>
      </c>
      <c r="W80" s="93" t="str">
        <f t="shared" si="36"/>
        <v/>
      </c>
      <c r="X80" s="100" t="str">
        <f t="shared" si="37"/>
        <v/>
      </c>
      <c r="Y80" s="95" t="str">
        <f t="shared" si="38"/>
        <v/>
      </c>
      <c r="Z80" s="95" t="str">
        <f t="shared" si="39"/>
        <v/>
      </c>
      <c r="AA80" s="98" t="str">
        <f>IFERROR(X80*Y80*Assumptions!$B$15/3956,"")</f>
        <v/>
      </c>
      <c r="AB80" s="100" t="str">
        <f t="shared" si="51"/>
        <v/>
      </c>
      <c r="AC80" s="95" t="str">
        <f t="shared" si="52"/>
        <v/>
      </c>
      <c r="AD80" s="95" t="str">
        <f t="shared" si="40"/>
        <v/>
      </c>
      <c r="AE80" s="100" t="str">
        <f t="shared" si="41"/>
        <v/>
      </c>
      <c r="AF80" s="95" t="str">
        <f t="shared" si="42"/>
        <v/>
      </c>
      <c r="AG80" s="98" t="str">
        <f t="shared" si="43"/>
        <v/>
      </c>
      <c r="AH80" s="100" t="str">
        <f t="shared" si="44"/>
        <v/>
      </c>
      <c r="AI80" s="95" t="str">
        <f t="shared" si="45"/>
        <v/>
      </c>
      <c r="AJ80" s="98" t="str">
        <f t="shared" si="46"/>
        <v/>
      </c>
      <c r="AK80" s="94" t="str">
        <f t="shared" si="47"/>
        <v/>
      </c>
      <c r="AL80" s="96" t="str">
        <f t="shared" si="48"/>
        <v/>
      </c>
      <c r="AM80" s="244" t="str">
        <f>IFERROR(
IF(C80="VTS",
IF(T80&gt;=AVERAGE(
INDEX(Assumptions!$I$38:$I$57,MATCH(T80,Assumptions!$I$38:$I$57,-1)),
INDEX(Assumptions!$I$38:$I$57,MATCH(T80,Assumptions!$I$38:$I$57,-1)+1)),
INDEX(Assumptions!$I$38:$I$57,MATCH(T80,Assumptions!$I$38:$I$57,-1)),
INDEX(Assumptions!$I$38:$I$57,MATCH(T80,Assumptions!$I$38:$I$57,-1)+1)),
IF(T80&gt;=AVERAGE(
INDEX(Assumptions!$I$13:$I$32,MATCH(T80,Assumptions!$I$13:$I$32,-1)),
INDEX(Assumptions!$I$13:$I$32,MATCH(T80,Assumptions!$I$13:$I$32,-1)+1)),
INDEX(Assumptions!$I$13:$I$32,MATCH(T80,Assumptions!$I$13:$I$32,-1)),
INDEX(Assumptions!$I$13:$I$32,MATCH(T80,Assumptions!$I$13:$I$32,-1)+1))),
"")</f>
        <v/>
      </c>
      <c r="AN80" s="95" t="str">
        <f>IFERROR(
IF(C80="VTS",
VLOOKUP(AM80,Assumptions!$I$38:$K$57,MATCH(U80,Assumptions!$I$37:$K$37,0),FALSE),
VLOOKUP(AM80,Assumptions!$I$13:$K$32,MATCH(U80,Assumptions!$I$12:$K$12,0),FALSE)),
"")</f>
        <v/>
      </c>
      <c r="AO80" s="95" t="str">
        <f t="shared" si="49"/>
        <v/>
      </c>
      <c r="AP80" s="95" t="str">
        <f>IFERROR(AO80*
(Assumptions!$S$7*(AA80/(AS80*Assumptions!$AB$9/100)/T80)^3+
Assumptions!$S$8*(AA80/(AS80*Assumptions!$AB$9/100)/T80)^2+
Assumptions!$S$9*(AA80/(AS80*Assumptions!$AB$9/100)/T80)+
Assumptions!$S$10),"")</f>
        <v/>
      </c>
      <c r="AQ80" s="95" t="str">
        <f>IFERROR(AO80*
(Assumptions!$S$7*(AK80/(AS80*Assumptions!$AB$8/100)/T80)^3+
Assumptions!$S$8*(AK80/(AS80*Assumptions!$AB$8/100)/T80)^2+
Assumptions!$S$9*(AK80/(AS80*Assumptions!$AB$8/100)/T80)+
Assumptions!$S$10),"")</f>
        <v/>
      </c>
      <c r="AR80" s="95" t="str">
        <f>IFERROR(AO80*
(Assumptions!$S$7*(AL80/(AS80*Assumptions!$AB$10/100)/T80)^3+
Assumptions!$S$8*(AL80/(AS80*Assumptions!$AB$10/100)/T80)^2+
Assumptions!$S$9*(AL80/(AS80*Assumptions!$AB$10/100)/T80)+
Assumptions!$S$10),"")</f>
        <v/>
      </c>
      <c r="AS80" s="95" t="str">
        <f>IFERROR(
Assumptions!$AD$8*LN(X80)^2+
Assumptions!$AE$8*LN(W80)*LN(X80)+
Assumptions!$AF$8*LN(W80)^2+
Assumptions!$AG$8*LN(X80)+
Assumptions!$AH$8*LN(W80)-
(IF(V80=1800,
VLOOKUP(C80,Assumptions!$AA$13:$AC$17,3),
IF(V80=3600,
VLOOKUP(C80,Assumptions!$AA$18:$AC$22,3),""))+Assumptions!$AI$8),
"")</f>
        <v/>
      </c>
      <c r="AT80" s="96" t="str">
        <f>IFERROR(
Assumptions!$D$11*(AA80/(Assumptions!$AB$9*AS80/100)+AP80)+
Assumptions!$D$10*(AK80/(Assumptions!$AB$8*AS80/100)+AQ80)+
Assumptions!$D$12*(AL80/(Assumptions!$AB$10*AS80/100)+AR80),
"")</f>
        <v/>
      </c>
      <c r="AU80" s="76" t="str">
        <f>IFERROR(
Z80*Assumptions!$F$11+
AD80*Assumptions!$F$10+
AG80*Assumptions!$F$9+
AJ80*Assumptions!$F$8,
"")</f>
        <v/>
      </c>
      <c r="AV80" s="77" t="str">
        <f t="shared" si="53"/>
        <v/>
      </c>
      <c r="AW80" s="68" t="str">
        <f t="shared" si="54"/>
        <v/>
      </c>
    </row>
    <row r="81" spans="1:49" x14ac:dyDescent="0.25">
      <c r="A81" s="264"/>
      <c r="B81" s="265"/>
      <c r="C81" s="265"/>
      <c r="D81" s="265"/>
      <c r="E81" s="266"/>
      <c r="F81" s="270"/>
      <c r="G81" s="271"/>
      <c r="H81" s="310"/>
      <c r="I81" s="270"/>
      <c r="J81" s="271"/>
      <c r="K81" s="272"/>
      <c r="L81" s="308"/>
      <c r="M81" s="271"/>
      <c r="N81" s="310"/>
      <c r="O81" s="270"/>
      <c r="P81" s="271"/>
      <c r="Q81" s="272"/>
      <c r="R81" s="272"/>
      <c r="S81" s="318"/>
      <c r="T81" s="306"/>
      <c r="U81" s="84" t="str">
        <f t="shared" si="35"/>
        <v/>
      </c>
      <c r="V81" s="84" t="str">
        <f t="shared" si="50"/>
        <v/>
      </c>
      <c r="W81" s="93" t="str">
        <f t="shared" si="36"/>
        <v/>
      </c>
      <c r="X81" s="100" t="str">
        <f t="shared" si="37"/>
        <v/>
      </c>
      <c r="Y81" s="95" t="str">
        <f t="shared" si="38"/>
        <v/>
      </c>
      <c r="Z81" s="95" t="str">
        <f t="shared" si="39"/>
        <v/>
      </c>
      <c r="AA81" s="98" t="str">
        <f>IFERROR(X81*Y81*Assumptions!$B$15/3956,"")</f>
        <v/>
      </c>
      <c r="AB81" s="100" t="str">
        <f t="shared" si="51"/>
        <v/>
      </c>
      <c r="AC81" s="95" t="str">
        <f t="shared" si="52"/>
        <v/>
      </c>
      <c r="AD81" s="95" t="str">
        <f t="shared" si="40"/>
        <v/>
      </c>
      <c r="AE81" s="100" t="str">
        <f t="shared" si="41"/>
        <v/>
      </c>
      <c r="AF81" s="95" t="str">
        <f t="shared" si="42"/>
        <v/>
      </c>
      <c r="AG81" s="98" t="str">
        <f t="shared" si="43"/>
        <v/>
      </c>
      <c r="AH81" s="100" t="str">
        <f t="shared" si="44"/>
        <v/>
      </c>
      <c r="AI81" s="95" t="str">
        <f t="shared" si="45"/>
        <v/>
      </c>
      <c r="AJ81" s="98" t="str">
        <f t="shared" si="46"/>
        <v/>
      </c>
      <c r="AK81" s="94" t="str">
        <f t="shared" si="47"/>
        <v/>
      </c>
      <c r="AL81" s="96" t="str">
        <f t="shared" si="48"/>
        <v/>
      </c>
      <c r="AM81" s="244" t="str">
        <f>IFERROR(
IF(C81="VTS",
IF(T81&gt;=AVERAGE(
INDEX(Assumptions!$I$38:$I$57,MATCH(T81,Assumptions!$I$38:$I$57,-1)),
INDEX(Assumptions!$I$38:$I$57,MATCH(T81,Assumptions!$I$38:$I$57,-1)+1)),
INDEX(Assumptions!$I$38:$I$57,MATCH(T81,Assumptions!$I$38:$I$57,-1)),
INDEX(Assumptions!$I$38:$I$57,MATCH(T81,Assumptions!$I$38:$I$57,-1)+1)),
IF(T81&gt;=AVERAGE(
INDEX(Assumptions!$I$13:$I$32,MATCH(T81,Assumptions!$I$13:$I$32,-1)),
INDEX(Assumptions!$I$13:$I$32,MATCH(T81,Assumptions!$I$13:$I$32,-1)+1)),
INDEX(Assumptions!$I$13:$I$32,MATCH(T81,Assumptions!$I$13:$I$32,-1)),
INDEX(Assumptions!$I$13:$I$32,MATCH(T81,Assumptions!$I$13:$I$32,-1)+1))),
"")</f>
        <v/>
      </c>
      <c r="AN81" s="95" t="str">
        <f>IFERROR(
IF(C81="VTS",
VLOOKUP(AM81,Assumptions!$I$38:$K$57,MATCH(U81,Assumptions!$I$37:$K$37,0),FALSE),
VLOOKUP(AM81,Assumptions!$I$13:$K$32,MATCH(U81,Assumptions!$I$12:$K$12,0),FALSE)),
"")</f>
        <v/>
      </c>
      <c r="AO81" s="95" t="str">
        <f t="shared" si="49"/>
        <v/>
      </c>
      <c r="AP81" s="95" t="str">
        <f>IFERROR(AO81*
(Assumptions!$S$7*(AA81/(AS81*Assumptions!$AB$9/100)/T81)^3+
Assumptions!$S$8*(AA81/(AS81*Assumptions!$AB$9/100)/T81)^2+
Assumptions!$S$9*(AA81/(AS81*Assumptions!$AB$9/100)/T81)+
Assumptions!$S$10),"")</f>
        <v/>
      </c>
      <c r="AQ81" s="95" t="str">
        <f>IFERROR(AO81*
(Assumptions!$S$7*(AK81/(AS81*Assumptions!$AB$8/100)/T81)^3+
Assumptions!$S$8*(AK81/(AS81*Assumptions!$AB$8/100)/T81)^2+
Assumptions!$S$9*(AK81/(AS81*Assumptions!$AB$8/100)/T81)+
Assumptions!$S$10),"")</f>
        <v/>
      </c>
      <c r="AR81" s="95" t="str">
        <f>IFERROR(AO81*
(Assumptions!$S$7*(AL81/(AS81*Assumptions!$AB$10/100)/T81)^3+
Assumptions!$S$8*(AL81/(AS81*Assumptions!$AB$10/100)/T81)^2+
Assumptions!$S$9*(AL81/(AS81*Assumptions!$AB$10/100)/T81)+
Assumptions!$S$10),"")</f>
        <v/>
      </c>
      <c r="AS81" s="95" t="str">
        <f>IFERROR(
Assumptions!$AD$8*LN(X81)^2+
Assumptions!$AE$8*LN(W81)*LN(X81)+
Assumptions!$AF$8*LN(W81)^2+
Assumptions!$AG$8*LN(X81)+
Assumptions!$AH$8*LN(W81)-
(IF(V81=1800,
VLOOKUP(C81,Assumptions!$AA$13:$AC$17,3),
IF(V81=3600,
VLOOKUP(C81,Assumptions!$AA$18:$AC$22,3),""))+Assumptions!$AI$8),
"")</f>
        <v/>
      </c>
      <c r="AT81" s="96" t="str">
        <f>IFERROR(
Assumptions!$D$11*(AA81/(Assumptions!$AB$9*AS81/100)+AP81)+
Assumptions!$D$10*(AK81/(Assumptions!$AB$8*AS81/100)+AQ81)+
Assumptions!$D$12*(AL81/(Assumptions!$AB$10*AS81/100)+AR81),
"")</f>
        <v/>
      </c>
      <c r="AU81" s="76" t="str">
        <f>IFERROR(
Z81*Assumptions!$F$11+
AD81*Assumptions!$F$10+
AG81*Assumptions!$F$9+
AJ81*Assumptions!$F$8,
"")</f>
        <v/>
      </c>
      <c r="AV81" s="77" t="str">
        <f t="shared" si="53"/>
        <v/>
      </c>
      <c r="AW81" s="68" t="str">
        <f t="shared" si="54"/>
        <v/>
      </c>
    </row>
    <row r="82" spans="1:49" x14ac:dyDescent="0.25">
      <c r="A82" s="264"/>
      <c r="B82" s="265"/>
      <c r="C82" s="265"/>
      <c r="D82" s="265"/>
      <c r="E82" s="266"/>
      <c r="F82" s="270"/>
      <c r="G82" s="271"/>
      <c r="H82" s="310"/>
      <c r="I82" s="270"/>
      <c r="J82" s="271"/>
      <c r="K82" s="272"/>
      <c r="L82" s="308"/>
      <c r="M82" s="271"/>
      <c r="N82" s="310"/>
      <c r="O82" s="270"/>
      <c r="P82" s="271"/>
      <c r="Q82" s="272"/>
      <c r="R82" s="272"/>
      <c r="S82" s="318"/>
      <c r="T82" s="306"/>
      <c r="U82" s="84" t="str">
        <f t="shared" si="35"/>
        <v/>
      </c>
      <c r="V82" s="84" t="str">
        <f t="shared" si="50"/>
        <v/>
      </c>
      <c r="W82" s="93" t="str">
        <f t="shared" si="36"/>
        <v/>
      </c>
      <c r="X82" s="100" t="str">
        <f t="shared" si="37"/>
        <v/>
      </c>
      <c r="Y82" s="95" t="str">
        <f t="shared" si="38"/>
        <v/>
      </c>
      <c r="Z82" s="95" t="str">
        <f t="shared" si="39"/>
        <v/>
      </c>
      <c r="AA82" s="98" t="str">
        <f>IFERROR(X82*Y82*Assumptions!$B$15/3956,"")</f>
        <v/>
      </c>
      <c r="AB82" s="100" t="str">
        <f t="shared" si="51"/>
        <v/>
      </c>
      <c r="AC82" s="95" t="str">
        <f t="shared" si="52"/>
        <v/>
      </c>
      <c r="AD82" s="95" t="str">
        <f t="shared" si="40"/>
        <v/>
      </c>
      <c r="AE82" s="100" t="str">
        <f t="shared" si="41"/>
        <v/>
      </c>
      <c r="AF82" s="95" t="str">
        <f t="shared" si="42"/>
        <v/>
      </c>
      <c r="AG82" s="98" t="str">
        <f t="shared" si="43"/>
        <v/>
      </c>
      <c r="AH82" s="100" t="str">
        <f t="shared" si="44"/>
        <v/>
      </c>
      <c r="AI82" s="95" t="str">
        <f t="shared" si="45"/>
        <v/>
      </c>
      <c r="AJ82" s="98" t="str">
        <f t="shared" si="46"/>
        <v/>
      </c>
      <c r="AK82" s="94" t="str">
        <f t="shared" si="47"/>
        <v/>
      </c>
      <c r="AL82" s="96" t="str">
        <f t="shared" si="48"/>
        <v/>
      </c>
      <c r="AM82" s="244" t="str">
        <f>IFERROR(
IF(C82="VTS",
IF(T82&gt;=AVERAGE(
INDEX(Assumptions!$I$38:$I$57,MATCH(T82,Assumptions!$I$38:$I$57,-1)),
INDEX(Assumptions!$I$38:$I$57,MATCH(T82,Assumptions!$I$38:$I$57,-1)+1)),
INDEX(Assumptions!$I$38:$I$57,MATCH(T82,Assumptions!$I$38:$I$57,-1)),
INDEX(Assumptions!$I$38:$I$57,MATCH(T82,Assumptions!$I$38:$I$57,-1)+1)),
IF(T82&gt;=AVERAGE(
INDEX(Assumptions!$I$13:$I$32,MATCH(T82,Assumptions!$I$13:$I$32,-1)),
INDEX(Assumptions!$I$13:$I$32,MATCH(T82,Assumptions!$I$13:$I$32,-1)+1)),
INDEX(Assumptions!$I$13:$I$32,MATCH(T82,Assumptions!$I$13:$I$32,-1)),
INDEX(Assumptions!$I$13:$I$32,MATCH(T82,Assumptions!$I$13:$I$32,-1)+1))),
"")</f>
        <v/>
      </c>
      <c r="AN82" s="95" t="str">
        <f>IFERROR(
IF(C82="VTS",
VLOOKUP(AM82,Assumptions!$I$38:$K$57,MATCH(U82,Assumptions!$I$37:$K$37,0),FALSE),
VLOOKUP(AM82,Assumptions!$I$13:$K$32,MATCH(U82,Assumptions!$I$12:$K$12,0),FALSE)),
"")</f>
        <v/>
      </c>
      <c r="AO82" s="95" t="str">
        <f t="shared" si="49"/>
        <v/>
      </c>
      <c r="AP82" s="95" t="str">
        <f>IFERROR(AO82*
(Assumptions!$S$7*(AA82/(AS82*Assumptions!$AB$9/100)/T82)^3+
Assumptions!$S$8*(AA82/(AS82*Assumptions!$AB$9/100)/T82)^2+
Assumptions!$S$9*(AA82/(AS82*Assumptions!$AB$9/100)/T82)+
Assumptions!$S$10),"")</f>
        <v/>
      </c>
      <c r="AQ82" s="95" t="str">
        <f>IFERROR(AO82*
(Assumptions!$S$7*(AK82/(AS82*Assumptions!$AB$8/100)/T82)^3+
Assumptions!$S$8*(AK82/(AS82*Assumptions!$AB$8/100)/T82)^2+
Assumptions!$S$9*(AK82/(AS82*Assumptions!$AB$8/100)/T82)+
Assumptions!$S$10),"")</f>
        <v/>
      </c>
      <c r="AR82" s="95" t="str">
        <f>IFERROR(AO82*
(Assumptions!$S$7*(AL82/(AS82*Assumptions!$AB$10/100)/T82)^3+
Assumptions!$S$8*(AL82/(AS82*Assumptions!$AB$10/100)/T82)^2+
Assumptions!$S$9*(AL82/(AS82*Assumptions!$AB$10/100)/T82)+
Assumptions!$S$10),"")</f>
        <v/>
      </c>
      <c r="AS82" s="95" t="str">
        <f>IFERROR(
Assumptions!$AD$8*LN(X82)^2+
Assumptions!$AE$8*LN(W82)*LN(X82)+
Assumptions!$AF$8*LN(W82)^2+
Assumptions!$AG$8*LN(X82)+
Assumptions!$AH$8*LN(W82)-
(IF(V82=1800,
VLOOKUP(C82,Assumptions!$AA$13:$AC$17,3),
IF(V82=3600,
VLOOKUP(C82,Assumptions!$AA$18:$AC$22,3),""))+Assumptions!$AI$8),
"")</f>
        <v/>
      </c>
      <c r="AT82" s="96" t="str">
        <f>IFERROR(
Assumptions!$D$11*(AA82/(Assumptions!$AB$9*AS82/100)+AP82)+
Assumptions!$D$10*(AK82/(Assumptions!$AB$8*AS82/100)+AQ82)+
Assumptions!$D$12*(AL82/(Assumptions!$AB$10*AS82/100)+AR82),
"")</f>
        <v/>
      </c>
      <c r="AU82" s="76" t="str">
        <f>IFERROR(
Z82*Assumptions!$F$11+
AD82*Assumptions!$F$10+
AG82*Assumptions!$F$9+
AJ82*Assumptions!$F$8,
"")</f>
        <v/>
      </c>
      <c r="AV82" s="77" t="str">
        <f t="shared" si="53"/>
        <v/>
      </c>
      <c r="AW82" s="68" t="str">
        <f t="shared" si="54"/>
        <v/>
      </c>
    </row>
    <row r="83" spans="1:49" x14ac:dyDescent="0.25">
      <c r="A83" s="264"/>
      <c r="B83" s="265"/>
      <c r="C83" s="265"/>
      <c r="D83" s="265"/>
      <c r="E83" s="266"/>
      <c r="F83" s="270"/>
      <c r="G83" s="271"/>
      <c r="H83" s="310"/>
      <c r="I83" s="270"/>
      <c r="J83" s="271"/>
      <c r="K83" s="272"/>
      <c r="L83" s="308"/>
      <c r="M83" s="271"/>
      <c r="N83" s="310"/>
      <c r="O83" s="270"/>
      <c r="P83" s="271"/>
      <c r="Q83" s="272"/>
      <c r="R83" s="272"/>
      <c r="S83" s="318"/>
      <c r="T83" s="306"/>
      <c r="U83" s="84" t="str">
        <f t="shared" si="35"/>
        <v/>
      </c>
      <c r="V83" s="84" t="str">
        <f t="shared" si="50"/>
        <v/>
      </c>
      <c r="W83" s="93" t="str">
        <f t="shared" si="36"/>
        <v/>
      </c>
      <c r="X83" s="100" t="str">
        <f t="shared" si="37"/>
        <v/>
      </c>
      <c r="Y83" s="95" t="str">
        <f t="shared" si="38"/>
        <v/>
      </c>
      <c r="Z83" s="95" t="str">
        <f t="shared" si="39"/>
        <v/>
      </c>
      <c r="AA83" s="98" t="str">
        <f>IFERROR(X83*Y83*Assumptions!$B$15/3956,"")</f>
        <v/>
      </c>
      <c r="AB83" s="100" t="str">
        <f t="shared" si="51"/>
        <v/>
      </c>
      <c r="AC83" s="95" t="str">
        <f t="shared" si="52"/>
        <v/>
      </c>
      <c r="AD83" s="95" t="str">
        <f t="shared" si="40"/>
        <v/>
      </c>
      <c r="AE83" s="100" t="str">
        <f t="shared" si="41"/>
        <v/>
      </c>
      <c r="AF83" s="95" t="str">
        <f t="shared" si="42"/>
        <v/>
      </c>
      <c r="AG83" s="98" t="str">
        <f t="shared" si="43"/>
        <v/>
      </c>
      <c r="AH83" s="100" t="str">
        <f t="shared" si="44"/>
        <v/>
      </c>
      <c r="AI83" s="95" t="str">
        <f t="shared" si="45"/>
        <v/>
      </c>
      <c r="AJ83" s="98" t="str">
        <f t="shared" si="46"/>
        <v/>
      </c>
      <c r="AK83" s="94" t="str">
        <f t="shared" si="47"/>
        <v/>
      </c>
      <c r="AL83" s="96" t="str">
        <f t="shared" si="48"/>
        <v/>
      </c>
      <c r="AM83" s="244" t="str">
        <f>IFERROR(
IF(C83="VTS",
IF(T83&gt;=AVERAGE(
INDEX(Assumptions!$I$38:$I$57,MATCH(T83,Assumptions!$I$38:$I$57,-1)),
INDEX(Assumptions!$I$38:$I$57,MATCH(T83,Assumptions!$I$38:$I$57,-1)+1)),
INDEX(Assumptions!$I$38:$I$57,MATCH(T83,Assumptions!$I$38:$I$57,-1)),
INDEX(Assumptions!$I$38:$I$57,MATCH(T83,Assumptions!$I$38:$I$57,-1)+1)),
IF(T83&gt;=AVERAGE(
INDEX(Assumptions!$I$13:$I$32,MATCH(T83,Assumptions!$I$13:$I$32,-1)),
INDEX(Assumptions!$I$13:$I$32,MATCH(T83,Assumptions!$I$13:$I$32,-1)+1)),
INDEX(Assumptions!$I$13:$I$32,MATCH(T83,Assumptions!$I$13:$I$32,-1)),
INDEX(Assumptions!$I$13:$I$32,MATCH(T83,Assumptions!$I$13:$I$32,-1)+1))),
"")</f>
        <v/>
      </c>
      <c r="AN83" s="95" t="str">
        <f>IFERROR(
IF(C83="VTS",
VLOOKUP(AM83,Assumptions!$I$38:$K$57,MATCH(U83,Assumptions!$I$37:$K$37,0),FALSE),
VLOOKUP(AM83,Assumptions!$I$13:$K$32,MATCH(U83,Assumptions!$I$12:$K$12,0),FALSE)),
"")</f>
        <v/>
      </c>
      <c r="AO83" s="95" t="str">
        <f t="shared" si="49"/>
        <v/>
      </c>
      <c r="AP83" s="95" t="str">
        <f>IFERROR(AO83*
(Assumptions!$S$7*(AA83/(AS83*Assumptions!$AB$9/100)/T83)^3+
Assumptions!$S$8*(AA83/(AS83*Assumptions!$AB$9/100)/T83)^2+
Assumptions!$S$9*(AA83/(AS83*Assumptions!$AB$9/100)/T83)+
Assumptions!$S$10),"")</f>
        <v/>
      </c>
      <c r="AQ83" s="95" t="str">
        <f>IFERROR(AO83*
(Assumptions!$S$7*(AK83/(AS83*Assumptions!$AB$8/100)/T83)^3+
Assumptions!$S$8*(AK83/(AS83*Assumptions!$AB$8/100)/T83)^2+
Assumptions!$S$9*(AK83/(AS83*Assumptions!$AB$8/100)/T83)+
Assumptions!$S$10),"")</f>
        <v/>
      </c>
      <c r="AR83" s="95" t="str">
        <f>IFERROR(AO83*
(Assumptions!$S$7*(AL83/(AS83*Assumptions!$AB$10/100)/T83)^3+
Assumptions!$S$8*(AL83/(AS83*Assumptions!$AB$10/100)/T83)^2+
Assumptions!$S$9*(AL83/(AS83*Assumptions!$AB$10/100)/T83)+
Assumptions!$S$10),"")</f>
        <v/>
      </c>
      <c r="AS83" s="95" t="str">
        <f>IFERROR(
Assumptions!$AD$8*LN(X83)^2+
Assumptions!$AE$8*LN(W83)*LN(X83)+
Assumptions!$AF$8*LN(W83)^2+
Assumptions!$AG$8*LN(X83)+
Assumptions!$AH$8*LN(W83)-
(IF(V83=1800,
VLOOKUP(C83,Assumptions!$AA$13:$AC$17,3),
IF(V83=3600,
VLOOKUP(C83,Assumptions!$AA$18:$AC$22,3),""))+Assumptions!$AI$8),
"")</f>
        <v/>
      </c>
      <c r="AT83" s="96" t="str">
        <f>IFERROR(
Assumptions!$D$11*(AA83/(Assumptions!$AB$9*AS83/100)+AP83)+
Assumptions!$D$10*(AK83/(Assumptions!$AB$8*AS83/100)+AQ83)+
Assumptions!$D$12*(AL83/(Assumptions!$AB$10*AS83/100)+AR83),
"")</f>
        <v/>
      </c>
      <c r="AU83" s="76" t="str">
        <f>IFERROR(
Z83*Assumptions!$F$11+
AD83*Assumptions!$F$10+
AG83*Assumptions!$F$9+
AJ83*Assumptions!$F$8,
"")</f>
        <v/>
      </c>
      <c r="AV83" s="77" t="str">
        <f t="shared" si="53"/>
        <v/>
      </c>
      <c r="AW83" s="68" t="str">
        <f t="shared" si="54"/>
        <v/>
      </c>
    </row>
    <row r="84" spans="1:49" x14ac:dyDescent="0.25">
      <c r="A84" s="264"/>
      <c r="B84" s="265"/>
      <c r="C84" s="265"/>
      <c r="D84" s="265"/>
      <c r="E84" s="266"/>
      <c r="F84" s="270"/>
      <c r="G84" s="271"/>
      <c r="H84" s="310"/>
      <c r="I84" s="270"/>
      <c r="J84" s="271"/>
      <c r="K84" s="272"/>
      <c r="L84" s="308"/>
      <c r="M84" s="271"/>
      <c r="N84" s="310"/>
      <c r="O84" s="270"/>
      <c r="P84" s="271"/>
      <c r="Q84" s="272"/>
      <c r="R84" s="272"/>
      <c r="S84" s="318"/>
      <c r="T84" s="306"/>
      <c r="U84" s="84" t="str">
        <f t="shared" si="35"/>
        <v/>
      </c>
      <c r="V84" s="84" t="str">
        <f t="shared" si="50"/>
        <v/>
      </c>
      <c r="W84" s="93" t="str">
        <f t="shared" si="36"/>
        <v/>
      </c>
      <c r="X84" s="100" t="str">
        <f t="shared" si="37"/>
        <v/>
      </c>
      <c r="Y84" s="95" t="str">
        <f t="shared" si="38"/>
        <v/>
      </c>
      <c r="Z84" s="95" t="str">
        <f t="shared" si="39"/>
        <v/>
      </c>
      <c r="AA84" s="98" t="str">
        <f>IFERROR(X84*Y84*Assumptions!$B$15/3956,"")</f>
        <v/>
      </c>
      <c r="AB84" s="100" t="str">
        <f t="shared" si="51"/>
        <v/>
      </c>
      <c r="AC84" s="95" t="str">
        <f t="shared" si="52"/>
        <v/>
      </c>
      <c r="AD84" s="95" t="str">
        <f t="shared" si="40"/>
        <v/>
      </c>
      <c r="AE84" s="100" t="str">
        <f t="shared" si="41"/>
        <v/>
      </c>
      <c r="AF84" s="95" t="str">
        <f t="shared" si="42"/>
        <v/>
      </c>
      <c r="AG84" s="98" t="str">
        <f t="shared" si="43"/>
        <v/>
      </c>
      <c r="AH84" s="100" t="str">
        <f t="shared" si="44"/>
        <v/>
      </c>
      <c r="AI84" s="95" t="str">
        <f t="shared" si="45"/>
        <v/>
      </c>
      <c r="AJ84" s="98" t="str">
        <f t="shared" si="46"/>
        <v/>
      </c>
      <c r="AK84" s="94" t="str">
        <f t="shared" si="47"/>
        <v/>
      </c>
      <c r="AL84" s="96" t="str">
        <f t="shared" si="48"/>
        <v/>
      </c>
      <c r="AM84" s="244" t="str">
        <f>IFERROR(
IF(C84="VTS",
IF(T84&gt;=AVERAGE(
INDEX(Assumptions!$I$38:$I$57,MATCH(T84,Assumptions!$I$38:$I$57,-1)),
INDEX(Assumptions!$I$38:$I$57,MATCH(T84,Assumptions!$I$38:$I$57,-1)+1)),
INDEX(Assumptions!$I$38:$I$57,MATCH(T84,Assumptions!$I$38:$I$57,-1)),
INDEX(Assumptions!$I$38:$I$57,MATCH(T84,Assumptions!$I$38:$I$57,-1)+1)),
IF(T84&gt;=AVERAGE(
INDEX(Assumptions!$I$13:$I$32,MATCH(T84,Assumptions!$I$13:$I$32,-1)),
INDEX(Assumptions!$I$13:$I$32,MATCH(T84,Assumptions!$I$13:$I$32,-1)+1)),
INDEX(Assumptions!$I$13:$I$32,MATCH(T84,Assumptions!$I$13:$I$32,-1)),
INDEX(Assumptions!$I$13:$I$32,MATCH(T84,Assumptions!$I$13:$I$32,-1)+1))),
"")</f>
        <v/>
      </c>
      <c r="AN84" s="95" t="str">
        <f>IFERROR(
IF(C84="VTS",
VLOOKUP(AM84,Assumptions!$I$38:$K$57,MATCH(U84,Assumptions!$I$37:$K$37,0),FALSE),
VLOOKUP(AM84,Assumptions!$I$13:$K$32,MATCH(U84,Assumptions!$I$12:$K$12,0),FALSE)),
"")</f>
        <v/>
      </c>
      <c r="AO84" s="95" t="str">
        <f t="shared" si="49"/>
        <v/>
      </c>
      <c r="AP84" s="95" t="str">
        <f>IFERROR(AO84*
(Assumptions!$S$7*(AA84/(AS84*Assumptions!$AB$9/100)/T84)^3+
Assumptions!$S$8*(AA84/(AS84*Assumptions!$AB$9/100)/T84)^2+
Assumptions!$S$9*(AA84/(AS84*Assumptions!$AB$9/100)/T84)+
Assumptions!$S$10),"")</f>
        <v/>
      </c>
      <c r="AQ84" s="95" t="str">
        <f>IFERROR(AO84*
(Assumptions!$S$7*(AK84/(AS84*Assumptions!$AB$8/100)/T84)^3+
Assumptions!$S$8*(AK84/(AS84*Assumptions!$AB$8/100)/T84)^2+
Assumptions!$S$9*(AK84/(AS84*Assumptions!$AB$8/100)/T84)+
Assumptions!$S$10),"")</f>
        <v/>
      </c>
      <c r="AR84" s="95" t="str">
        <f>IFERROR(AO84*
(Assumptions!$S$7*(AL84/(AS84*Assumptions!$AB$10/100)/T84)^3+
Assumptions!$S$8*(AL84/(AS84*Assumptions!$AB$10/100)/T84)^2+
Assumptions!$S$9*(AL84/(AS84*Assumptions!$AB$10/100)/T84)+
Assumptions!$S$10),"")</f>
        <v/>
      </c>
      <c r="AS84" s="95" t="str">
        <f>IFERROR(
Assumptions!$AD$8*LN(X84)^2+
Assumptions!$AE$8*LN(W84)*LN(X84)+
Assumptions!$AF$8*LN(W84)^2+
Assumptions!$AG$8*LN(X84)+
Assumptions!$AH$8*LN(W84)-
(IF(V84=1800,
VLOOKUP(C84,Assumptions!$AA$13:$AC$17,3),
IF(V84=3600,
VLOOKUP(C84,Assumptions!$AA$18:$AC$22,3),""))+Assumptions!$AI$8),
"")</f>
        <v/>
      </c>
      <c r="AT84" s="96" t="str">
        <f>IFERROR(
Assumptions!$D$11*(AA84/(Assumptions!$AB$9*AS84/100)+AP84)+
Assumptions!$D$10*(AK84/(Assumptions!$AB$8*AS84/100)+AQ84)+
Assumptions!$D$12*(AL84/(Assumptions!$AB$10*AS84/100)+AR84),
"")</f>
        <v/>
      </c>
      <c r="AU84" s="76" t="str">
        <f>IFERROR(
Z84*Assumptions!$F$11+
AD84*Assumptions!$F$10+
AG84*Assumptions!$F$9+
AJ84*Assumptions!$F$8,
"")</f>
        <v/>
      </c>
      <c r="AV84" s="77" t="str">
        <f t="shared" si="53"/>
        <v/>
      </c>
      <c r="AW84" s="68" t="str">
        <f t="shared" si="54"/>
        <v/>
      </c>
    </row>
    <row r="85" spans="1:49" x14ac:dyDescent="0.25">
      <c r="A85" s="264"/>
      <c r="B85" s="265"/>
      <c r="C85" s="265"/>
      <c r="D85" s="265"/>
      <c r="E85" s="266"/>
      <c r="F85" s="270"/>
      <c r="G85" s="271"/>
      <c r="H85" s="310"/>
      <c r="I85" s="270"/>
      <c r="J85" s="271"/>
      <c r="K85" s="272"/>
      <c r="L85" s="308"/>
      <c r="M85" s="271"/>
      <c r="N85" s="310"/>
      <c r="O85" s="270"/>
      <c r="P85" s="271"/>
      <c r="Q85" s="272"/>
      <c r="R85" s="272"/>
      <c r="S85" s="318"/>
      <c r="T85" s="306"/>
      <c r="U85" s="84" t="str">
        <f t="shared" si="35"/>
        <v/>
      </c>
      <c r="V85" s="84" t="str">
        <f t="shared" si="50"/>
        <v/>
      </c>
      <c r="W85" s="93" t="str">
        <f t="shared" si="36"/>
        <v/>
      </c>
      <c r="X85" s="100" t="str">
        <f t="shared" si="37"/>
        <v/>
      </c>
      <c r="Y85" s="95" t="str">
        <f t="shared" si="38"/>
        <v/>
      </c>
      <c r="Z85" s="95" t="str">
        <f t="shared" si="39"/>
        <v/>
      </c>
      <c r="AA85" s="98" t="str">
        <f>IFERROR(X85*Y85*Assumptions!$B$15/3956,"")</f>
        <v/>
      </c>
      <c r="AB85" s="100" t="str">
        <f t="shared" si="51"/>
        <v/>
      </c>
      <c r="AC85" s="95" t="str">
        <f t="shared" si="52"/>
        <v/>
      </c>
      <c r="AD85" s="95" t="str">
        <f t="shared" si="40"/>
        <v/>
      </c>
      <c r="AE85" s="100" t="str">
        <f t="shared" si="41"/>
        <v/>
      </c>
      <c r="AF85" s="95" t="str">
        <f t="shared" si="42"/>
        <v/>
      </c>
      <c r="AG85" s="98" t="str">
        <f t="shared" si="43"/>
        <v/>
      </c>
      <c r="AH85" s="100" t="str">
        <f t="shared" si="44"/>
        <v/>
      </c>
      <c r="AI85" s="95" t="str">
        <f t="shared" si="45"/>
        <v/>
      </c>
      <c r="AJ85" s="98" t="str">
        <f t="shared" si="46"/>
        <v/>
      </c>
      <c r="AK85" s="94" t="str">
        <f t="shared" si="47"/>
        <v/>
      </c>
      <c r="AL85" s="96" t="str">
        <f t="shared" si="48"/>
        <v/>
      </c>
      <c r="AM85" s="244" t="str">
        <f>IFERROR(
IF(C85="VTS",
IF(T85&gt;=AVERAGE(
INDEX(Assumptions!$I$38:$I$57,MATCH(T85,Assumptions!$I$38:$I$57,-1)),
INDEX(Assumptions!$I$38:$I$57,MATCH(T85,Assumptions!$I$38:$I$57,-1)+1)),
INDEX(Assumptions!$I$38:$I$57,MATCH(T85,Assumptions!$I$38:$I$57,-1)),
INDEX(Assumptions!$I$38:$I$57,MATCH(T85,Assumptions!$I$38:$I$57,-1)+1)),
IF(T85&gt;=AVERAGE(
INDEX(Assumptions!$I$13:$I$32,MATCH(T85,Assumptions!$I$13:$I$32,-1)),
INDEX(Assumptions!$I$13:$I$32,MATCH(T85,Assumptions!$I$13:$I$32,-1)+1)),
INDEX(Assumptions!$I$13:$I$32,MATCH(T85,Assumptions!$I$13:$I$32,-1)),
INDEX(Assumptions!$I$13:$I$32,MATCH(T85,Assumptions!$I$13:$I$32,-1)+1))),
"")</f>
        <v/>
      </c>
      <c r="AN85" s="95" t="str">
        <f>IFERROR(
IF(C85="VTS",
VLOOKUP(AM85,Assumptions!$I$38:$K$57,MATCH(U85,Assumptions!$I$37:$K$37,0),FALSE),
VLOOKUP(AM85,Assumptions!$I$13:$K$32,MATCH(U85,Assumptions!$I$12:$K$12,0),FALSE)),
"")</f>
        <v/>
      </c>
      <c r="AO85" s="95" t="str">
        <f t="shared" si="49"/>
        <v/>
      </c>
      <c r="AP85" s="95" t="str">
        <f>IFERROR(AO85*
(Assumptions!$S$7*(AA85/(AS85*Assumptions!$AB$9/100)/T85)^3+
Assumptions!$S$8*(AA85/(AS85*Assumptions!$AB$9/100)/T85)^2+
Assumptions!$S$9*(AA85/(AS85*Assumptions!$AB$9/100)/T85)+
Assumptions!$S$10),"")</f>
        <v/>
      </c>
      <c r="AQ85" s="95" t="str">
        <f>IFERROR(AO85*
(Assumptions!$S$7*(AK85/(AS85*Assumptions!$AB$8/100)/T85)^3+
Assumptions!$S$8*(AK85/(AS85*Assumptions!$AB$8/100)/T85)^2+
Assumptions!$S$9*(AK85/(AS85*Assumptions!$AB$8/100)/T85)+
Assumptions!$S$10),"")</f>
        <v/>
      </c>
      <c r="AR85" s="95" t="str">
        <f>IFERROR(AO85*
(Assumptions!$S$7*(AL85/(AS85*Assumptions!$AB$10/100)/T85)^3+
Assumptions!$S$8*(AL85/(AS85*Assumptions!$AB$10/100)/T85)^2+
Assumptions!$S$9*(AL85/(AS85*Assumptions!$AB$10/100)/T85)+
Assumptions!$S$10),"")</f>
        <v/>
      </c>
      <c r="AS85" s="95" t="str">
        <f>IFERROR(
Assumptions!$AD$8*LN(X85)^2+
Assumptions!$AE$8*LN(W85)*LN(X85)+
Assumptions!$AF$8*LN(W85)^2+
Assumptions!$AG$8*LN(X85)+
Assumptions!$AH$8*LN(W85)-
(IF(V85=1800,
VLOOKUP(C85,Assumptions!$AA$13:$AC$17,3),
IF(V85=3600,
VLOOKUP(C85,Assumptions!$AA$18:$AC$22,3),""))+Assumptions!$AI$8),
"")</f>
        <v/>
      </c>
      <c r="AT85" s="96" t="str">
        <f>IFERROR(
Assumptions!$D$11*(AA85/(Assumptions!$AB$9*AS85/100)+AP85)+
Assumptions!$D$10*(AK85/(Assumptions!$AB$8*AS85/100)+AQ85)+
Assumptions!$D$12*(AL85/(Assumptions!$AB$10*AS85/100)+AR85),
"")</f>
        <v/>
      </c>
      <c r="AU85" s="76" t="str">
        <f>IFERROR(
Z85*Assumptions!$F$11+
AD85*Assumptions!$F$10+
AG85*Assumptions!$F$9+
AJ85*Assumptions!$F$8,
"")</f>
        <v/>
      </c>
      <c r="AV85" s="77" t="str">
        <f t="shared" si="53"/>
        <v/>
      </c>
      <c r="AW85" s="68" t="str">
        <f t="shared" si="54"/>
        <v/>
      </c>
    </row>
    <row r="86" spans="1:49" x14ac:dyDescent="0.25">
      <c r="A86" s="264"/>
      <c r="B86" s="265"/>
      <c r="C86" s="265"/>
      <c r="D86" s="265"/>
      <c r="E86" s="266"/>
      <c r="F86" s="270"/>
      <c r="G86" s="271"/>
      <c r="H86" s="310"/>
      <c r="I86" s="270"/>
      <c r="J86" s="271"/>
      <c r="K86" s="272"/>
      <c r="L86" s="308"/>
      <c r="M86" s="271"/>
      <c r="N86" s="310"/>
      <c r="O86" s="270"/>
      <c r="P86" s="271"/>
      <c r="Q86" s="272"/>
      <c r="R86" s="272"/>
      <c r="S86" s="318"/>
      <c r="T86" s="306"/>
      <c r="U86" s="84" t="str">
        <f t="shared" si="35"/>
        <v/>
      </c>
      <c r="V86" s="84" t="str">
        <f t="shared" si="50"/>
        <v/>
      </c>
      <c r="W86" s="93" t="str">
        <f t="shared" si="36"/>
        <v/>
      </c>
      <c r="X86" s="100" t="str">
        <f t="shared" si="37"/>
        <v/>
      </c>
      <c r="Y86" s="95" t="str">
        <f t="shared" si="38"/>
        <v/>
      </c>
      <c r="Z86" s="95" t="str">
        <f t="shared" si="39"/>
        <v/>
      </c>
      <c r="AA86" s="98" t="str">
        <f>IFERROR(X86*Y86*Assumptions!$B$15/3956,"")</f>
        <v/>
      </c>
      <c r="AB86" s="100" t="str">
        <f t="shared" si="51"/>
        <v/>
      </c>
      <c r="AC86" s="95" t="str">
        <f t="shared" si="52"/>
        <v/>
      </c>
      <c r="AD86" s="95" t="str">
        <f t="shared" si="40"/>
        <v/>
      </c>
      <c r="AE86" s="100" t="str">
        <f t="shared" si="41"/>
        <v/>
      </c>
      <c r="AF86" s="95" t="str">
        <f t="shared" si="42"/>
        <v/>
      </c>
      <c r="AG86" s="98" t="str">
        <f t="shared" si="43"/>
        <v/>
      </c>
      <c r="AH86" s="100" t="str">
        <f t="shared" si="44"/>
        <v/>
      </c>
      <c r="AI86" s="95" t="str">
        <f t="shared" si="45"/>
        <v/>
      </c>
      <c r="AJ86" s="98" t="str">
        <f t="shared" si="46"/>
        <v/>
      </c>
      <c r="AK86" s="94" t="str">
        <f t="shared" si="47"/>
        <v/>
      </c>
      <c r="AL86" s="96" t="str">
        <f t="shared" si="48"/>
        <v/>
      </c>
      <c r="AM86" s="244" t="str">
        <f>IFERROR(
IF(C86="VTS",
IF(T86&gt;=AVERAGE(
INDEX(Assumptions!$I$38:$I$57,MATCH(T86,Assumptions!$I$38:$I$57,-1)),
INDEX(Assumptions!$I$38:$I$57,MATCH(T86,Assumptions!$I$38:$I$57,-1)+1)),
INDEX(Assumptions!$I$38:$I$57,MATCH(T86,Assumptions!$I$38:$I$57,-1)),
INDEX(Assumptions!$I$38:$I$57,MATCH(T86,Assumptions!$I$38:$I$57,-1)+1)),
IF(T86&gt;=AVERAGE(
INDEX(Assumptions!$I$13:$I$32,MATCH(T86,Assumptions!$I$13:$I$32,-1)),
INDEX(Assumptions!$I$13:$I$32,MATCH(T86,Assumptions!$I$13:$I$32,-1)+1)),
INDEX(Assumptions!$I$13:$I$32,MATCH(T86,Assumptions!$I$13:$I$32,-1)),
INDEX(Assumptions!$I$13:$I$32,MATCH(T86,Assumptions!$I$13:$I$32,-1)+1))),
"")</f>
        <v/>
      </c>
      <c r="AN86" s="95" t="str">
        <f>IFERROR(
IF(C86="VTS",
VLOOKUP(AM86,Assumptions!$I$38:$K$57,MATCH(U86,Assumptions!$I$37:$K$37,0),FALSE),
VLOOKUP(AM86,Assumptions!$I$13:$K$32,MATCH(U86,Assumptions!$I$12:$K$12,0),FALSE)),
"")</f>
        <v/>
      </c>
      <c r="AO86" s="95" t="str">
        <f t="shared" si="49"/>
        <v/>
      </c>
      <c r="AP86" s="95" t="str">
        <f>IFERROR(AO86*
(Assumptions!$S$7*(AA86/(AS86*Assumptions!$AB$9/100)/T86)^3+
Assumptions!$S$8*(AA86/(AS86*Assumptions!$AB$9/100)/T86)^2+
Assumptions!$S$9*(AA86/(AS86*Assumptions!$AB$9/100)/T86)+
Assumptions!$S$10),"")</f>
        <v/>
      </c>
      <c r="AQ86" s="95" t="str">
        <f>IFERROR(AO86*
(Assumptions!$S$7*(AK86/(AS86*Assumptions!$AB$8/100)/T86)^3+
Assumptions!$S$8*(AK86/(AS86*Assumptions!$AB$8/100)/T86)^2+
Assumptions!$S$9*(AK86/(AS86*Assumptions!$AB$8/100)/T86)+
Assumptions!$S$10),"")</f>
        <v/>
      </c>
      <c r="AR86" s="95" t="str">
        <f>IFERROR(AO86*
(Assumptions!$S$7*(AL86/(AS86*Assumptions!$AB$10/100)/T86)^3+
Assumptions!$S$8*(AL86/(AS86*Assumptions!$AB$10/100)/T86)^2+
Assumptions!$S$9*(AL86/(AS86*Assumptions!$AB$10/100)/T86)+
Assumptions!$S$10),"")</f>
        <v/>
      </c>
      <c r="AS86" s="95" t="str">
        <f>IFERROR(
Assumptions!$AD$8*LN(X86)^2+
Assumptions!$AE$8*LN(W86)*LN(X86)+
Assumptions!$AF$8*LN(W86)^2+
Assumptions!$AG$8*LN(X86)+
Assumptions!$AH$8*LN(W86)-
(IF(V86=1800,
VLOOKUP(C86,Assumptions!$AA$13:$AC$17,3),
IF(V86=3600,
VLOOKUP(C86,Assumptions!$AA$18:$AC$22,3),""))+Assumptions!$AI$8),
"")</f>
        <v/>
      </c>
      <c r="AT86" s="96" t="str">
        <f>IFERROR(
Assumptions!$D$11*(AA86/(Assumptions!$AB$9*AS86/100)+AP86)+
Assumptions!$D$10*(AK86/(Assumptions!$AB$8*AS86/100)+AQ86)+
Assumptions!$D$12*(AL86/(Assumptions!$AB$10*AS86/100)+AR86),
"")</f>
        <v/>
      </c>
      <c r="AU86" s="76" t="str">
        <f>IFERROR(
Z86*Assumptions!$F$11+
AD86*Assumptions!$F$10+
AG86*Assumptions!$F$9+
AJ86*Assumptions!$F$8,
"")</f>
        <v/>
      </c>
      <c r="AV86" s="77" t="str">
        <f t="shared" si="53"/>
        <v/>
      </c>
      <c r="AW86" s="68" t="str">
        <f t="shared" si="54"/>
        <v/>
      </c>
    </row>
    <row r="87" spans="1:49" x14ac:dyDescent="0.25">
      <c r="A87" s="264"/>
      <c r="B87" s="265"/>
      <c r="C87" s="265"/>
      <c r="D87" s="265"/>
      <c r="E87" s="266"/>
      <c r="F87" s="270"/>
      <c r="G87" s="271"/>
      <c r="H87" s="310"/>
      <c r="I87" s="270"/>
      <c r="J87" s="271"/>
      <c r="K87" s="272"/>
      <c r="L87" s="308"/>
      <c r="M87" s="271"/>
      <c r="N87" s="310"/>
      <c r="O87" s="270"/>
      <c r="P87" s="271"/>
      <c r="Q87" s="272"/>
      <c r="R87" s="272"/>
      <c r="S87" s="318"/>
      <c r="T87" s="306"/>
      <c r="U87" s="84" t="str">
        <f t="shared" si="35"/>
        <v/>
      </c>
      <c r="V87" s="84" t="str">
        <f t="shared" si="50"/>
        <v/>
      </c>
      <c r="W87" s="93" t="str">
        <f t="shared" si="36"/>
        <v/>
      </c>
      <c r="X87" s="100" t="str">
        <f t="shared" si="37"/>
        <v/>
      </c>
      <c r="Y87" s="95" t="str">
        <f t="shared" si="38"/>
        <v/>
      </c>
      <c r="Z87" s="95" t="str">
        <f t="shared" si="39"/>
        <v/>
      </c>
      <c r="AA87" s="98" t="str">
        <f>IFERROR(X87*Y87*Assumptions!$B$15/3956,"")</f>
        <v/>
      </c>
      <c r="AB87" s="100" t="str">
        <f t="shared" si="51"/>
        <v/>
      </c>
      <c r="AC87" s="95" t="str">
        <f t="shared" si="52"/>
        <v/>
      </c>
      <c r="AD87" s="95" t="str">
        <f t="shared" si="40"/>
        <v/>
      </c>
      <c r="AE87" s="100" t="str">
        <f t="shared" si="41"/>
        <v/>
      </c>
      <c r="AF87" s="95" t="str">
        <f t="shared" si="42"/>
        <v/>
      </c>
      <c r="AG87" s="98" t="str">
        <f t="shared" si="43"/>
        <v/>
      </c>
      <c r="AH87" s="100" t="str">
        <f t="shared" si="44"/>
        <v/>
      </c>
      <c r="AI87" s="95" t="str">
        <f t="shared" si="45"/>
        <v/>
      </c>
      <c r="AJ87" s="98" t="str">
        <f t="shared" si="46"/>
        <v/>
      </c>
      <c r="AK87" s="94" t="str">
        <f t="shared" si="47"/>
        <v/>
      </c>
      <c r="AL87" s="96" t="str">
        <f t="shared" si="48"/>
        <v/>
      </c>
      <c r="AM87" s="244" t="str">
        <f>IFERROR(
IF(C87="VTS",
IF(T87&gt;=AVERAGE(
INDEX(Assumptions!$I$38:$I$57,MATCH(T87,Assumptions!$I$38:$I$57,-1)),
INDEX(Assumptions!$I$38:$I$57,MATCH(T87,Assumptions!$I$38:$I$57,-1)+1)),
INDEX(Assumptions!$I$38:$I$57,MATCH(T87,Assumptions!$I$38:$I$57,-1)),
INDEX(Assumptions!$I$38:$I$57,MATCH(T87,Assumptions!$I$38:$I$57,-1)+1)),
IF(T87&gt;=AVERAGE(
INDEX(Assumptions!$I$13:$I$32,MATCH(T87,Assumptions!$I$13:$I$32,-1)),
INDEX(Assumptions!$I$13:$I$32,MATCH(T87,Assumptions!$I$13:$I$32,-1)+1)),
INDEX(Assumptions!$I$13:$I$32,MATCH(T87,Assumptions!$I$13:$I$32,-1)),
INDEX(Assumptions!$I$13:$I$32,MATCH(T87,Assumptions!$I$13:$I$32,-1)+1))),
"")</f>
        <v/>
      </c>
      <c r="AN87" s="95" t="str">
        <f>IFERROR(
IF(C87="VTS",
VLOOKUP(AM87,Assumptions!$I$38:$K$57,MATCH(U87,Assumptions!$I$37:$K$37,0),FALSE),
VLOOKUP(AM87,Assumptions!$I$13:$K$32,MATCH(U87,Assumptions!$I$12:$K$12,0),FALSE)),
"")</f>
        <v/>
      </c>
      <c r="AO87" s="95" t="str">
        <f t="shared" si="49"/>
        <v/>
      </c>
      <c r="AP87" s="95" t="str">
        <f>IFERROR(AO87*
(Assumptions!$S$7*(AA87/(AS87*Assumptions!$AB$9/100)/T87)^3+
Assumptions!$S$8*(AA87/(AS87*Assumptions!$AB$9/100)/T87)^2+
Assumptions!$S$9*(AA87/(AS87*Assumptions!$AB$9/100)/T87)+
Assumptions!$S$10),"")</f>
        <v/>
      </c>
      <c r="AQ87" s="95" t="str">
        <f>IFERROR(AO87*
(Assumptions!$S$7*(AK87/(AS87*Assumptions!$AB$8/100)/T87)^3+
Assumptions!$S$8*(AK87/(AS87*Assumptions!$AB$8/100)/T87)^2+
Assumptions!$S$9*(AK87/(AS87*Assumptions!$AB$8/100)/T87)+
Assumptions!$S$10),"")</f>
        <v/>
      </c>
      <c r="AR87" s="95" t="str">
        <f>IFERROR(AO87*
(Assumptions!$S$7*(AL87/(AS87*Assumptions!$AB$10/100)/T87)^3+
Assumptions!$S$8*(AL87/(AS87*Assumptions!$AB$10/100)/T87)^2+
Assumptions!$S$9*(AL87/(AS87*Assumptions!$AB$10/100)/T87)+
Assumptions!$S$10),"")</f>
        <v/>
      </c>
      <c r="AS87" s="95" t="str">
        <f>IFERROR(
Assumptions!$AD$8*LN(X87)^2+
Assumptions!$AE$8*LN(W87)*LN(X87)+
Assumptions!$AF$8*LN(W87)^2+
Assumptions!$AG$8*LN(X87)+
Assumptions!$AH$8*LN(W87)-
(IF(V87=1800,
VLOOKUP(C87,Assumptions!$AA$13:$AC$17,3),
IF(V87=3600,
VLOOKUP(C87,Assumptions!$AA$18:$AC$22,3),""))+Assumptions!$AI$8),
"")</f>
        <v/>
      </c>
      <c r="AT87" s="96" t="str">
        <f>IFERROR(
Assumptions!$D$11*(AA87/(Assumptions!$AB$9*AS87/100)+AP87)+
Assumptions!$D$10*(AK87/(Assumptions!$AB$8*AS87/100)+AQ87)+
Assumptions!$D$12*(AL87/(Assumptions!$AB$10*AS87/100)+AR87),
"")</f>
        <v/>
      </c>
      <c r="AU87" s="76" t="str">
        <f>IFERROR(
Z87*Assumptions!$F$11+
AD87*Assumptions!$F$10+
AG87*Assumptions!$F$9+
AJ87*Assumptions!$F$8,
"")</f>
        <v/>
      </c>
      <c r="AV87" s="77" t="str">
        <f t="shared" si="53"/>
        <v/>
      </c>
      <c r="AW87" s="68" t="str">
        <f t="shared" si="54"/>
        <v/>
      </c>
    </row>
    <row r="88" spans="1:49" x14ac:dyDescent="0.25">
      <c r="A88" s="264"/>
      <c r="B88" s="265"/>
      <c r="C88" s="265"/>
      <c r="D88" s="265"/>
      <c r="E88" s="266"/>
      <c r="F88" s="270"/>
      <c r="G88" s="271"/>
      <c r="H88" s="310"/>
      <c r="I88" s="270"/>
      <c r="J88" s="271"/>
      <c r="K88" s="272"/>
      <c r="L88" s="308"/>
      <c r="M88" s="271"/>
      <c r="N88" s="310"/>
      <c r="O88" s="270"/>
      <c r="P88" s="271"/>
      <c r="Q88" s="272"/>
      <c r="R88" s="272"/>
      <c r="S88" s="318"/>
      <c r="T88" s="306"/>
      <c r="U88" s="84" t="str">
        <f t="shared" si="35"/>
        <v/>
      </c>
      <c r="V88" s="84" t="str">
        <f t="shared" si="50"/>
        <v/>
      </c>
      <c r="W88" s="93" t="str">
        <f t="shared" si="36"/>
        <v/>
      </c>
      <c r="X88" s="100" t="str">
        <f t="shared" si="37"/>
        <v/>
      </c>
      <c r="Y88" s="95" t="str">
        <f t="shared" si="38"/>
        <v/>
      </c>
      <c r="Z88" s="95" t="str">
        <f t="shared" si="39"/>
        <v/>
      </c>
      <c r="AA88" s="98" t="str">
        <f>IFERROR(X88*Y88*Assumptions!$B$15/3956,"")</f>
        <v/>
      </c>
      <c r="AB88" s="100" t="str">
        <f t="shared" si="51"/>
        <v/>
      </c>
      <c r="AC88" s="95" t="str">
        <f t="shared" si="52"/>
        <v/>
      </c>
      <c r="AD88" s="95" t="str">
        <f t="shared" si="40"/>
        <v/>
      </c>
      <c r="AE88" s="100" t="str">
        <f t="shared" si="41"/>
        <v/>
      </c>
      <c r="AF88" s="95" t="str">
        <f t="shared" si="42"/>
        <v/>
      </c>
      <c r="AG88" s="98" t="str">
        <f t="shared" si="43"/>
        <v/>
      </c>
      <c r="AH88" s="100" t="str">
        <f t="shared" si="44"/>
        <v/>
      </c>
      <c r="AI88" s="95" t="str">
        <f t="shared" si="45"/>
        <v/>
      </c>
      <c r="AJ88" s="98" t="str">
        <f t="shared" si="46"/>
        <v/>
      </c>
      <c r="AK88" s="94" t="str">
        <f t="shared" si="47"/>
        <v/>
      </c>
      <c r="AL88" s="96" t="str">
        <f t="shared" si="48"/>
        <v/>
      </c>
      <c r="AM88" s="244" t="str">
        <f>IFERROR(
IF(C88="VTS",
IF(T88&gt;=AVERAGE(
INDEX(Assumptions!$I$38:$I$57,MATCH(T88,Assumptions!$I$38:$I$57,-1)),
INDEX(Assumptions!$I$38:$I$57,MATCH(T88,Assumptions!$I$38:$I$57,-1)+1)),
INDEX(Assumptions!$I$38:$I$57,MATCH(T88,Assumptions!$I$38:$I$57,-1)),
INDEX(Assumptions!$I$38:$I$57,MATCH(T88,Assumptions!$I$38:$I$57,-1)+1)),
IF(T88&gt;=AVERAGE(
INDEX(Assumptions!$I$13:$I$32,MATCH(T88,Assumptions!$I$13:$I$32,-1)),
INDEX(Assumptions!$I$13:$I$32,MATCH(T88,Assumptions!$I$13:$I$32,-1)+1)),
INDEX(Assumptions!$I$13:$I$32,MATCH(T88,Assumptions!$I$13:$I$32,-1)),
INDEX(Assumptions!$I$13:$I$32,MATCH(T88,Assumptions!$I$13:$I$32,-1)+1))),
"")</f>
        <v/>
      </c>
      <c r="AN88" s="95" t="str">
        <f>IFERROR(
IF(C88="VTS",
VLOOKUP(AM88,Assumptions!$I$38:$K$57,MATCH(U88,Assumptions!$I$37:$K$37,0),FALSE),
VLOOKUP(AM88,Assumptions!$I$13:$K$32,MATCH(U88,Assumptions!$I$12:$K$12,0),FALSE)),
"")</f>
        <v/>
      </c>
      <c r="AO88" s="95" t="str">
        <f t="shared" si="49"/>
        <v/>
      </c>
      <c r="AP88" s="95" t="str">
        <f>IFERROR(AO88*
(Assumptions!$S$7*(AA88/(AS88*Assumptions!$AB$9/100)/T88)^3+
Assumptions!$S$8*(AA88/(AS88*Assumptions!$AB$9/100)/T88)^2+
Assumptions!$S$9*(AA88/(AS88*Assumptions!$AB$9/100)/T88)+
Assumptions!$S$10),"")</f>
        <v/>
      </c>
      <c r="AQ88" s="95" t="str">
        <f>IFERROR(AO88*
(Assumptions!$S$7*(AK88/(AS88*Assumptions!$AB$8/100)/T88)^3+
Assumptions!$S$8*(AK88/(AS88*Assumptions!$AB$8/100)/T88)^2+
Assumptions!$S$9*(AK88/(AS88*Assumptions!$AB$8/100)/T88)+
Assumptions!$S$10),"")</f>
        <v/>
      </c>
      <c r="AR88" s="95" t="str">
        <f>IFERROR(AO88*
(Assumptions!$S$7*(AL88/(AS88*Assumptions!$AB$10/100)/T88)^3+
Assumptions!$S$8*(AL88/(AS88*Assumptions!$AB$10/100)/T88)^2+
Assumptions!$S$9*(AL88/(AS88*Assumptions!$AB$10/100)/T88)+
Assumptions!$S$10),"")</f>
        <v/>
      </c>
      <c r="AS88" s="95" t="str">
        <f>IFERROR(
Assumptions!$AD$8*LN(X88)^2+
Assumptions!$AE$8*LN(W88)*LN(X88)+
Assumptions!$AF$8*LN(W88)^2+
Assumptions!$AG$8*LN(X88)+
Assumptions!$AH$8*LN(W88)-
(IF(V88=1800,
VLOOKUP(C88,Assumptions!$AA$13:$AC$17,3),
IF(V88=3600,
VLOOKUP(C88,Assumptions!$AA$18:$AC$22,3),""))+Assumptions!$AI$8),
"")</f>
        <v/>
      </c>
      <c r="AT88" s="96" t="str">
        <f>IFERROR(
Assumptions!$D$11*(AA88/(Assumptions!$AB$9*AS88/100)+AP88)+
Assumptions!$D$10*(AK88/(Assumptions!$AB$8*AS88/100)+AQ88)+
Assumptions!$D$12*(AL88/(Assumptions!$AB$10*AS88/100)+AR88),
"")</f>
        <v/>
      </c>
      <c r="AU88" s="76" t="str">
        <f>IFERROR(
Z88*Assumptions!$F$11+
AD88*Assumptions!$F$10+
AG88*Assumptions!$F$9+
AJ88*Assumptions!$F$8,
"")</f>
        <v/>
      </c>
      <c r="AV88" s="77" t="str">
        <f t="shared" si="53"/>
        <v/>
      </c>
      <c r="AW88" s="68" t="str">
        <f t="shared" si="54"/>
        <v/>
      </c>
    </row>
    <row r="89" spans="1:49" x14ac:dyDescent="0.25">
      <c r="A89" s="264"/>
      <c r="B89" s="265"/>
      <c r="C89" s="265"/>
      <c r="D89" s="265"/>
      <c r="E89" s="266"/>
      <c r="F89" s="270"/>
      <c r="G89" s="271"/>
      <c r="H89" s="310"/>
      <c r="I89" s="270"/>
      <c r="J89" s="271"/>
      <c r="K89" s="272"/>
      <c r="L89" s="308"/>
      <c r="M89" s="271"/>
      <c r="N89" s="310"/>
      <c r="O89" s="270"/>
      <c r="P89" s="271"/>
      <c r="Q89" s="272"/>
      <c r="R89" s="272"/>
      <c r="S89" s="318"/>
      <c r="T89" s="306"/>
      <c r="U89" s="84" t="str">
        <f t="shared" si="35"/>
        <v/>
      </c>
      <c r="V89" s="84" t="str">
        <f t="shared" si="50"/>
        <v/>
      </c>
      <c r="W89" s="93" t="str">
        <f t="shared" si="36"/>
        <v/>
      </c>
      <c r="X89" s="100" t="str">
        <f t="shared" si="37"/>
        <v/>
      </c>
      <c r="Y89" s="95" t="str">
        <f t="shared" si="38"/>
        <v/>
      </c>
      <c r="Z89" s="95" t="str">
        <f t="shared" si="39"/>
        <v/>
      </c>
      <c r="AA89" s="98" t="str">
        <f>IFERROR(X89*Y89*Assumptions!$B$15/3956,"")</f>
        <v/>
      </c>
      <c r="AB89" s="100" t="str">
        <f t="shared" si="51"/>
        <v/>
      </c>
      <c r="AC89" s="95" t="str">
        <f t="shared" si="52"/>
        <v/>
      </c>
      <c r="AD89" s="95" t="str">
        <f t="shared" si="40"/>
        <v/>
      </c>
      <c r="AE89" s="100" t="str">
        <f t="shared" si="41"/>
        <v/>
      </c>
      <c r="AF89" s="95" t="str">
        <f t="shared" si="42"/>
        <v/>
      </c>
      <c r="AG89" s="98" t="str">
        <f t="shared" si="43"/>
        <v/>
      </c>
      <c r="AH89" s="100" t="str">
        <f t="shared" si="44"/>
        <v/>
      </c>
      <c r="AI89" s="95" t="str">
        <f t="shared" si="45"/>
        <v/>
      </c>
      <c r="AJ89" s="98" t="str">
        <f t="shared" si="46"/>
        <v/>
      </c>
      <c r="AK89" s="94" t="str">
        <f t="shared" si="47"/>
        <v/>
      </c>
      <c r="AL89" s="96" t="str">
        <f t="shared" si="48"/>
        <v/>
      </c>
      <c r="AM89" s="244" t="str">
        <f>IFERROR(
IF(C89="VTS",
IF(T89&gt;=AVERAGE(
INDEX(Assumptions!$I$38:$I$57,MATCH(T89,Assumptions!$I$38:$I$57,-1)),
INDEX(Assumptions!$I$38:$I$57,MATCH(T89,Assumptions!$I$38:$I$57,-1)+1)),
INDEX(Assumptions!$I$38:$I$57,MATCH(T89,Assumptions!$I$38:$I$57,-1)),
INDEX(Assumptions!$I$38:$I$57,MATCH(T89,Assumptions!$I$38:$I$57,-1)+1)),
IF(T89&gt;=AVERAGE(
INDEX(Assumptions!$I$13:$I$32,MATCH(T89,Assumptions!$I$13:$I$32,-1)),
INDEX(Assumptions!$I$13:$I$32,MATCH(T89,Assumptions!$I$13:$I$32,-1)+1)),
INDEX(Assumptions!$I$13:$I$32,MATCH(T89,Assumptions!$I$13:$I$32,-1)),
INDEX(Assumptions!$I$13:$I$32,MATCH(T89,Assumptions!$I$13:$I$32,-1)+1))),
"")</f>
        <v/>
      </c>
      <c r="AN89" s="95" t="str">
        <f>IFERROR(
IF(C89="VTS",
VLOOKUP(AM89,Assumptions!$I$38:$K$57,MATCH(U89,Assumptions!$I$37:$K$37,0),FALSE),
VLOOKUP(AM89,Assumptions!$I$13:$K$32,MATCH(U89,Assumptions!$I$12:$K$12,0),FALSE)),
"")</f>
        <v/>
      </c>
      <c r="AO89" s="95" t="str">
        <f t="shared" si="49"/>
        <v/>
      </c>
      <c r="AP89" s="95" t="str">
        <f>IFERROR(AO89*
(Assumptions!$S$7*(AA89/(AS89*Assumptions!$AB$9/100)/T89)^3+
Assumptions!$S$8*(AA89/(AS89*Assumptions!$AB$9/100)/T89)^2+
Assumptions!$S$9*(AA89/(AS89*Assumptions!$AB$9/100)/T89)+
Assumptions!$S$10),"")</f>
        <v/>
      </c>
      <c r="AQ89" s="95" t="str">
        <f>IFERROR(AO89*
(Assumptions!$S$7*(AK89/(AS89*Assumptions!$AB$8/100)/T89)^3+
Assumptions!$S$8*(AK89/(AS89*Assumptions!$AB$8/100)/T89)^2+
Assumptions!$S$9*(AK89/(AS89*Assumptions!$AB$8/100)/T89)+
Assumptions!$S$10),"")</f>
        <v/>
      </c>
      <c r="AR89" s="95" t="str">
        <f>IFERROR(AO89*
(Assumptions!$S$7*(AL89/(AS89*Assumptions!$AB$10/100)/T89)^3+
Assumptions!$S$8*(AL89/(AS89*Assumptions!$AB$10/100)/T89)^2+
Assumptions!$S$9*(AL89/(AS89*Assumptions!$AB$10/100)/T89)+
Assumptions!$S$10),"")</f>
        <v/>
      </c>
      <c r="AS89" s="95" t="str">
        <f>IFERROR(
Assumptions!$AD$8*LN(X89)^2+
Assumptions!$AE$8*LN(W89)*LN(X89)+
Assumptions!$AF$8*LN(W89)^2+
Assumptions!$AG$8*LN(X89)+
Assumptions!$AH$8*LN(W89)-
(IF(V89=1800,
VLOOKUP(C89,Assumptions!$AA$13:$AC$17,3),
IF(V89=3600,
VLOOKUP(C89,Assumptions!$AA$18:$AC$22,3),""))+Assumptions!$AI$8),
"")</f>
        <v/>
      </c>
      <c r="AT89" s="96" t="str">
        <f>IFERROR(
Assumptions!$D$11*(AA89/(Assumptions!$AB$9*AS89/100)+AP89)+
Assumptions!$D$10*(AK89/(Assumptions!$AB$8*AS89/100)+AQ89)+
Assumptions!$D$12*(AL89/(Assumptions!$AB$10*AS89/100)+AR89),
"")</f>
        <v/>
      </c>
      <c r="AU89" s="76" t="str">
        <f>IFERROR(
Z89*Assumptions!$F$11+
AD89*Assumptions!$F$10+
AG89*Assumptions!$F$9+
AJ89*Assumptions!$F$8,
"")</f>
        <v/>
      </c>
      <c r="AV89" s="77" t="str">
        <f t="shared" si="53"/>
        <v/>
      </c>
      <c r="AW89" s="68" t="str">
        <f t="shared" si="54"/>
        <v/>
      </c>
    </row>
    <row r="90" spans="1:49" x14ac:dyDescent="0.25">
      <c r="A90" s="264"/>
      <c r="B90" s="265"/>
      <c r="C90" s="265"/>
      <c r="D90" s="265"/>
      <c r="E90" s="266"/>
      <c r="F90" s="270"/>
      <c r="G90" s="271"/>
      <c r="H90" s="310"/>
      <c r="I90" s="270"/>
      <c r="J90" s="271"/>
      <c r="K90" s="272"/>
      <c r="L90" s="308"/>
      <c r="M90" s="271"/>
      <c r="N90" s="310"/>
      <c r="O90" s="270"/>
      <c r="P90" s="271"/>
      <c r="Q90" s="272"/>
      <c r="R90" s="272"/>
      <c r="S90" s="318"/>
      <c r="T90" s="306"/>
      <c r="U90" s="84" t="str">
        <f t="shared" si="35"/>
        <v/>
      </c>
      <c r="V90" s="84" t="str">
        <f t="shared" si="50"/>
        <v/>
      </c>
      <c r="W90" s="93" t="str">
        <f t="shared" si="36"/>
        <v/>
      </c>
      <c r="X90" s="100" t="str">
        <f t="shared" si="37"/>
        <v/>
      </c>
      <c r="Y90" s="95" t="str">
        <f t="shared" si="38"/>
        <v/>
      </c>
      <c r="Z90" s="95" t="str">
        <f t="shared" si="39"/>
        <v/>
      </c>
      <c r="AA90" s="98" t="str">
        <f>IFERROR(X90*Y90*Assumptions!$B$15/3956,"")</f>
        <v/>
      </c>
      <c r="AB90" s="100" t="str">
        <f t="shared" si="51"/>
        <v/>
      </c>
      <c r="AC90" s="95" t="str">
        <f t="shared" si="52"/>
        <v/>
      </c>
      <c r="AD90" s="95" t="str">
        <f t="shared" si="40"/>
        <v/>
      </c>
      <c r="AE90" s="100" t="str">
        <f t="shared" si="41"/>
        <v/>
      </c>
      <c r="AF90" s="95" t="str">
        <f t="shared" si="42"/>
        <v/>
      </c>
      <c r="AG90" s="98" t="str">
        <f t="shared" si="43"/>
        <v/>
      </c>
      <c r="AH90" s="100" t="str">
        <f t="shared" si="44"/>
        <v/>
      </c>
      <c r="AI90" s="95" t="str">
        <f t="shared" si="45"/>
        <v/>
      </c>
      <c r="AJ90" s="98" t="str">
        <f t="shared" si="46"/>
        <v/>
      </c>
      <c r="AK90" s="94" t="str">
        <f t="shared" si="47"/>
        <v/>
      </c>
      <c r="AL90" s="96" t="str">
        <f t="shared" si="48"/>
        <v/>
      </c>
      <c r="AM90" s="244" t="str">
        <f>IFERROR(
IF(C90="VTS",
IF(T90&gt;=AVERAGE(
INDEX(Assumptions!$I$38:$I$57,MATCH(T90,Assumptions!$I$38:$I$57,-1)),
INDEX(Assumptions!$I$38:$I$57,MATCH(T90,Assumptions!$I$38:$I$57,-1)+1)),
INDEX(Assumptions!$I$38:$I$57,MATCH(T90,Assumptions!$I$38:$I$57,-1)),
INDEX(Assumptions!$I$38:$I$57,MATCH(T90,Assumptions!$I$38:$I$57,-1)+1)),
IF(T90&gt;=AVERAGE(
INDEX(Assumptions!$I$13:$I$32,MATCH(T90,Assumptions!$I$13:$I$32,-1)),
INDEX(Assumptions!$I$13:$I$32,MATCH(T90,Assumptions!$I$13:$I$32,-1)+1)),
INDEX(Assumptions!$I$13:$I$32,MATCH(T90,Assumptions!$I$13:$I$32,-1)),
INDEX(Assumptions!$I$13:$I$32,MATCH(T90,Assumptions!$I$13:$I$32,-1)+1))),
"")</f>
        <v/>
      </c>
      <c r="AN90" s="95" t="str">
        <f>IFERROR(
IF(C90="VTS",
VLOOKUP(AM90,Assumptions!$I$38:$K$57,MATCH(U90,Assumptions!$I$37:$K$37,0),FALSE),
VLOOKUP(AM90,Assumptions!$I$13:$K$32,MATCH(U90,Assumptions!$I$12:$K$12,0),FALSE)),
"")</f>
        <v/>
      </c>
      <c r="AO90" s="95" t="str">
        <f t="shared" si="49"/>
        <v/>
      </c>
      <c r="AP90" s="95" t="str">
        <f>IFERROR(AO90*
(Assumptions!$S$7*(AA90/(AS90*Assumptions!$AB$9/100)/T90)^3+
Assumptions!$S$8*(AA90/(AS90*Assumptions!$AB$9/100)/T90)^2+
Assumptions!$S$9*(AA90/(AS90*Assumptions!$AB$9/100)/T90)+
Assumptions!$S$10),"")</f>
        <v/>
      </c>
      <c r="AQ90" s="95" t="str">
        <f>IFERROR(AO90*
(Assumptions!$S$7*(AK90/(AS90*Assumptions!$AB$8/100)/T90)^3+
Assumptions!$S$8*(AK90/(AS90*Assumptions!$AB$8/100)/T90)^2+
Assumptions!$S$9*(AK90/(AS90*Assumptions!$AB$8/100)/T90)+
Assumptions!$S$10),"")</f>
        <v/>
      </c>
      <c r="AR90" s="95" t="str">
        <f>IFERROR(AO90*
(Assumptions!$S$7*(AL90/(AS90*Assumptions!$AB$10/100)/T90)^3+
Assumptions!$S$8*(AL90/(AS90*Assumptions!$AB$10/100)/T90)^2+
Assumptions!$S$9*(AL90/(AS90*Assumptions!$AB$10/100)/T90)+
Assumptions!$S$10),"")</f>
        <v/>
      </c>
      <c r="AS90" s="95" t="str">
        <f>IFERROR(
Assumptions!$AD$8*LN(X90)^2+
Assumptions!$AE$8*LN(W90)*LN(X90)+
Assumptions!$AF$8*LN(W90)^2+
Assumptions!$AG$8*LN(X90)+
Assumptions!$AH$8*LN(W90)-
(IF(V90=1800,
VLOOKUP(C90,Assumptions!$AA$13:$AC$17,3),
IF(V90=3600,
VLOOKUP(C90,Assumptions!$AA$18:$AC$22,3),""))+Assumptions!$AI$8),
"")</f>
        <v/>
      </c>
      <c r="AT90" s="96" t="str">
        <f>IFERROR(
Assumptions!$D$11*(AA90/(Assumptions!$AB$9*AS90/100)+AP90)+
Assumptions!$D$10*(AK90/(Assumptions!$AB$8*AS90/100)+AQ90)+
Assumptions!$D$12*(AL90/(Assumptions!$AB$10*AS90/100)+AR90),
"")</f>
        <v/>
      </c>
      <c r="AU90" s="76" t="str">
        <f>IFERROR(
Z90*Assumptions!$F$11+
AD90*Assumptions!$F$10+
AG90*Assumptions!$F$9+
AJ90*Assumptions!$F$8,
"")</f>
        <v/>
      </c>
      <c r="AV90" s="77" t="str">
        <f t="shared" si="53"/>
        <v/>
      </c>
      <c r="AW90" s="68" t="str">
        <f t="shared" si="54"/>
        <v/>
      </c>
    </row>
    <row r="91" spans="1:49" x14ac:dyDescent="0.25">
      <c r="A91" s="264"/>
      <c r="B91" s="265"/>
      <c r="C91" s="265"/>
      <c r="D91" s="265"/>
      <c r="E91" s="266"/>
      <c r="F91" s="270"/>
      <c r="G91" s="271"/>
      <c r="H91" s="310"/>
      <c r="I91" s="270"/>
      <c r="J91" s="271"/>
      <c r="K91" s="272"/>
      <c r="L91" s="308"/>
      <c r="M91" s="271"/>
      <c r="N91" s="310"/>
      <c r="O91" s="270"/>
      <c r="P91" s="271"/>
      <c r="Q91" s="272"/>
      <c r="R91" s="272"/>
      <c r="S91" s="318"/>
      <c r="T91" s="306"/>
      <c r="U91" s="84" t="str">
        <f t="shared" si="35"/>
        <v/>
      </c>
      <c r="V91" s="84" t="str">
        <f t="shared" si="50"/>
        <v/>
      </c>
      <c r="W91" s="93" t="str">
        <f t="shared" si="36"/>
        <v/>
      </c>
      <c r="X91" s="100" t="str">
        <f t="shared" si="37"/>
        <v/>
      </c>
      <c r="Y91" s="95" t="str">
        <f t="shared" si="38"/>
        <v/>
      </c>
      <c r="Z91" s="95" t="str">
        <f t="shared" si="39"/>
        <v/>
      </c>
      <c r="AA91" s="98" t="str">
        <f>IFERROR(X91*Y91*Assumptions!$B$15/3956,"")</f>
        <v/>
      </c>
      <c r="AB91" s="100" t="str">
        <f t="shared" si="51"/>
        <v/>
      </c>
      <c r="AC91" s="95" t="str">
        <f t="shared" si="52"/>
        <v/>
      </c>
      <c r="AD91" s="95" t="str">
        <f t="shared" si="40"/>
        <v/>
      </c>
      <c r="AE91" s="100" t="str">
        <f t="shared" si="41"/>
        <v/>
      </c>
      <c r="AF91" s="95" t="str">
        <f t="shared" si="42"/>
        <v/>
      </c>
      <c r="AG91" s="98" t="str">
        <f t="shared" si="43"/>
        <v/>
      </c>
      <c r="AH91" s="100" t="str">
        <f t="shared" si="44"/>
        <v/>
      </c>
      <c r="AI91" s="95" t="str">
        <f t="shared" si="45"/>
        <v/>
      </c>
      <c r="AJ91" s="98" t="str">
        <f t="shared" si="46"/>
        <v/>
      </c>
      <c r="AK91" s="94" t="str">
        <f t="shared" si="47"/>
        <v/>
      </c>
      <c r="AL91" s="96" t="str">
        <f t="shared" si="48"/>
        <v/>
      </c>
      <c r="AM91" s="244" t="str">
        <f>IFERROR(
IF(C91="VTS",
IF(T91&gt;=AVERAGE(
INDEX(Assumptions!$I$38:$I$57,MATCH(T91,Assumptions!$I$38:$I$57,-1)),
INDEX(Assumptions!$I$38:$I$57,MATCH(T91,Assumptions!$I$38:$I$57,-1)+1)),
INDEX(Assumptions!$I$38:$I$57,MATCH(T91,Assumptions!$I$38:$I$57,-1)),
INDEX(Assumptions!$I$38:$I$57,MATCH(T91,Assumptions!$I$38:$I$57,-1)+1)),
IF(T91&gt;=AVERAGE(
INDEX(Assumptions!$I$13:$I$32,MATCH(T91,Assumptions!$I$13:$I$32,-1)),
INDEX(Assumptions!$I$13:$I$32,MATCH(T91,Assumptions!$I$13:$I$32,-1)+1)),
INDEX(Assumptions!$I$13:$I$32,MATCH(T91,Assumptions!$I$13:$I$32,-1)),
INDEX(Assumptions!$I$13:$I$32,MATCH(T91,Assumptions!$I$13:$I$32,-1)+1))),
"")</f>
        <v/>
      </c>
      <c r="AN91" s="95" t="str">
        <f>IFERROR(
IF(C91="VTS",
VLOOKUP(AM91,Assumptions!$I$38:$K$57,MATCH(U91,Assumptions!$I$37:$K$37,0),FALSE),
VLOOKUP(AM91,Assumptions!$I$13:$K$32,MATCH(U91,Assumptions!$I$12:$K$12,0),FALSE)),
"")</f>
        <v/>
      </c>
      <c r="AO91" s="95" t="str">
        <f t="shared" si="49"/>
        <v/>
      </c>
      <c r="AP91" s="95" t="str">
        <f>IFERROR(AO91*
(Assumptions!$S$7*(AA91/(AS91*Assumptions!$AB$9/100)/T91)^3+
Assumptions!$S$8*(AA91/(AS91*Assumptions!$AB$9/100)/T91)^2+
Assumptions!$S$9*(AA91/(AS91*Assumptions!$AB$9/100)/T91)+
Assumptions!$S$10),"")</f>
        <v/>
      </c>
      <c r="AQ91" s="95" t="str">
        <f>IFERROR(AO91*
(Assumptions!$S$7*(AK91/(AS91*Assumptions!$AB$8/100)/T91)^3+
Assumptions!$S$8*(AK91/(AS91*Assumptions!$AB$8/100)/T91)^2+
Assumptions!$S$9*(AK91/(AS91*Assumptions!$AB$8/100)/T91)+
Assumptions!$S$10),"")</f>
        <v/>
      </c>
      <c r="AR91" s="95" t="str">
        <f>IFERROR(AO91*
(Assumptions!$S$7*(AL91/(AS91*Assumptions!$AB$10/100)/T91)^3+
Assumptions!$S$8*(AL91/(AS91*Assumptions!$AB$10/100)/T91)^2+
Assumptions!$S$9*(AL91/(AS91*Assumptions!$AB$10/100)/T91)+
Assumptions!$S$10),"")</f>
        <v/>
      </c>
      <c r="AS91" s="95" t="str">
        <f>IFERROR(
Assumptions!$AD$8*LN(X91)^2+
Assumptions!$AE$8*LN(W91)*LN(X91)+
Assumptions!$AF$8*LN(W91)^2+
Assumptions!$AG$8*LN(X91)+
Assumptions!$AH$8*LN(W91)-
(IF(V91=1800,
VLOOKUP(C91,Assumptions!$AA$13:$AC$17,3),
IF(V91=3600,
VLOOKUP(C91,Assumptions!$AA$18:$AC$22,3),""))+Assumptions!$AI$8),
"")</f>
        <v/>
      </c>
      <c r="AT91" s="96" t="str">
        <f>IFERROR(
Assumptions!$D$11*(AA91/(Assumptions!$AB$9*AS91/100)+AP91)+
Assumptions!$D$10*(AK91/(Assumptions!$AB$8*AS91/100)+AQ91)+
Assumptions!$D$12*(AL91/(Assumptions!$AB$10*AS91/100)+AR91),
"")</f>
        <v/>
      </c>
      <c r="AU91" s="76" t="str">
        <f>IFERROR(
Z91*Assumptions!$F$11+
AD91*Assumptions!$F$10+
AG91*Assumptions!$F$9+
AJ91*Assumptions!$F$8,
"")</f>
        <v/>
      </c>
      <c r="AV91" s="77" t="str">
        <f t="shared" si="53"/>
        <v/>
      </c>
      <c r="AW91" s="68" t="str">
        <f t="shared" si="54"/>
        <v/>
      </c>
    </row>
    <row r="92" spans="1:49" x14ac:dyDescent="0.25">
      <c r="A92" s="264"/>
      <c r="B92" s="265"/>
      <c r="C92" s="265"/>
      <c r="D92" s="265"/>
      <c r="E92" s="266"/>
      <c r="F92" s="270"/>
      <c r="G92" s="271"/>
      <c r="H92" s="310"/>
      <c r="I92" s="270"/>
      <c r="J92" s="271"/>
      <c r="K92" s="272"/>
      <c r="L92" s="308"/>
      <c r="M92" s="271"/>
      <c r="N92" s="310"/>
      <c r="O92" s="270"/>
      <c r="P92" s="271"/>
      <c r="Q92" s="272"/>
      <c r="R92" s="272"/>
      <c r="S92" s="318"/>
      <c r="T92" s="306"/>
      <c r="U92" s="84" t="str">
        <f t="shared" si="35"/>
        <v/>
      </c>
      <c r="V92" s="84" t="str">
        <f t="shared" si="50"/>
        <v/>
      </c>
      <c r="W92" s="93" t="str">
        <f t="shared" si="36"/>
        <v/>
      </c>
      <c r="X92" s="100" t="str">
        <f t="shared" si="37"/>
        <v/>
      </c>
      <c r="Y92" s="95" t="str">
        <f t="shared" si="38"/>
        <v/>
      </c>
      <c r="Z92" s="95" t="str">
        <f t="shared" si="39"/>
        <v/>
      </c>
      <c r="AA92" s="98" t="str">
        <f>IFERROR(X92*Y92*Assumptions!$B$15/3956,"")</f>
        <v/>
      </c>
      <c r="AB92" s="100" t="str">
        <f t="shared" si="51"/>
        <v/>
      </c>
      <c r="AC92" s="95" t="str">
        <f t="shared" si="52"/>
        <v/>
      </c>
      <c r="AD92" s="95" t="str">
        <f t="shared" si="40"/>
        <v/>
      </c>
      <c r="AE92" s="100" t="str">
        <f t="shared" si="41"/>
        <v/>
      </c>
      <c r="AF92" s="95" t="str">
        <f t="shared" si="42"/>
        <v/>
      </c>
      <c r="AG92" s="98" t="str">
        <f t="shared" si="43"/>
        <v/>
      </c>
      <c r="AH92" s="100" t="str">
        <f t="shared" si="44"/>
        <v/>
      </c>
      <c r="AI92" s="95" t="str">
        <f t="shared" si="45"/>
        <v/>
      </c>
      <c r="AJ92" s="98" t="str">
        <f t="shared" si="46"/>
        <v/>
      </c>
      <c r="AK92" s="94" t="str">
        <f t="shared" si="47"/>
        <v/>
      </c>
      <c r="AL92" s="96" t="str">
        <f t="shared" si="48"/>
        <v/>
      </c>
      <c r="AM92" s="244" t="str">
        <f>IFERROR(
IF(C92="VTS",
IF(T92&gt;=AVERAGE(
INDEX(Assumptions!$I$38:$I$57,MATCH(T92,Assumptions!$I$38:$I$57,-1)),
INDEX(Assumptions!$I$38:$I$57,MATCH(T92,Assumptions!$I$38:$I$57,-1)+1)),
INDEX(Assumptions!$I$38:$I$57,MATCH(T92,Assumptions!$I$38:$I$57,-1)),
INDEX(Assumptions!$I$38:$I$57,MATCH(T92,Assumptions!$I$38:$I$57,-1)+1)),
IF(T92&gt;=AVERAGE(
INDEX(Assumptions!$I$13:$I$32,MATCH(T92,Assumptions!$I$13:$I$32,-1)),
INDEX(Assumptions!$I$13:$I$32,MATCH(T92,Assumptions!$I$13:$I$32,-1)+1)),
INDEX(Assumptions!$I$13:$I$32,MATCH(T92,Assumptions!$I$13:$I$32,-1)),
INDEX(Assumptions!$I$13:$I$32,MATCH(T92,Assumptions!$I$13:$I$32,-1)+1))),
"")</f>
        <v/>
      </c>
      <c r="AN92" s="95" t="str">
        <f>IFERROR(
IF(C92="VTS",
VLOOKUP(AM92,Assumptions!$I$38:$K$57,MATCH(U92,Assumptions!$I$37:$K$37,0),FALSE),
VLOOKUP(AM92,Assumptions!$I$13:$K$32,MATCH(U92,Assumptions!$I$12:$K$12,0),FALSE)),
"")</f>
        <v/>
      </c>
      <c r="AO92" s="95" t="str">
        <f t="shared" si="49"/>
        <v/>
      </c>
      <c r="AP92" s="95" t="str">
        <f>IFERROR(AO92*
(Assumptions!$S$7*(AA92/(AS92*Assumptions!$AB$9/100)/T92)^3+
Assumptions!$S$8*(AA92/(AS92*Assumptions!$AB$9/100)/T92)^2+
Assumptions!$S$9*(AA92/(AS92*Assumptions!$AB$9/100)/T92)+
Assumptions!$S$10),"")</f>
        <v/>
      </c>
      <c r="AQ92" s="95" t="str">
        <f>IFERROR(AO92*
(Assumptions!$S$7*(AK92/(AS92*Assumptions!$AB$8/100)/T92)^3+
Assumptions!$S$8*(AK92/(AS92*Assumptions!$AB$8/100)/T92)^2+
Assumptions!$S$9*(AK92/(AS92*Assumptions!$AB$8/100)/T92)+
Assumptions!$S$10),"")</f>
        <v/>
      </c>
      <c r="AR92" s="95" t="str">
        <f>IFERROR(AO92*
(Assumptions!$S$7*(AL92/(AS92*Assumptions!$AB$10/100)/T92)^3+
Assumptions!$S$8*(AL92/(AS92*Assumptions!$AB$10/100)/T92)^2+
Assumptions!$S$9*(AL92/(AS92*Assumptions!$AB$10/100)/T92)+
Assumptions!$S$10),"")</f>
        <v/>
      </c>
      <c r="AS92" s="95" t="str">
        <f>IFERROR(
Assumptions!$AD$8*LN(X92)^2+
Assumptions!$AE$8*LN(W92)*LN(X92)+
Assumptions!$AF$8*LN(W92)^2+
Assumptions!$AG$8*LN(X92)+
Assumptions!$AH$8*LN(W92)-
(IF(V92=1800,
VLOOKUP(C92,Assumptions!$AA$13:$AC$17,3),
IF(V92=3600,
VLOOKUP(C92,Assumptions!$AA$18:$AC$22,3),""))+Assumptions!$AI$8),
"")</f>
        <v/>
      </c>
      <c r="AT92" s="96" t="str">
        <f>IFERROR(
Assumptions!$D$11*(AA92/(Assumptions!$AB$9*AS92/100)+AP92)+
Assumptions!$D$10*(AK92/(Assumptions!$AB$8*AS92/100)+AQ92)+
Assumptions!$D$12*(AL92/(Assumptions!$AB$10*AS92/100)+AR92),
"")</f>
        <v/>
      </c>
      <c r="AU92" s="76" t="str">
        <f>IFERROR(
Z92*Assumptions!$F$11+
AD92*Assumptions!$F$10+
AG92*Assumptions!$F$9+
AJ92*Assumptions!$F$8,
"")</f>
        <v/>
      </c>
      <c r="AV92" s="77" t="str">
        <f t="shared" si="53"/>
        <v/>
      </c>
      <c r="AW92" s="68" t="str">
        <f t="shared" si="54"/>
        <v/>
      </c>
    </row>
    <row r="93" spans="1:49" x14ac:dyDescent="0.25">
      <c r="A93" s="264"/>
      <c r="B93" s="265"/>
      <c r="C93" s="265"/>
      <c r="D93" s="265"/>
      <c r="E93" s="266"/>
      <c r="F93" s="270"/>
      <c r="G93" s="271"/>
      <c r="H93" s="310"/>
      <c r="I93" s="270"/>
      <c r="J93" s="271"/>
      <c r="K93" s="272"/>
      <c r="L93" s="308"/>
      <c r="M93" s="271"/>
      <c r="N93" s="310"/>
      <c r="O93" s="270"/>
      <c r="P93" s="271"/>
      <c r="Q93" s="272"/>
      <c r="R93" s="272"/>
      <c r="S93" s="318"/>
      <c r="T93" s="306"/>
      <c r="U93" s="84" t="str">
        <f t="shared" si="35"/>
        <v/>
      </c>
      <c r="V93" s="84" t="str">
        <f t="shared" si="50"/>
        <v/>
      </c>
      <c r="W93" s="93" t="str">
        <f t="shared" si="36"/>
        <v/>
      </c>
      <c r="X93" s="100" t="str">
        <f t="shared" si="37"/>
        <v/>
      </c>
      <c r="Y93" s="95" t="str">
        <f t="shared" si="38"/>
        <v/>
      </c>
      <c r="Z93" s="95" t="str">
        <f t="shared" si="39"/>
        <v/>
      </c>
      <c r="AA93" s="98" t="str">
        <f>IFERROR(X93*Y93*Assumptions!$B$15/3956,"")</f>
        <v/>
      </c>
      <c r="AB93" s="100" t="str">
        <f t="shared" si="51"/>
        <v/>
      </c>
      <c r="AC93" s="95" t="str">
        <f t="shared" si="52"/>
        <v/>
      </c>
      <c r="AD93" s="95" t="str">
        <f t="shared" si="40"/>
        <v/>
      </c>
      <c r="AE93" s="100" t="str">
        <f t="shared" si="41"/>
        <v/>
      </c>
      <c r="AF93" s="95" t="str">
        <f t="shared" si="42"/>
        <v/>
      </c>
      <c r="AG93" s="98" t="str">
        <f t="shared" si="43"/>
        <v/>
      </c>
      <c r="AH93" s="100" t="str">
        <f t="shared" si="44"/>
        <v/>
      </c>
      <c r="AI93" s="95" t="str">
        <f t="shared" si="45"/>
        <v/>
      </c>
      <c r="AJ93" s="98" t="str">
        <f t="shared" si="46"/>
        <v/>
      </c>
      <c r="AK93" s="94" t="str">
        <f t="shared" si="47"/>
        <v/>
      </c>
      <c r="AL93" s="96" t="str">
        <f t="shared" si="48"/>
        <v/>
      </c>
      <c r="AM93" s="244" t="str">
        <f>IFERROR(
IF(C93="VTS",
IF(T93&gt;=AVERAGE(
INDEX(Assumptions!$I$38:$I$57,MATCH(T93,Assumptions!$I$38:$I$57,-1)),
INDEX(Assumptions!$I$38:$I$57,MATCH(T93,Assumptions!$I$38:$I$57,-1)+1)),
INDEX(Assumptions!$I$38:$I$57,MATCH(T93,Assumptions!$I$38:$I$57,-1)),
INDEX(Assumptions!$I$38:$I$57,MATCH(T93,Assumptions!$I$38:$I$57,-1)+1)),
IF(T93&gt;=AVERAGE(
INDEX(Assumptions!$I$13:$I$32,MATCH(T93,Assumptions!$I$13:$I$32,-1)),
INDEX(Assumptions!$I$13:$I$32,MATCH(T93,Assumptions!$I$13:$I$32,-1)+1)),
INDEX(Assumptions!$I$13:$I$32,MATCH(T93,Assumptions!$I$13:$I$32,-1)),
INDEX(Assumptions!$I$13:$I$32,MATCH(T93,Assumptions!$I$13:$I$32,-1)+1))),
"")</f>
        <v/>
      </c>
      <c r="AN93" s="95" t="str">
        <f>IFERROR(
IF(C93="VTS",
VLOOKUP(AM93,Assumptions!$I$38:$K$57,MATCH(U93,Assumptions!$I$37:$K$37,0),FALSE),
VLOOKUP(AM93,Assumptions!$I$13:$K$32,MATCH(U93,Assumptions!$I$12:$K$12,0),FALSE)),
"")</f>
        <v/>
      </c>
      <c r="AO93" s="95" t="str">
        <f t="shared" si="49"/>
        <v/>
      </c>
      <c r="AP93" s="95" t="str">
        <f>IFERROR(AO93*
(Assumptions!$S$7*(AA93/(AS93*Assumptions!$AB$9/100)/T93)^3+
Assumptions!$S$8*(AA93/(AS93*Assumptions!$AB$9/100)/T93)^2+
Assumptions!$S$9*(AA93/(AS93*Assumptions!$AB$9/100)/T93)+
Assumptions!$S$10),"")</f>
        <v/>
      </c>
      <c r="AQ93" s="95" t="str">
        <f>IFERROR(AO93*
(Assumptions!$S$7*(AK93/(AS93*Assumptions!$AB$8/100)/T93)^3+
Assumptions!$S$8*(AK93/(AS93*Assumptions!$AB$8/100)/T93)^2+
Assumptions!$S$9*(AK93/(AS93*Assumptions!$AB$8/100)/T93)+
Assumptions!$S$10),"")</f>
        <v/>
      </c>
      <c r="AR93" s="95" t="str">
        <f>IFERROR(AO93*
(Assumptions!$S$7*(AL93/(AS93*Assumptions!$AB$10/100)/T93)^3+
Assumptions!$S$8*(AL93/(AS93*Assumptions!$AB$10/100)/T93)^2+
Assumptions!$S$9*(AL93/(AS93*Assumptions!$AB$10/100)/T93)+
Assumptions!$S$10),"")</f>
        <v/>
      </c>
      <c r="AS93" s="95" t="str">
        <f>IFERROR(
Assumptions!$AD$8*LN(X93)^2+
Assumptions!$AE$8*LN(W93)*LN(X93)+
Assumptions!$AF$8*LN(W93)^2+
Assumptions!$AG$8*LN(X93)+
Assumptions!$AH$8*LN(W93)-
(IF(V93=1800,
VLOOKUP(C93,Assumptions!$AA$13:$AC$17,3),
IF(V93=3600,
VLOOKUP(C93,Assumptions!$AA$18:$AC$22,3),""))+Assumptions!$AI$8),
"")</f>
        <v/>
      </c>
      <c r="AT93" s="96" t="str">
        <f>IFERROR(
Assumptions!$D$11*(AA93/(Assumptions!$AB$9*AS93/100)+AP93)+
Assumptions!$D$10*(AK93/(Assumptions!$AB$8*AS93/100)+AQ93)+
Assumptions!$D$12*(AL93/(Assumptions!$AB$10*AS93/100)+AR93),
"")</f>
        <v/>
      </c>
      <c r="AU93" s="76" t="str">
        <f>IFERROR(
Z93*Assumptions!$F$11+
AD93*Assumptions!$F$10+
AG93*Assumptions!$F$9+
AJ93*Assumptions!$F$8,
"")</f>
        <v/>
      </c>
      <c r="AV93" s="77" t="str">
        <f t="shared" si="53"/>
        <v/>
      </c>
      <c r="AW93" s="68" t="str">
        <f t="shared" si="54"/>
        <v/>
      </c>
    </row>
    <row r="94" spans="1:49" x14ac:dyDescent="0.25">
      <c r="A94" s="264"/>
      <c r="B94" s="265"/>
      <c r="C94" s="265"/>
      <c r="D94" s="265"/>
      <c r="E94" s="266"/>
      <c r="F94" s="270"/>
      <c r="G94" s="271"/>
      <c r="H94" s="310"/>
      <c r="I94" s="270"/>
      <c r="J94" s="271"/>
      <c r="K94" s="272"/>
      <c r="L94" s="308"/>
      <c r="M94" s="271"/>
      <c r="N94" s="310"/>
      <c r="O94" s="270"/>
      <c r="P94" s="271"/>
      <c r="Q94" s="272"/>
      <c r="R94" s="272"/>
      <c r="S94" s="318"/>
      <c r="T94" s="306"/>
      <c r="U94" s="84" t="str">
        <f t="shared" si="35"/>
        <v/>
      </c>
      <c r="V94" s="84" t="str">
        <f t="shared" si="50"/>
        <v/>
      </c>
      <c r="W94" s="93" t="str">
        <f t="shared" si="36"/>
        <v/>
      </c>
      <c r="X94" s="100" t="str">
        <f t="shared" si="37"/>
        <v/>
      </c>
      <c r="Y94" s="95" t="str">
        <f t="shared" si="38"/>
        <v/>
      </c>
      <c r="Z94" s="95" t="str">
        <f t="shared" si="39"/>
        <v/>
      </c>
      <c r="AA94" s="98" t="str">
        <f>IFERROR(X94*Y94*Assumptions!$B$15/3956,"")</f>
        <v/>
      </c>
      <c r="AB94" s="100" t="str">
        <f t="shared" si="51"/>
        <v/>
      </c>
      <c r="AC94" s="95" t="str">
        <f t="shared" si="52"/>
        <v/>
      </c>
      <c r="AD94" s="95" t="str">
        <f t="shared" si="40"/>
        <v/>
      </c>
      <c r="AE94" s="100" t="str">
        <f t="shared" si="41"/>
        <v/>
      </c>
      <c r="AF94" s="95" t="str">
        <f t="shared" si="42"/>
        <v/>
      </c>
      <c r="AG94" s="98" t="str">
        <f t="shared" si="43"/>
        <v/>
      </c>
      <c r="AH94" s="100" t="str">
        <f t="shared" si="44"/>
        <v/>
      </c>
      <c r="AI94" s="95" t="str">
        <f t="shared" si="45"/>
        <v/>
      </c>
      <c r="AJ94" s="98" t="str">
        <f t="shared" si="46"/>
        <v/>
      </c>
      <c r="AK94" s="94" t="str">
        <f t="shared" si="47"/>
        <v/>
      </c>
      <c r="AL94" s="96" t="str">
        <f t="shared" si="48"/>
        <v/>
      </c>
      <c r="AM94" s="244" t="str">
        <f>IFERROR(
IF(C94="VTS",
IF(T94&gt;=AVERAGE(
INDEX(Assumptions!$I$38:$I$57,MATCH(T94,Assumptions!$I$38:$I$57,-1)),
INDEX(Assumptions!$I$38:$I$57,MATCH(T94,Assumptions!$I$38:$I$57,-1)+1)),
INDEX(Assumptions!$I$38:$I$57,MATCH(T94,Assumptions!$I$38:$I$57,-1)),
INDEX(Assumptions!$I$38:$I$57,MATCH(T94,Assumptions!$I$38:$I$57,-1)+1)),
IF(T94&gt;=AVERAGE(
INDEX(Assumptions!$I$13:$I$32,MATCH(T94,Assumptions!$I$13:$I$32,-1)),
INDEX(Assumptions!$I$13:$I$32,MATCH(T94,Assumptions!$I$13:$I$32,-1)+1)),
INDEX(Assumptions!$I$13:$I$32,MATCH(T94,Assumptions!$I$13:$I$32,-1)),
INDEX(Assumptions!$I$13:$I$32,MATCH(T94,Assumptions!$I$13:$I$32,-1)+1))),
"")</f>
        <v/>
      </c>
      <c r="AN94" s="95" t="str">
        <f>IFERROR(
IF(C94="VTS",
VLOOKUP(AM94,Assumptions!$I$38:$K$57,MATCH(U94,Assumptions!$I$37:$K$37,0),FALSE),
VLOOKUP(AM94,Assumptions!$I$13:$K$32,MATCH(U94,Assumptions!$I$12:$K$12,0),FALSE)),
"")</f>
        <v/>
      </c>
      <c r="AO94" s="95" t="str">
        <f t="shared" si="49"/>
        <v/>
      </c>
      <c r="AP94" s="95" t="str">
        <f>IFERROR(AO94*
(Assumptions!$S$7*(AA94/(AS94*Assumptions!$AB$9/100)/T94)^3+
Assumptions!$S$8*(AA94/(AS94*Assumptions!$AB$9/100)/T94)^2+
Assumptions!$S$9*(AA94/(AS94*Assumptions!$AB$9/100)/T94)+
Assumptions!$S$10),"")</f>
        <v/>
      </c>
      <c r="AQ94" s="95" t="str">
        <f>IFERROR(AO94*
(Assumptions!$S$7*(AK94/(AS94*Assumptions!$AB$8/100)/T94)^3+
Assumptions!$S$8*(AK94/(AS94*Assumptions!$AB$8/100)/T94)^2+
Assumptions!$S$9*(AK94/(AS94*Assumptions!$AB$8/100)/T94)+
Assumptions!$S$10),"")</f>
        <v/>
      </c>
      <c r="AR94" s="95" t="str">
        <f>IFERROR(AO94*
(Assumptions!$S$7*(AL94/(AS94*Assumptions!$AB$10/100)/T94)^3+
Assumptions!$S$8*(AL94/(AS94*Assumptions!$AB$10/100)/T94)^2+
Assumptions!$S$9*(AL94/(AS94*Assumptions!$AB$10/100)/T94)+
Assumptions!$S$10),"")</f>
        <v/>
      </c>
      <c r="AS94" s="95" t="str">
        <f>IFERROR(
Assumptions!$AD$8*LN(X94)^2+
Assumptions!$AE$8*LN(W94)*LN(X94)+
Assumptions!$AF$8*LN(W94)^2+
Assumptions!$AG$8*LN(X94)+
Assumptions!$AH$8*LN(W94)-
(IF(V94=1800,
VLOOKUP(C94,Assumptions!$AA$13:$AC$17,3),
IF(V94=3600,
VLOOKUP(C94,Assumptions!$AA$18:$AC$22,3),""))+Assumptions!$AI$8),
"")</f>
        <v/>
      </c>
      <c r="AT94" s="96" t="str">
        <f>IFERROR(
Assumptions!$D$11*(AA94/(Assumptions!$AB$9*AS94/100)+AP94)+
Assumptions!$D$10*(AK94/(Assumptions!$AB$8*AS94/100)+AQ94)+
Assumptions!$D$12*(AL94/(Assumptions!$AB$10*AS94/100)+AR94),
"")</f>
        <v/>
      </c>
      <c r="AU94" s="76" t="str">
        <f>IFERROR(
Z94*Assumptions!$F$11+
AD94*Assumptions!$F$10+
AG94*Assumptions!$F$9+
AJ94*Assumptions!$F$8,
"")</f>
        <v/>
      </c>
      <c r="AV94" s="77" t="str">
        <f t="shared" si="53"/>
        <v/>
      </c>
      <c r="AW94" s="68" t="str">
        <f t="shared" si="54"/>
        <v/>
      </c>
    </row>
    <row r="95" spans="1:49" x14ac:dyDescent="0.25">
      <c r="A95" s="264"/>
      <c r="B95" s="265"/>
      <c r="C95" s="265"/>
      <c r="D95" s="265"/>
      <c r="E95" s="266"/>
      <c r="F95" s="270"/>
      <c r="G95" s="271"/>
      <c r="H95" s="310"/>
      <c r="I95" s="270"/>
      <c r="J95" s="271"/>
      <c r="K95" s="272"/>
      <c r="L95" s="308"/>
      <c r="M95" s="271"/>
      <c r="N95" s="310"/>
      <c r="O95" s="270"/>
      <c r="P95" s="271"/>
      <c r="Q95" s="272"/>
      <c r="R95" s="272"/>
      <c r="S95" s="318"/>
      <c r="T95" s="306"/>
      <c r="U95" s="84" t="str">
        <f t="shared" si="35"/>
        <v/>
      </c>
      <c r="V95" s="84" t="str">
        <f t="shared" si="50"/>
        <v/>
      </c>
      <c r="W95" s="93" t="str">
        <f t="shared" si="36"/>
        <v/>
      </c>
      <c r="X95" s="100" t="str">
        <f t="shared" si="37"/>
        <v/>
      </c>
      <c r="Y95" s="95" t="str">
        <f t="shared" si="38"/>
        <v/>
      </c>
      <c r="Z95" s="95" t="str">
        <f t="shared" si="39"/>
        <v/>
      </c>
      <c r="AA95" s="98" t="str">
        <f>IFERROR(X95*Y95*Assumptions!$B$15/3956,"")</f>
        <v/>
      </c>
      <c r="AB95" s="100" t="str">
        <f t="shared" si="51"/>
        <v/>
      </c>
      <c r="AC95" s="95" t="str">
        <f t="shared" si="52"/>
        <v/>
      </c>
      <c r="AD95" s="95" t="str">
        <f t="shared" si="40"/>
        <v/>
      </c>
      <c r="AE95" s="100" t="str">
        <f t="shared" si="41"/>
        <v/>
      </c>
      <c r="AF95" s="95" t="str">
        <f t="shared" si="42"/>
        <v/>
      </c>
      <c r="AG95" s="98" t="str">
        <f t="shared" si="43"/>
        <v/>
      </c>
      <c r="AH95" s="100" t="str">
        <f t="shared" si="44"/>
        <v/>
      </c>
      <c r="AI95" s="95" t="str">
        <f t="shared" si="45"/>
        <v/>
      </c>
      <c r="AJ95" s="98" t="str">
        <f t="shared" si="46"/>
        <v/>
      </c>
      <c r="AK95" s="94" t="str">
        <f t="shared" si="47"/>
        <v/>
      </c>
      <c r="AL95" s="96" t="str">
        <f t="shared" si="48"/>
        <v/>
      </c>
      <c r="AM95" s="244" t="str">
        <f>IFERROR(
IF(C95="VTS",
IF(T95&gt;=AVERAGE(
INDEX(Assumptions!$I$38:$I$57,MATCH(T95,Assumptions!$I$38:$I$57,-1)),
INDEX(Assumptions!$I$38:$I$57,MATCH(T95,Assumptions!$I$38:$I$57,-1)+1)),
INDEX(Assumptions!$I$38:$I$57,MATCH(T95,Assumptions!$I$38:$I$57,-1)),
INDEX(Assumptions!$I$38:$I$57,MATCH(T95,Assumptions!$I$38:$I$57,-1)+1)),
IF(T95&gt;=AVERAGE(
INDEX(Assumptions!$I$13:$I$32,MATCH(T95,Assumptions!$I$13:$I$32,-1)),
INDEX(Assumptions!$I$13:$I$32,MATCH(T95,Assumptions!$I$13:$I$32,-1)+1)),
INDEX(Assumptions!$I$13:$I$32,MATCH(T95,Assumptions!$I$13:$I$32,-1)),
INDEX(Assumptions!$I$13:$I$32,MATCH(T95,Assumptions!$I$13:$I$32,-1)+1))),
"")</f>
        <v/>
      </c>
      <c r="AN95" s="95" t="str">
        <f>IFERROR(
IF(C95="VTS",
VLOOKUP(AM95,Assumptions!$I$38:$K$57,MATCH(U95,Assumptions!$I$37:$K$37,0),FALSE),
VLOOKUP(AM95,Assumptions!$I$13:$K$32,MATCH(U95,Assumptions!$I$12:$K$12,0),FALSE)),
"")</f>
        <v/>
      </c>
      <c r="AO95" s="95" t="str">
        <f t="shared" si="49"/>
        <v/>
      </c>
      <c r="AP95" s="95" t="str">
        <f>IFERROR(AO95*
(Assumptions!$S$7*(AA95/(AS95*Assumptions!$AB$9/100)/T95)^3+
Assumptions!$S$8*(AA95/(AS95*Assumptions!$AB$9/100)/T95)^2+
Assumptions!$S$9*(AA95/(AS95*Assumptions!$AB$9/100)/T95)+
Assumptions!$S$10),"")</f>
        <v/>
      </c>
      <c r="AQ95" s="95" t="str">
        <f>IFERROR(AO95*
(Assumptions!$S$7*(AK95/(AS95*Assumptions!$AB$8/100)/T95)^3+
Assumptions!$S$8*(AK95/(AS95*Assumptions!$AB$8/100)/T95)^2+
Assumptions!$S$9*(AK95/(AS95*Assumptions!$AB$8/100)/T95)+
Assumptions!$S$10),"")</f>
        <v/>
      </c>
      <c r="AR95" s="95" t="str">
        <f>IFERROR(AO95*
(Assumptions!$S$7*(AL95/(AS95*Assumptions!$AB$10/100)/T95)^3+
Assumptions!$S$8*(AL95/(AS95*Assumptions!$AB$10/100)/T95)^2+
Assumptions!$S$9*(AL95/(AS95*Assumptions!$AB$10/100)/T95)+
Assumptions!$S$10),"")</f>
        <v/>
      </c>
      <c r="AS95" s="95" t="str">
        <f>IFERROR(
Assumptions!$AD$8*LN(X95)^2+
Assumptions!$AE$8*LN(W95)*LN(X95)+
Assumptions!$AF$8*LN(W95)^2+
Assumptions!$AG$8*LN(X95)+
Assumptions!$AH$8*LN(W95)-
(IF(V95=1800,
VLOOKUP(C95,Assumptions!$AA$13:$AC$17,3),
IF(V95=3600,
VLOOKUP(C95,Assumptions!$AA$18:$AC$22,3),""))+Assumptions!$AI$8),
"")</f>
        <v/>
      </c>
      <c r="AT95" s="96" t="str">
        <f>IFERROR(
Assumptions!$D$11*(AA95/(Assumptions!$AB$9*AS95/100)+AP95)+
Assumptions!$D$10*(AK95/(Assumptions!$AB$8*AS95/100)+AQ95)+
Assumptions!$D$12*(AL95/(Assumptions!$AB$10*AS95/100)+AR95),
"")</f>
        <v/>
      </c>
      <c r="AU95" s="76" t="str">
        <f>IFERROR(
Z95*Assumptions!$F$11+
AD95*Assumptions!$F$10+
AG95*Assumptions!$F$9+
AJ95*Assumptions!$F$8,
"")</f>
        <v/>
      </c>
      <c r="AV95" s="77" t="str">
        <f t="shared" si="53"/>
        <v/>
      </c>
      <c r="AW95" s="68" t="str">
        <f t="shared" si="54"/>
        <v/>
      </c>
    </row>
    <row r="96" spans="1:49" x14ac:dyDescent="0.25">
      <c r="A96" s="264"/>
      <c r="B96" s="265"/>
      <c r="C96" s="265"/>
      <c r="D96" s="265"/>
      <c r="E96" s="266"/>
      <c r="F96" s="270"/>
      <c r="G96" s="271"/>
      <c r="H96" s="310"/>
      <c r="I96" s="270"/>
      <c r="J96" s="271"/>
      <c r="K96" s="272"/>
      <c r="L96" s="308"/>
      <c r="M96" s="271"/>
      <c r="N96" s="310"/>
      <c r="O96" s="270"/>
      <c r="P96" s="271"/>
      <c r="Q96" s="272"/>
      <c r="R96" s="272"/>
      <c r="S96" s="318"/>
      <c r="T96" s="306"/>
      <c r="U96" s="84" t="str">
        <f t="shared" si="35"/>
        <v/>
      </c>
      <c r="V96" s="84" t="str">
        <f t="shared" si="50"/>
        <v/>
      </c>
      <c r="W96" s="93" t="str">
        <f t="shared" si="36"/>
        <v/>
      </c>
      <c r="X96" s="100" t="str">
        <f t="shared" si="37"/>
        <v/>
      </c>
      <c r="Y96" s="95" t="str">
        <f t="shared" si="38"/>
        <v/>
      </c>
      <c r="Z96" s="95" t="str">
        <f t="shared" si="39"/>
        <v/>
      </c>
      <c r="AA96" s="98" t="str">
        <f>IFERROR(X96*Y96*Assumptions!$B$15/3956,"")</f>
        <v/>
      </c>
      <c r="AB96" s="100" t="str">
        <f t="shared" si="51"/>
        <v/>
      </c>
      <c r="AC96" s="95" t="str">
        <f t="shared" si="52"/>
        <v/>
      </c>
      <c r="AD96" s="95" t="str">
        <f t="shared" si="40"/>
        <v/>
      </c>
      <c r="AE96" s="100" t="str">
        <f t="shared" si="41"/>
        <v/>
      </c>
      <c r="AF96" s="95" t="str">
        <f t="shared" si="42"/>
        <v/>
      </c>
      <c r="AG96" s="98" t="str">
        <f t="shared" si="43"/>
        <v/>
      </c>
      <c r="AH96" s="100" t="str">
        <f t="shared" si="44"/>
        <v/>
      </c>
      <c r="AI96" s="95" t="str">
        <f t="shared" si="45"/>
        <v/>
      </c>
      <c r="AJ96" s="98" t="str">
        <f t="shared" si="46"/>
        <v/>
      </c>
      <c r="AK96" s="94" t="str">
        <f t="shared" si="47"/>
        <v/>
      </c>
      <c r="AL96" s="96" t="str">
        <f t="shared" si="48"/>
        <v/>
      </c>
      <c r="AM96" s="244" t="str">
        <f>IFERROR(
IF(C96="VTS",
IF(T96&gt;=AVERAGE(
INDEX(Assumptions!$I$38:$I$57,MATCH(T96,Assumptions!$I$38:$I$57,-1)),
INDEX(Assumptions!$I$38:$I$57,MATCH(T96,Assumptions!$I$38:$I$57,-1)+1)),
INDEX(Assumptions!$I$38:$I$57,MATCH(T96,Assumptions!$I$38:$I$57,-1)),
INDEX(Assumptions!$I$38:$I$57,MATCH(T96,Assumptions!$I$38:$I$57,-1)+1)),
IF(T96&gt;=AVERAGE(
INDEX(Assumptions!$I$13:$I$32,MATCH(T96,Assumptions!$I$13:$I$32,-1)),
INDEX(Assumptions!$I$13:$I$32,MATCH(T96,Assumptions!$I$13:$I$32,-1)+1)),
INDEX(Assumptions!$I$13:$I$32,MATCH(T96,Assumptions!$I$13:$I$32,-1)),
INDEX(Assumptions!$I$13:$I$32,MATCH(T96,Assumptions!$I$13:$I$32,-1)+1))),
"")</f>
        <v/>
      </c>
      <c r="AN96" s="95" t="str">
        <f>IFERROR(
IF(C96="VTS",
VLOOKUP(AM96,Assumptions!$I$38:$K$57,MATCH(U96,Assumptions!$I$37:$K$37,0),FALSE),
VLOOKUP(AM96,Assumptions!$I$13:$K$32,MATCH(U96,Assumptions!$I$12:$K$12,0),FALSE)),
"")</f>
        <v/>
      </c>
      <c r="AO96" s="95" t="str">
        <f t="shared" si="49"/>
        <v/>
      </c>
      <c r="AP96" s="95" t="str">
        <f>IFERROR(AO96*
(Assumptions!$S$7*(AA96/(AS96*Assumptions!$AB$9/100)/T96)^3+
Assumptions!$S$8*(AA96/(AS96*Assumptions!$AB$9/100)/T96)^2+
Assumptions!$S$9*(AA96/(AS96*Assumptions!$AB$9/100)/T96)+
Assumptions!$S$10),"")</f>
        <v/>
      </c>
      <c r="AQ96" s="95" t="str">
        <f>IFERROR(AO96*
(Assumptions!$S$7*(AK96/(AS96*Assumptions!$AB$8/100)/T96)^3+
Assumptions!$S$8*(AK96/(AS96*Assumptions!$AB$8/100)/T96)^2+
Assumptions!$S$9*(AK96/(AS96*Assumptions!$AB$8/100)/T96)+
Assumptions!$S$10),"")</f>
        <v/>
      </c>
      <c r="AR96" s="95" t="str">
        <f>IFERROR(AO96*
(Assumptions!$S$7*(AL96/(AS96*Assumptions!$AB$10/100)/T96)^3+
Assumptions!$S$8*(AL96/(AS96*Assumptions!$AB$10/100)/T96)^2+
Assumptions!$S$9*(AL96/(AS96*Assumptions!$AB$10/100)/T96)+
Assumptions!$S$10),"")</f>
        <v/>
      </c>
      <c r="AS96" s="95" t="str">
        <f>IFERROR(
Assumptions!$AD$8*LN(X96)^2+
Assumptions!$AE$8*LN(W96)*LN(X96)+
Assumptions!$AF$8*LN(W96)^2+
Assumptions!$AG$8*LN(X96)+
Assumptions!$AH$8*LN(W96)-
(IF(V96=1800,
VLOOKUP(C96,Assumptions!$AA$13:$AC$17,3),
IF(V96=3600,
VLOOKUP(C96,Assumptions!$AA$18:$AC$22,3),""))+Assumptions!$AI$8),
"")</f>
        <v/>
      </c>
      <c r="AT96" s="96" t="str">
        <f>IFERROR(
Assumptions!$D$11*(AA96/(Assumptions!$AB$9*AS96/100)+AP96)+
Assumptions!$D$10*(AK96/(Assumptions!$AB$8*AS96/100)+AQ96)+
Assumptions!$D$12*(AL96/(Assumptions!$AB$10*AS96/100)+AR96),
"")</f>
        <v/>
      </c>
      <c r="AU96" s="76" t="str">
        <f>IFERROR(
Z96*Assumptions!$F$11+
AD96*Assumptions!$F$10+
AG96*Assumptions!$F$9+
AJ96*Assumptions!$F$8,
"")</f>
        <v/>
      </c>
      <c r="AV96" s="77" t="str">
        <f t="shared" si="53"/>
        <v/>
      </c>
      <c r="AW96" s="68" t="str">
        <f t="shared" si="54"/>
        <v/>
      </c>
    </row>
    <row r="97" spans="1:49" x14ac:dyDescent="0.25">
      <c r="A97" s="264"/>
      <c r="B97" s="265"/>
      <c r="C97" s="265"/>
      <c r="D97" s="265"/>
      <c r="E97" s="266"/>
      <c r="F97" s="270"/>
      <c r="G97" s="271"/>
      <c r="H97" s="310"/>
      <c r="I97" s="270"/>
      <c r="J97" s="271"/>
      <c r="K97" s="272"/>
      <c r="L97" s="308"/>
      <c r="M97" s="271"/>
      <c r="N97" s="310"/>
      <c r="O97" s="270"/>
      <c r="P97" s="271"/>
      <c r="Q97" s="272"/>
      <c r="R97" s="272"/>
      <c r="S97" s="318"/>
      <c r="T97" s="306"/>
      <c r="U97" s="84" t="str">
        <f t="shared" si="35"/>
        <v/>
      </c>
      <c r="V97" s="84" t="str">
        <f t="shared" si="50"/>
        <v/>
      </c>
      <c r="W97" s="93" t="str">
        <f t="shared" si="36"/>
        <v/>
      </c>
      <c r="X97" s="100" t="str">
        <f t="shared" si="37"/>
        <v/>
      </c>
      <c r="Y97" s="95" t="str">
        <f t="shared" si="38"/>
        <v/>
      </c>
      <c r="Z97" s="95" t="str">
        <f t="shared" si="39"/>
        <v/>
      </c>
      <c r="AA97" s="98" t="str">
        <f>IFERROR(X97*Y97*Assumptions!$B$15/3956,"")</f>
        <v/>
      </c>
      <c r="AB97" s="100" t="str">
        <f t="shared" si="51"/>
        <v/>
      </c>
      <c r="AC97" s="95" t="str">
        <f t="shared" si="52"/>
        <v/>
      </c>
      <c r="AD97" s="95" t="str">
        <f t="shared" si="40"/>
        <v/>
      </c>
      <c r="AE97" s="100" t="str">
        <f t="shared" si="41"/>
        <v/>
      </c>
      <c r="AF97" s="95" t="str">
        <f t="shared" si="42"/>
        <v/>
      </c>
      <c r="AG97" s="98" t="str">
        <f t="shared" si="43"/>
        <v/>
      </c>
      <c r="AH97" s="100" t="str">
        <f t="shared" si="44"/>
        <v/>
      </c>
      <c r="AI97" s="95" t="str">
        <f t="shared" si="45"/>
        <v/>
      </c>
      <c r="AJ97" s="98" t="str">
        <f t="shared" si="46"/>
        <v/>
      </c>
      <c r="AK97" s="94" t="str">
        <f t="shared" si="47"/>
        <v/>
      </c>
      <c r="AL97" s="96" t="str">
        <f t="shared" si="48"/>
        <v/>
      </c>
      <c r="AM97" s="244" t="str">
        <f>IFERROR(
IF(C97="VTS",
IF(T97&gt;=AVERAGE(
INDEX(Assumptions!$I$38:$I$57,MATCH(T97,Assumptions!$I$38:$I$57,-1)),
INDEX(Assumptions!$I$38:$I$57,MATCH(T97,Assumptions!$I$38:$I$57,-1)+1)),
INDEX(Assumptions!$I$38:$I$57,MATCH(T97,Assumptions!$I$38:$I$57,-1)),
INDEX(Assumptions!$I$38:$I$57,MATCH(T97,Assumptions!$I$38:$I$57,-1)+1)),
IF(T97&gt;=AVERAGE(
INDEX(Assumptions!$I$13:$I$32,MATCH(T97,Assumptions!$I$13:$I$32,-1)),
INDEX(Assumptions!$I$13:$I$32,MATCH(T97,Assumptions!$I$13:$I$32,-1)+1)),
INDEX(Assumptions!$I$13:$I$32,MATCH(T97,Assumptions!$I$13:$I$32,-1)),
INDEX(Assumptions!$I$13:$I$32,MATCH(T97,Assumptions!$I$13:$I$32,-1)+1))),
"")</f>
        <v/>
      </c>
      <c r="AN97" s="95" t="str">
        <f>IFERROR(
IF(C97="VTS",
VLOOKUP(AM97,Assumptions!$I$38:$K$57,MATCH(U97,Assumptions!$I$37:$K$37,0),FALSE),
VLOOKUP(AM97,Assumptions!$I$13:$K$32,MATCH(U97,Assumptions!$I$12:$K$12,0),FALSE)),
"")</f>
        <v/>
      </c>
      <c r="AO97" s="95" t="str">
        <f t="shared" si="49"/>
        <v/>
      </c>
      <c r="AP97" s="95" t="str">
        <f>IFERROR(AO97*
(Assumptions!$S$7*(AA97/(AS97*Assumptions!$AB$9/100)/T97)^3+
Assumptions!$S$8*(AA97/(AS97*Assumptions!$AB$9/100)/T97)^2+
Assumptions!$S$9*(AA97/(AS97*Assumptions!$AB$9/100)/T97)+
Assumptions!$S$10),"")</f>
        <v/>
      </c>
      <c r="AQ97" s="95" t="str">
        <f>IFERROR(AO97*
(Assumptions!$S$7*(AK97/(AS97*Assumptions!$AB$8/100)/T97)^3+
Assumptions!$S$8*(AK97/(AS97*Assumptions!$AB$8/100)/T97)^2+
Assumptions!$S$9*(AK97/(AS97*Assumptions!$AB$8/100)/T97)+
Assumptions!$S$10),"")</f>
        <v/>
      </c>
      <c r="AR97" s="95" t="str">
        <f>IFERROR(AO97*
(Assumptions!$S$7*(AL97/(AS97*Assumptions!$AB$10/100)/T97)^3+
Assumptions!$S$8*(AL97/(AS97*Assumptions!$AB$10/100)/T97)^2+
Assumptions!$S$9*(AL97/(AS97*Assumptions!$AB$10/100)/T97)+
Assumptions!$S$10),"")</f>
        <v/>
      </c>
      <c r="AS97" s="95" t="str">
        <f>IFERROR(
Assumptions!$AD$8*LN(X97)^2+
Assumptions!$AE$8*LN(W97)*LN(X97)+
Assumptions!$AF$8*LN(W97)^2+
Assumptions!$AG$8*LN(X97)+
Assumptions!$AH$8*LN(W97)-
(IF(V97=1800,
VLOOKUP(C97,Assumptions!$AA$13:$AC$17,3),
IF(V97=3600,
VLOOKUP(C97,Assumptions!$AA$18:$AC$22,3),""))+Assumptions!$AI$8),
"")</f>
        <v/>
      </c>
      <c r="AT97" s="96" t="str">
        <f>IFERROR(
Assumptions!$D$11*(AA97/(Assumptions!$AB$9*AS97/100)+AP97)+
Assumptions!$D$10*(AK97/(Assumptions!$AB$8*AS97/100)+AQ97)+
Assumptions!$D$12*(AL97/(Assumptions!$AB$10*AS97/100)+AR97),
"")</f>
        <v/>
      </c>
      <c r="AU97" s="76" t="str">
        <f>IFERROR(
Z97*Assumptions!$F$11+
AD97*Assumptions!$F$10+
AG97*Assumptions!$F$9+
AJ97*Assumptions!$F$8,
"")</f>
        <v/>
      </c>
      <c r="AV97" s="77" t="str">
        <f t="shared" si="53"/>
        <v/>
      </c>
      <c r="AW97" s="68" t="str">
        <f t="shared" si="54"/>
        <v/>
      </c>
    </row>
    <row r="98" spans="1:49" x14ac:dyDescent="0.25">
      <c r="A98" s="264"/>
      <c r="B98" s="265"/>
      <c r="C98" s="265"/>
      <c r="D98" s="265"/>
      <c r="E98" s="266"/>
      <c r="F98" s="270"/>
      <c r="G98" s="271"/>
      <c r="H98" s="310"/>
      <c r="I98" s="270"/>
      <c r="J98" s="271"/>
      <c r="K98" s="272"/>
      <c r="L98" s="308"/>
      <c r="M98" s="271"/>
      <c r="N98" s="310"/>
      <c r="O98" s="270"/>
      <c r="P98" s="271"/>
      <c r="Q98" s="272"/>
      <c r="R98" s="272"/>
      <c r="S98" s="318"/>
      <c r="T98" s="306"/>
      <c r="U98" s="84" t="str">
        <f t="shared" si="35"/>
        <v/>
      </c>
      <c r="V98" s="84" t="str">
        <f t="shared" si="50"/>
        <v/>
      </c>
      <c r="W98" s="93" t="str">
        <f t="shared" si="36"/>
        <v/>
      </c>
      <c r="X98" s="100" t="str">
        <f t="shared" si="37"/>
        <v/>
      </c>
      <c r="Y98" s="95" t="str">
        <f t="shared" si="38"/>
        <v/>
      </c>
      <c r="Z98" s="95" t="str">
        <f t="shared" si="39"/>
        <v/>
      </c>
      <c r="AA98" s="98" t="str">
        <f>IFERROR(X98*Y98*Assumptions!$B$15/3956,"")</f>
        <v/>
      </c>
      <c r="AB98" s="100" t="str">
        <f t="shared" si="51"/>
        <v/>
      </c>
      <c r="AC98" s="95" t="str">
        <f t="shared" si="52"/>
        <v/>
      </c>
      <c r="AD98" s="95" t="str">
        <f t="shared" si="40"/>
        <v/>
      </c>
      <c r="AE98" s="100" t="str">
        <f t="shared" si="41"/>
        <v/>
      </c>
      <c r="AF98" s="95" t="str">
        <f t="shared" si="42"/>
        <v/>
      </c>
      <c r="AG98" s="98" t="str">
        <f t="shared" si="43"/>
        <v/>
      </c>
      <c r="AH98" s="100" t="str">
        <f t="shared" si="44"/>
        <v/>
      </c>
      <c r="AI98" s="95" t="str">
        <f t="shared" si="45"/>
        <v/>
      </c>
      <c r="AJ98" s="98" t="str">
        <f t="shared" si="46"/>
        <v/>
      </c>
      <c r="AK98" s="94" t="str">
        <f t="shared" si="47"/>
        <v/>
      </c>
      <c r="AL98" s="96" t="str">
        <f t="shared" si="48"/>
        <v/>
      </c>
      <c r="AM98" s="244" t="str">
        <f>IFERROR(
IF(C98="VTS",
IF(T98&gt;=AVERAGE(
INDEX(Assumptions!$I$38:$I$57,MATCH(T98,Assumptions!$I$38:$I$57,-1)),
INDEX(Assumptions!$I$38:$I$57,MATCH(T98,Assumptions!$I$38:$I$57,-1)+1)),
INDEX(Assumptions!$I$38:$I$57,MATCH(T98,Assumptions!$I$38:$I$57,-1)),
INDEX(Assumptions!$I$38:$I$57,MATCH(T98,Assumptions!$I$38:$I$57,-1)+1)),
IF(T98&gt;=AVERAGE(
INDEX(Assumptions!$I$13:$I$32,MATCH(T98,Assumptions!$I$13:$I$32,-1)),
INDEX(Assumptions!$I$13:$I$32,MATCH(T98,Assumptions!$I$13:$I$32,-1)+1)),
INDEX(Assumptions!$I$13:$I$32,MATCH(T98,Assumptions!$I$13:$I$32,-1)),
INDEX(Assumptions!$I$13:$I$32,MATCH(T98,Assumptions!$I$13:$I$32,-1)+1))),
"")</f>
        <v/>
      </c>
      <c r="AN98" s="95" t="str">
        <f>IFERROR(
IF(C98="VTS",
VLOOKUP(AM98,Assumptions!$I$38:$K$57,MATCH(U98,Assumptions!$I$37:$K$37,0),FALSE),
VLOOKUP(AM98,Assumptions!$I$13:$K$32,MATCH(U98,Assumptions!$I$12:$K$12,0),FALSE)),
"")</f>
        <v/>
      </c>
      <c r="AO98" s="95" t="str">
        <f t="shared" si="49"/>
        <v/>
      </c>
      <c r="AP98" s="95" t="str">
        <f>IFERROR(AO98*
(Assumptions!$S$7*(AA98/(AS98*Assumptions!$AB$9/100)/T98)^3+
Assumptions!$S$8*(AA98/(AS98*Assumptions!$AB$9/100)/T98)^2+
Assumptions!$S$9*(AA98/(AS98*Assumptions!$AB$9/100)/T98)+
Assumptions!$S$10),"")</f>
        <v/>
      </c>
      <c r="AQ98" s="95" t="str">
        <f>IFERROR(AO98*
(Assumptions!$S$7*(AK98/(AS98*Assumptions!$AB$8/100)/T98)^3+
Assumptions!$S$8*(AK98/(AS98*Assumptions!$AB$8/100)/T98)^2+
Assumptions!$S$9*(AK98/(AS98*Assumptions!$AB$8/100)/T98)+
Assumptions!$S$10),"")</f>
        <v/>
      </c>
      <c r="AR98" s="95" t="str">
        <f>IFERROR(AO98*
(Assumptions!$S$7*(AL98/(AS98*Assumptions!$AB$10/100)/T98)^3+
Assumptions!$S$8*(AL98/(AS98*Assumptions!$AB$10/100)/T98)^2+
Assumptions!$S$9*(AL98/(AS98*Assumptions!$AB$10/100)/T98)+
Assumptions!$S$10),"")</f>
        <v/>
      </c>
      <c r="AS98" s="95" t="str">
        <f>IFERROR(
Assumptions!$AD$8*LN(X98)^2+
Assumptions!$AE$8*LN(W98)*LN(X98)+
Assumptions!$AF$8*LN(W98)^2+
Assumptions!$AG$8*LN(X98)+
Assumptions!$AH$8*LN(W98)-
(IF(V98=1800,
VLOOKUP(C98,Assumptions!$AA$13:$AC$17,3),
IF(V98=3600,
VLOOKUP(C98,Assumptions!$AA$18:$AC$22,3),""))+Assumptions!$AI$8),
"")</f>
        <v/>
      </c>
      <c r="AT98" s="96" t="str">
        <f>IFERROR(
Assumptions!$D$11*(AA98/(Assumptions!$AB$9*AS98/100)+AP98)+
Assumptions!$D$10*(AK98/(Assumptions!$AB$8*AS98/100)+AQ98)+
Assumptions!$D$12*(AL98/(Assumptions!$AB$10*AS98/100)+AR98),
"")</f>
        <v/>
      </c>
      <c r="AU98" s="76" t="str">
        <f>IFERROR(
Z98*Assumptions!$F$11+
AD98*Assumptions!$F$10+
AG98*Assumptions!$F$9+
AJ98*Assumptions!$F$8,
"")</f>
        <v/>
      </c>
      <c r="AV98" s="77" t="str">
        <f t="shared" si="53"/>
        <v/>
      </c>
      <c r="AW98" s="68" t="str">
        <f t="shared" si="54"/>
        <v/>
      </c>
    </row>
    <row r="99" spans="1:49" x14ac:dyDescent="0.25">
      <c r="A99" s="264"/>
      <c r="B99" s="265"/>
      <c r="C99" s="265"/>
      <c r="D99" s="265"/>
      <c r="E99" s="266"/>
      <c r="F99" s="270"/>
      <c r="G99" s="271"/>
      <c r="H99" s="310"/>
      <c r="I99" s="270"/>
      <c r="J99" s="271"/>
      <c r="K99" s="272"/>
      <c r="L99" s="308"/>
      <c r="M99" s="271"/>
      <c r="N99" s="310"/>
      <c r="O99" s="270"/>
      <c r="P99" s="271"/>
      <c r="Q99" s="272"/>
      <c r="R99" s="272"/>
      <c r="S99" s="318"/>
      <c r="T99" s="306"/>
      <c r="U99" s="84" t="str">
        <f t="shared" si="35"/>
        <v/>
      </c>
      <c r="V99" s="84" t="str">
        <f t="shared" si="50"/>
        <v/>
      </c>
      <c r="W99" s="93" t="str">
        <f t="shared" si="36"/>
        <v/>
      </c>
      <c r="X99" s="100" t="str">
        <f t="shared" si="37"/>
        <v/>
      </c>
      <c r="Y99" s="95" t="str">
        <f t="shared" si="38"/>
        <v/>
      </c>
      <c r="Z99" s="95" t="str">
        <f t="shared" si="39"/>
        <v/>
      </c>
      <c r="AA99" s="98" t="str">
        <f>IFERROR(X99*Y99*Assumptions!$B$15/3956,"")</f>
        <v/>
      </c>
      <c r="AB99" s="100" t="str">
        <f t="shared" si="51"/>
        <v/>
      </c>
      <c r="AC99" s="95" t="str">
        <f t="shared" si="52"/>
        <v/>
      </c>
      <c r="AD99" s="95" t="str">
        <f t="shared" si="40"/>
        <v/>
      </c>
      <c r="AE99" s="100" t="str">
        <f t="shared" si="41"/>
        <v/>
      </c>
      <c r="AF99" s="95" t="str">
        <f t="shared" si="42"/>
        <v/>
      </c>
      <c r="AG99" s="98" t="str">
        <f t="shared" si="43"/>
        <v/>
      </c>
      <c r="AH99" s="100" t="str">
        <f t="shared" si="44"/>
        <v/>
      </c>
      <c r="AI99" s="95" t="str">
        <f t="shared" si="45"/>
        <v/>
      </c>
      <c r="AJ99" s="98" t="str">
        <f t="shared" si="46"/>
        <v/>
      </c>
      <c r="AK99" s="94" t="str">
        <f t="shared" si="47"/>
        <v/>
      </c>
      <c r="AL99" s="96" t="str">
        <f t="shared" si="48"/>
        <v/>
      </c>
      <c r="AM99" s="244" t="str">
        <f>IFERROR(
IF(C99="VTS",
IF(T99&gt;=AVERAGE(
INDEX(Assumptions!$I$38:$I$57,MATCH(T99,Assumptions!$I$38:$I$57,-1)),
INDEX(Assumptions!$I$38:$I$57,MATCH(T99,Assumptions!$I$38:$I$57,-1)+1)),
INDEX(Assumptions!$I$38:$I$57,MATCH(T99,Assumptions!$I$38:$I$57,-1)),
INDEX(Assumptions!$I$38:$I$57,MATCH(T99,Assumptions!$I$38:$I$57,-1)+1)),
IF(T99&gt;=AVERAGE(
INDEX(Assumptions!$I$13:$I$32,MATCH(T99,Assumptions!$I$13:$I$32,-1)),
INDEX(Assumptions!$I$13:$I$32,MATCH(T99,Assumptions!$I$13:$I$32,-1)+1)),
INDEX(Assumptions!$I$13:$I$32,MATCH(T99,Assumptions!$I$13:$I$32,-1)),
INDEX(Assumptions!$I$13:$I$32,MATCH(T99,Assumptions!$I$13:$I$32,-1)+1))),
"")</f>
        <v/>
      </c>
      <c r="AN99" s="95" t="str">
        <f>IFERROR(
IF(C99="VTS",
VLOOKUP(AM99,Assumptions!$I$38:$K$57,MATCH(U99,Assumptions!$I$37:$K$37,0),FALSE),
VLOOKUP(AM99,Assumptions!$I$13:$K$32,MATCH(U99,Assumptions!$I$12:$K$12,0),FALSE)),
"")</f>
        <v/>
      </c>
      <c r="AO99" s="95" t="str">
        <f t="shared" si="49"/>
        <v/>
      </c>
      <c r="AP99" s="95" t="str">
        <f>IFERROR(AO99*
(Assumptions!$S$7*(AA99/(AS99*Assumptions!$AB$9/100)/T99)^3+
Assumptions!$S$8*(AA99/(AS99*Assumptions!$AB$9/100)/T99)^2+
Assumptions!$S$9*(AA99/(AS99*Assumptions!$AB$9/100)/T99)+
Assumptions!$S$10),"")</f>
        <v/>
      </c>
      <c r="AQ99" s="95" t="str">
        <f>IFERROR(AO99*
(Assumptions!$S$7*(AK99/(AS99*Assumptions!$AB$8/100)/T99)^3+
Assumptions!$S$8*(AK99/(AS99*Assumptions!$AB$8/100)/T99)^2+
Assumptions!$S$9*(AK99/(AS99*Assumptions!$AB$8/100)/T99)+
Assumptions!$S$10),"")</f>
        <v/>
      </c>
      <c r="AR99" s="95" t="str">
        <f>IFERROR(AO99*
(Assumptions!$S$7*(AL99/(AS99*Assumptions!$AB$10/100)/T99)^3+
Assumptions!$S$8*(AL99/(AS99*Assumptions!$AB$10/100)/T99)^2+
Assumptions!$S$9*(AL99/(AS99*Assumptions!$AB$10/100)/T99)+
Assumptions!$S$10),"")</f>
        <v/>
      </c>
      <c r="AS99" s="95" t="str">
        <f>IFERROR(
Assumptions!$AD$8*LN(X99)^2+
Assumptions!$AE$8*LN(W99)*LN(X99)+
Assumptions!$AF$8*LN(W99)^2+
Assumptions!$AG$8*LN(X99)+
Assumptions!$AH$8*LN(W99)-
(IF(V99=1800,
VLOOKUP(C99,Assumptions!$AA$13:$AC$17,3),
IF(V99=3600,
VLOOKUP(C99,Assumptions!$AA$18:$AC$22,3),""))+Assumptions!$AI$8),
"")</f>
        <v/>
      </c>
      <c r="AT99" s="96" t="str">
        <f>IFERROR(
Assumptions!$D$11*(AA99/(Assumptions!$AB$9*AS99/100)+AP99)+
Assumptions!$D$10*(AK99/(Assumptions!$AB$8*AS99/100)+AQ99)+
Assumptions!$D$12*(AL99/(Assumptions!$AB$10*AS99/100)+AR99),
"")</f>
        <v/>
      </c>
      <c r="AU99" s="76" t="str">
        <f>IFERROR(
Z99*Assumptions!$F$11+
AD99*Assumptions!$F$10+
AG99*Assumptions!$F$9+
AJ99*Assumptions!$F$8,
"")</f>
        <v/>
      </c>
      <c r="AV99" s="77" t="str">
        <f t="shared" si="53"/>
        <v/>
      </c>
      <c r="AW99" s="68" t="str">
        <f t="shared" si="54"/>
        <v/>
      </c>
    </row>
    <row r="100" spans="1:49" x14ac:dyDescent="0.25">
      <c r="A100" s="264"/>
      <c r="B100" s="265"/>
      <c r="C100" s="265"/>
      <c r="D100" s="265"/>
      <c r="E100" s="266"/>
      <c r="F100" s="270"/>
      <c r="G100" s="271"/>
      <c r="H100" s="310"/>
      <c r="I100" s="270"/>
      <c r="J100" s="271"/>
      <c r="K100" s="272"/>
      <c r="L100" s="308"/>
      <c r="M100" s="271"/>
      <c r="N100" s="310"/>
      <c r="O100" s="270"/>
      <c r="P100" s="271"/>
      <c r="Q100" s="272"/>
      <c r="R100" s="272"/>
      <c r="S100" s="318"/>
      <c r="T100" s="306"/>
      <c r="U100" s="84" t="str">
        <f t="shared" si="35"/>
        <v/>
      </c>
      <c r="V100" s="84" t="str">
        <f t="shared" si="50"/>
        <v/>
      </c>
      <c r="W100" s="93" t="str">
        <f t="shared" si="36"/>
        <v/>
      </c>
      <c r="X100" s="100" t="str">
        <f t="shared" si="37"/>
        <v/>
      </c>
      <c r="Y100" s="95" t="str">
        <f t="shared" si="38"/>
        <v/>
      </c>
      <c r="Z100" s="95" t="str">
        <f t="shared" si="39"/>
        <v/>
      </c>
      <c r="AA100" s="98" t="str">
        <f>IFERROR(X100*Y100*Assumptions!$B$15/3956,"")</f>
        <v/>
      </c>
      <c r="AB100" s="100" t="str">
        <f t="shared" si="51"/>
        <v/>
      </c>
      <c r="AC100" s="95" t="str">
        <f t="shared" si="52"/>
        <v/>
      </c>
      <c r="AD100" s="95" t="str">
        <f t="shared" si="40"/>
        <v/>
      </c>
      <c r="AE100" s="100" t="str">
        <f t="shared" si="41"/>
        <v/>
      </c>
      <c r="AF100" s="95" t="str">
        <f t="shared" si="42"/>
        <v/>
      </c>
      <c r="AG100" s="98" t="str">
        <f t="shared" si="43"/>
        <v/>
      </c>
      <c r="AH100" s="100" t="str">
        <f t="shared" si="44"/>
        <v/>
      </c>
      <c r="AI100" s="95" t="str">
        <f t="shared" si="45"/>
        <v/>
      </c>
      <c r="AJ100" s="98" t="str">
        <f t="shared" si="46"/>
        <v/>
      </c>
      <c r="AK100" s="94" t="str">
        <f t="shared" si="47"/>
        <v/>
      </c>
      <c r="AL100" s="96" t="str">
        <f t="shared" si="48"/>
        <v/>
      </c>
      <c r="AM100" s="244" t="str">
        <f>IFERROR(
IF(C100="VTS",
IF(T100&gt;=AVERAGE(
INDEX(Assumptions!$I$38:$I$57,MATCH(T100,Assumptions!$I$38:$I$57,-1)),
INDEX(Assumptions!$I$38:$I$57,MATCH(T100,Assumptions!$I$38:$I$57,-1)+1)),
INDEX(Assumptions!$I$38:$I$57,MATCH(T100,Assumptions!$I$38:$I$57,-1)),
INDEX(Assumptions!$I$38:$I$57,MATCH(T100,Assumptions!$I$38:$I$57,-1)+1)),
IF(T100&gt;=AVERAGE(
INDEX(Assumptions!$I$13:$I$32,MATCH(T100,Assumptions!$I$13:$I$32,-1)),
INDEX(Assumptions!$I$13:$I$32,MATCH(T100,Assumptions!$I$13:$I$32,-1)+1)),
INDEX(Assumptions!$I$13:$I$32,MATCH(T100,Assumptions!$I$13:$I$32,-1)),
INDEX(Assumptions!$I$13:$I$32,MATCH(T100,Assumptions!$I$13:$I$32,-1)+1))),
"")</f>
        <v/>
      </c>
      <c r="AN100" s="95" t="str">
        <f>IFERROR(
IF(C100="VTS",
VLOOKUP(AM100,Assumptions!$I$38:$K$57,MATCH(U100,Assumptions!$I$37:$K$37,0),FALSE),
VLOOKUP(AM100,Assumptions!$I$13:$K$32,MATCH(U100,Assumptions!$I$12:$K$12,0),FALSE)),
"")</f>
        <v/>
      </c>
      <c r="AO100" s="95" t="str">
        <f t="shared" si="49"/>
        <v/>
      </c>
      <c r="AP100" s="95" t="str">
        <f>IFERROR(AO100*
(Assumptions!$S$7*(AA100/(AS100*Assumptions!$AB$9/100)/T100)^3+
Assumptions!$S$8*(AA100/(AS100*Assumptions!$AB$9/100)/T100)^2+
Assumptions!$S$9*(AA100/(AS100*Assumptions!$AB$9/100)/T100)+
Assumptions!$S$10),"")</f>
        <v/>
      </c>
      <c r="AQ100" s="95" t="str">
        <f>IFERROR(AO100*
(Assumptions!$S$7*(AK100/(AS100*Assumptions!$AB$8/100)/T100)^3+
Assumptions!$S$8*(AK100/(AS100*Assumptions!$AB$8/100)/T100)^2+
Assumptions!$S$9*(AK100/(AS100*Assumptions!$AB$8/100)/T100)+
Assumptions!$S$10),"")</f>
        <v/>
      </c>
      <c r="AR100" s="95" t="str">
        <f>IFERROR(AO100*
(Assumptions!$S$7*(AL100/(AS100*Assumptions!$AB$10/100)/T100)^3+
Assumptions!$S$8*(AL100/(AS100*Assumptions!$AB$10/100)/T100)^2+
Assumptions!$S$9*(AL100/(AS100*Assumptions!$AB$10/100)/T100)+
Assumptions!$S$10),"")</f>
        <v/>
      </c>
      <c r="AS100" s="95" t="str">
        <f>IFERROR(
Assumptions!$AD$8*LN(X100)^2+
Assumptions!$AE$8*LN(W100)*LN(X100)+
Assumptions!$AF$8*LN(W100)^2+
Assumptions!$AG$8*LN(X100)+
Assumptions!$AH$8*LN(W100)-
(IF(V100=1800,
VLOOKUP(C100,Assumptions!$AA$13:$AC$17,3),
IF(V100=3600,
VLOOKUP(C100,Assumptions!$AA$18:$AC$22,3),""))+Assumptions!$AI$8),
"")</f>
        <v/>
      </c>
      <c r="AT100" s="96" t="str">
        <f>IFERROR(
Assumptions!$D$11*(AA100/(Assumptions!$AB$9*AS100/100)+AP100)+
Assumptions!$D$10*(AK100/(Assumptions!$AB$8*AS100/100)+AQ100)+
Assumptions!$D$12*(AL100/(Assumptions!$AB$10*AS100/100)+AR100),
"")</f>
        <v/>
      </c>
      <c r="AU100" s="76" t="str">
        <f>IFERROR(
Z100*Assumptions!$F$11+
AD100*Assumptions!$F$10+
AG100*Assumptions!$F$9+
AJ100*Assumptions!$F$8,
"")</f>
        <v/>
      </c>
      <c r="AV100" s="77" t="str">
        <f t="shared" si="53"/>
        <v/>
      </c>
      <c r="AW100" s="68" t="str">
        <f t="shared" si="54"/>
        <v/>
      </c>
    </row>
    <row r="101" spans="1:49" x14ac:dyDescent="0.25">
      <c r="A101" s="264"/>
      <c r="B101" s="265"/>
      <c r="C101" s="265"/>
      <c r="D101" s="265"/>
      <c r="E101" s="266"/>
      <c r="F101" s="270"/>
      <c r="G101" s="271"/>
      <c r="H101" s="310"/>
      <c r="I101" s="270"/>
      <c r="J101" s="271"/>
      <c r="K101" s="272"/>
      <c r="L101" s="308"/>
      <c r="M101" s="271"/>
      <c r="N101" s="310"/>
      <c r="O101" s="270"/>
      <c r="P101" s="271"/>
      <c r="Q101" s="272"/>
      <c r="R101" s="272"/>
      <c r="S101" s="318"/>
      <c r="T101" s="306"/>
      <c r="U101" s="84" t="str">
        <f t="shared" si="35"/>
        <v/>
      </c>
      <c r="V101" s="84" t="str">
        <f t="shared" si="50"/>
        <v/>
      </c>
      <c r="W101" s="93" t="str">
        <f t="shared" si="36"/>
        <v/>
      </c>
      <c r="X101" s="100" t="str">
        <f t="shared" si="37"/>
        <v/>
      </c>
      <c r="Y101" s="95" t="str">
        <f t="shared" si="38"/>
        <v/>
      </c>
      <c r="Z101" s="95" t="str">
        <f t="shared" si="39"/>
        <v/>
      </c>
      <c r="AA101" s="98" t="str">
        <f>IFERROR(X101*Y101*Assumptions!$B$15/3956,"")</f>
        <v/>
      </c>
      <c r="AB101" s="100" t="str">
        <f t="shared" si="51"/>
        <v/>
      </c>
      <c r="AC101" s="95" t="str">
        <f t="shared" si="52"/>
        <v/>
      </c>
      <c r="AD101" s="95" t="str">
        <f t="shared" si="40"/>
        <v/>
      </c>
      <c r="AE101" s="100" t="str">
        <f t="shared" si="41"/>
        <v/>
      </c>
      <c r="AF101" s="95" t="str">
        <f t="shared" si="42"/>
        <v/>
      </c>
      <c r="AG101" s="98" t="str">
        <f t="shared" si="43"/>
        <v/>
      </c>
      <c r="AH101" s="100" t="str">
        <f t="shared" si="44"/>
        <v/>
      </c>
      <c r="AI101" s="95" t="str">
        <f t="shared" si="45"/>
        <v/>
      </c>
      <c r="AJ101" s="98" t="str">
        <f t="shared" si="46"/>
        <v/>
      </c>
      <c r="AK101" s="94" t="str">
        <f t="shared" si="47"/>
        <v/>
      </c>
      <c r="AL101" s="96" t="str">
        <f t="shared" si="48"/>
        <v/>
      </c>
      <c r="AM101" s="244" t="str">
        <f>IFERROR(
IF(C101="VTS",
IF(T101&gt;=AVERAGE(
INDEX(Assumptions!$I$38:$I$57,MATCH(T101,Assumptions!$I$38:$I$57,-1)),
INDEX(Assumptions!$I$38:$I$57,MATCH(T101,Assumptions!$I$38:$I$57,-1)+1)),
INDEX(Assumptions!$I$38:$I$57,MATCH(T101,Assumptions!$I$38:$I$57,-1)),
INDEX(Assumptions!$I$38:$I$57,MATCH(T101,Assumptions!$I$38:$I$57,-1)+1)),
IF(T101&gt;=AVERAGE(
INDEX(Assumptions!$I$13:$I$32,MATCH(T101,Assumptions!$I$13:$I$32,-1)),
INDEX(Assumptions!$I$13:$I$32,MATCH(T101,Assumptions!$I$13:$I$32,-1)+1)),
INDEX(Assumptions!$I$13:$I$32,MATCH(T101,Assumptions!$I$13:$I$32,-1)),
INDEX(Assumptions!$I$13:$I$32,MATCH(T101,Assumptions!$I$13:$I$32,-1)+1))),
"")</f>
        <v/>
      </c>
      <c r="AN101" s="95" t="str">
        <f>IFERROR(
IF(C101="VTS",
VLOOKUP(AM101,Assumptions!$I$38:$K$57,MATCH(U101,Assumptions!$I$37:$K$37,0),FALSE),
VLOOKUP(AM101,Assumptions!$I$13:$K$32,MATCH(U101,Assumptions!$I$12:$K$12,0),FALSE)),
"")</f>
        <v/>
      </c>
      <c r="AO101" s="95" t="str">
        <f t="shared" si="49"/>
        <v/>
      </c>
      <c r="AP101" s="95" t="str">
        <f>IFERROR(AO101*
(Assumptions!$S$7*(AA101/(AS101*Assumptions!$AB$9/100)/T101)^3+
Assumptions!$S$8*(AA101/(AS101*Assumptions!$AB$9/100)/T101)^2+
Assumptions!$S$9*(AA101/(AS101*Assumptions!$AB$9/100)/T101)+
Assumptions!$S$10),"")</f>
        <v/>
      </c>
      <c r="AQ101" s="95" t="str">
        <f>IFERROR(AO101*
(Assumptions!$S$7*(AK101/(AS101*Assumptions!$AB$8/100)/T101)^3+
Assumptions!$S$8*(AK101/(AS101*Assumptions!$AB$8/100)/T101)^2+
Assumptions!$S$9*(AK101/(AS101*Assumptions!$AB$8/100)/T101)+
Assumptions!$S$10),"")</f>
        <v/>
      </c>
      <c r="AR101" s="95" t="str">
        <f>IFERROR(AO101*
(Assumptions!$S$7*(AL101/(AS101*Assumptions!$AB$10/100)/T101)^3+
Assumptions!$S$8*(AL101/(AS101*Assumptions!$AB$10/100)/T101)^2+
Assumptions!$S$9*(AL101/(AS101*Assumptions!$AB$10/100)/T101)+
Assumptions!$S$10),"")</f>
        <v/>
      </c>
      <c r="AS101" s="95" t="str">
        <f>IFERROR(
Assumptions!$AD$8*LN(X101)^2+
Assumptions!$AE$8*LN(W101)*LN(X101)+
Assumptions!$AF$8*LN(W101)^2+
Assumptions!$AG$8*LN(X101)+
Assumptions!$AH$8*LN(W101)-
(IF(V101=1800,
VLOOKUP(C101,Assumptions!$AA$13:$AC$17,3),
IF(V101=3600,
VLOOKUP(C101,Assumptions!$AA$18:$AC$22,3),""))+Assumptions!$AI$8),
"")</f>
        <v/>
      </c>
      <c r="AT101" s="96" t="str">
        <f>IFERROR(
Assumptions!$D$11*(AA101/(Assumptions!$AB$9*AS101/100)+AP101)+
Assumptions!$D$10*(AK101/(Assumptions!$AB$8*AS101/100)+AQ101)+
Assumptions!$D$12*(AL101/(Assumptions!$AB$10*AS101/100)+AR101),
"")</f>
        <v/>
      </c>
      <c r="AU101" s="76" t="str">
        <f>IFERROR(
Z101*Assumptions!$F$11+
AD101*Assumptions!$F$10+
AG101*Assumptions!$F$9+
AJ101*Assumptions!$F$8,
"")</f>
        <v/>
      </c>
      <c r="AV101" s="77" t="str">
        <f t="shared" si="53"/>
        <v/>
      </c>
      <c r="AW101" s="68" t="str">
        <f t="shared" si="54"/>
        <v/>
      </c>
    </row>
    <row r="102" spans="1:49" x14ac:dyDescent="0.25">
      <c r="A102" s="264"/>
      <c r="B102" s="265"/>
      <c r="C102" s="265"/>
      <c r="D102" s="265"/>
      <c r="E102" s="266"/>
      <c r="F102" s="270"/>
      <c r="G102" s="271"/>
      <c r="H102" s="310"/>
      <c r="I102" s="270"/>
      <c r="J102" s="271"/>
      <c r="K102" s="272"/>
      <c r="L102" s="308"/>
      <c r="M102" s="271"/>
      <c r="N102" s="310"/>
      <c r="O102" s="270"/>
      <c r="P102" s="271"/>
      <c r="Q102" s="272"/>
      <c r="R102" s="272"/>
      <c r="S102" s="318"/>
      <c r="T102" s="306"/>
      <c r="U102" s="84" t="str">
        <f t="shared" si="35"/>
        <v/>
      </c>
      <c r="V102" s="84" t="str">
        <f t="shared" si="50"/>
        <v/>
      </c>
      <c r="W102" s="93" t="str">
        <f t="shared" si="36"/>
        <v/>
      </c>
      <c r="X102" s="100" t="str">
        <f t="shared" si="37"/>
        <v/>
      </c>
      <c r="Y102" s="95" t="str">
        <f t="shared" si="38"/>
        <v/>
      </c>
      <c r="Z102" s="95" t="str">
        <f t="shared" si="39"/>
        <v/>
      </c>
      <c r="AA102" s="98" t="str">
        <f>IFERROR(X102*Y102*Assumptions!$B$15/3956,"")</f>
        <v/>
      </c>
      <c r="AB102" s="100" t="str">
        <f t="shared" si="51"/>
        <v/>
      </c>
      <c r="AC102" s="95" t="str">
        <f t="shared" si="52"/>
        <v/>
      </c>
      <c r="AD102" s="95" t="str">
        <f t="shared" si="40"/>
        <v/>
      </c>
      <c r="AE102" s="100" t="str">
        <f t="shared" si="41"/>
        <v/>
      </c>
      <c r="AF102" s="95" t="str">
        <f t="shared" si="42"/>
        <v/>
      </c>
      <c r="AG102" s="98" t="str">
        <f t="shared" si="43"/>
        <v/>
      </c>
      <c r="AH102" s="100" t="str">
        <f t="shared" si="44"/>
        <v/>
      </c>
      <c r="AI102" s="95" t="str">
        <f t="shared" si="45"/>
        <v/>
      </c>
      <c r="AJ102" s="98" t="str">
        <f t="shared" si="46"/>
        <v/>
      </c>
      <c r="AK102" s="94" t="str">
        <f t="shared" si="47"/>
        <v/>
      </c>
      <c r="AL102" s="96" t="str">
        <f t="shared" si="48"/>
        <v/>
      </c>
      <c r="AM102" s="244" t="str">
        <f>IFERROR(
IF(C102="VTS",
IF(T102&gt;=AVERAGE(
INDEX(Assumptions!$I$38:$I$57,MATCH(T102,Assumptions!$I$38:$I$57,-1)),
INDEX(Assumptions!$I$38:$I$57,MATCH(T102,Assumptions!$I$38:$I$57,-1)+1)),
INDEX(Assumptions!$I$38:$I$57,MATCH(T102,Assumptions!$I$38:$I$57,-1)),
INDEX(Assumptions!$I$38:$I$57,MATCH(T102,Assumptions!$I$38:$I$57,-1)+1)),
IF(T102&gt;=AVERAGE(
INDEX(Assumptions!$I$13:$I$32,MATCH(T102,Assumptions!$I$13:$I$32,-1)),
INDEX(Assumptions!$I$13:$I$32,MATCH(T102,Assumptions!$I$13:$I$32,-1)+1)),
INDEX(Assumptions!$I$13:$I$32,MATCH(T102,Assumptions!$I$13:$I$32,-1)),
INDEX(Assumptions!$I$13:$I$32,MATCH(T102,Assumptions!$I$13:$I$32,-1)+1))),
"")</f>
        <v/>
      </c>
      <c r="AN102" s="95" t="str">
        <f>IFERROR(
IF(C102="VTS",
VLOOKUP(AM102,Assumptions!$I$38:$K$57,MATCH(U102,Assumptions!$I$37:$K$37,0),FALSE),
VLOOKUP(AM102,Assumptions!$I$13:$K$32,MATCH(U102,Assumptions!$I$12:$K$12,0),FALSE)),
"")</f>
        <v/>
      </c>
      <c r="AO102" s="95" t="str">
        <f t="shared" si="49"/>
        <v/>
      </c>
      <c r="AP102" s="95" t="str">
        <f>IFERROR(AO102*
(Assumptions!$S$7*(AA102/(AS102*Assumptions!$AB$9/100)/T102)^3+
Assumptions!$S$8*(AA102/(AS102*Assumptions!$AB$9/100)/T102)^2+
Assumptions!$S$9*(AA102/(AS102*Assumptions!$AB$9/100)/T102)+
Assumptions!$S$10),"")</f>
        <v/>
      </c>
      <c r="AQ102" s="95" t="str">
        <f>IFERROR(AO102*
(Assumptions!$S$7*(AK102/(AS102*Assumptions!$AB$8/100)/T102)^3+
Assumptions!$S$8*(AK102/(AS102*Assumptions!$AB$8/100)/T102)^2+
Assumptions!$S$9*(AK102/(AS102*Assumptions!$AB$8/100)/T102)+
Assumptions!$S$10),"")</f>
        <v/>
      </c>
      <c r="AR102" s="95" t="str">
        <f>IFERROR(AO102*
(Assumptions!$S$7*(AL102/(AS102*Assumptions!$AB$10/100)/T102)^3+
Assumptions!$S$8*(AL102/(AS102*Assumptions!$AB$10/100)/T102)^2+
Assumptions!$S$9*(AL102/(AS102*Assumptions!$AB$10/100)/T102)+
Assumptions!$S$10),"")</f>
        <v/>
      </c>
      <c r="AS102" s="95" t="str">
        <f>IFERROR(
Assumptions!$AD$8*LN(X102)^2+
Assumptions!$AE$8*LN(W102)*LN(X102)+
Assumptions!$AF$8*LN(W102)^2+
Assumptions!$AG$8*LN(X102)+
Assumptions!$AH$8*LN(W102)-
(IF(V102=1800,
VLOOKUP(C102,Assumptions!$AA$13:$AC$17,3),
IF(V102=3600,
VLOOKUP(C102,Assumptions!$AA$18:$AC$22,3),""))+Assumptions!$AI$8),
"")</f>
        <v/>
      </c>
      <c r="AT102" s="96" t="str">
        <f>IFERROR(
Assumptions!$D$11*(AA102/(Assumptions!$AB$9*AS102/100)+AP102)+
Assumptions!$D$10*(AK102/(Assumptions!$AB$8*AS102/100)+AQ102)+
Assumptions!$D$12*(AL102/(Assumptions!$AB$10*AS102/100)+AR102),
"")</f>
        <v/>
      </c>
      <c r="AU102" s="76" t="str">
        <f>IFERROR(
Z102*Assumptions!$F$11+
AD102*Assumptions!$F$10+
AG102*Assumptions!$F$9+
AJ102*Assumptions!$F$8,
"")</f>
        <v/>
      </c>
      <c r="AV102" s="77" t="str">
        <f t="shared" si="53"/>
        <v/>
      </c>
      <c r="AW102" s="68" t="str">
        <f t="shared" si="54"/>
        <v/>
      </c>
    </row>
    <row r="103" spans="1:49" x14ac:dyDescent="0.25">
      <c r="A103" s="264"/>
      <c r="B103" s="265"/>
      <c r="C103" s="265"/>
      <c r="D103" s="265"/>
      <c r="E103" s="266"/>
      <c r="F103" s="270"/>
      <c r="G103" s="271"/>
      <c r="H103" s="310"/>
      <c r="I103" s="270"/>
      <c r="J103" s="271"/>
      <c r="K103" s="272"/>
      <c r="L103" s="308"/>
      <c r="M103" s="271"/>
      <c r="N103" s="310"/>
      <c r="O103" s="270"/>
      <c r="P103" s="271"/>
      <c r="Q103" s="272"/>
      <c r="R103" s="272"/>
      <c r="S103" s="318"/>
      <c r="T103" s="306"/>
      <c r="U103" s="84" t="str">
        <f t="shared" si="35"/>
        <v/>
      </c>
      <c r="V103" s="84" t="str">
        <f t="shared" si="50"/>
        <v/>
      </c>
      <c r="W103" s="93" t="str">
        <f t="shared" si="36"/>
        <v/>
      </c>
      <c r="X103" s="100" t="str">
        <f t="shared" si="37"/>
        <v/>
      </c>
      <c r="Y103" s="95" t="str">
        <f t="shared" si="38"/>
        <v/>
      </c>
      <c r="Z103" s="95" t="str">
        <f t="shared" si="39"/>
        <v/>
      </c>
      <c r="AA103" s="98" t="str">
        <f>IFERROR(X103*Y103*Assumptions!$B$15/3956,"")</f>
        <v/>
      </c>
      <c r="AB103" s="100" t="str">
        <f t="shared" si="51"/>
        <v/>
      </c>
      <c r="AC103" s="95" t="str">
        <f t="shared" si="52"/>
        <v/>
      </c>
      <c r="AD103" s="95" t="str">
        <f t="shared" si="40"/>
        <v/>
      </c>
      <c r="AE103" s="100" t="str">
        <f t="shared" si="41"/>
        <v/>
      </c>
      <c r="AF103" s="95" t="str">
        <f t="shared" si="42"/>
        <v/>
      </c>
      <c r="AG103" s="98" t="str">
        <f t="shared" si="43"/>
        <v/>
      </c>
      <c r="AH103" s="100" t="str">
        <f t="shared" si="44"/>
        <v/>
      </c>
      <c r="AI103" s="95" t="str">
        <f t="shared" si="45"/>
        <v/>
      </c>
      <c r="AJ103" s="98" t="str">
        <f t="shared" si="46"/>
        <v/>
      </c>
      <c r="AK103" s="94" t="str">
        <f t="shared" si="47"/>
        <v/>
      </c>
      <c r="AL103" s="96" t="str">
        <f t="shared" si="48"/>
        <v/>
      </c>
      <c r="AM103" s="244" t="str">
        <f>IFERROR(
IF(C103="VTS",
IF(T103&gt;=AVERAGE(
INDEX(Assumptions!$I$38:$I$57,MATCH(T103,Assumptions!$I$38:$I$57,-1)),
INDEX(Assumptions!$I$38:$I$57,MATCH(T103,Assumptions!$I$38:$I$57,-1)+1)),
INDEX(Assumptions!$I$38:$I$57,MATCH(T103,Assumptions!$I$38:$I$57,-1)),
INDEX(Assumptions!$I$38:$I$57,MATCH(T103,Assumptions!$I$38:$I$57,-1)+1)),
IF(T103&gt;=AVERAGE(
INDEX(Assumptions!$I$13:$I$32,MATCH(T103,Assumptions!$I$13:$I$32,-1)),
INDEX(Assumptions!$I$13:$I$32,MATCH(T103,Assumptions!$I$13:$I$32,-1)+1)),
INDEX(Assumptions!$I$13:$I$32,MATCH(T103,Assumptions!$I$13:$I$32,-1)),
INDEX(Assumptions!$I$13:$I$32,MATCH(T103,Assumptions!$I$13:$I$32,-1)+1))),
"")</f>
        <v/>
      </c>
      <c r="AN103" s="95" t="str">
        <f>IFERROR(
IF(C103="VTS",
VLOOKUP(AM103,Assumptions!$I$38:$K$57,MATCH(U103,Assumptions!$I$37:$K$37,0),FALSE),
VLOOKUP(AM103,Assumptions!$I$13:$K$32,MATCH(U103,Assumptions!$I$12:$K$12,0),FALSE)),
"")</f>
        <v/>
      </c>
      <c r="AO103" s="95" t="str">
        <f t="shared" si="49"/>
        <v/>
      </c>
      <c r="AP103" s="95" t="str">
        <f>IFERROR(AO103*
(Assumptions!$S$7*(AA103/(AS103*Assumptions!$AB$9/100)/T103)^3+
Assumptions!$S$8*(AA103/(AS103*Assumptions!$AB$9/100)/T103)^2+
Assumptions!$S$9*(AA103/(AS103*Assumptions!$AB$9/100)/T103)+
Assumptions!$S$10),"")</f>
        <v/>
      </c>
      <c r="AQ103" s="95" t="str">
        <f>IFERROR(AO103*
(Assumptions!$S$7*(AK103/(AS103*Assumptions!$AB$8/100)/T103)^3+
Assumptions!$S$8*(AK103/(AS103*Assumptions!$AB$8/100)/T103)^2+
Assumptions!$S$9*(AK103/(AS103*Assumptions!$AB$8/100)/T103)+
Assumptions!$S$10),"")</f>
        <v/>
      </c>
      <c r="AR103" s="95" t="str">
        <f>IFERROR(AO103*
(Assumptions!$S$7*(AL103/(AS103*Assumptions!$AB$10/100)/T103)^3+
Assumptions!$S$8*(AL103/(AS103*Assumptions!$AB$10/100)/T103)^2+
Assumptions!$S$9*(AL103/(AS103*Assumptions!$AB$10/100)/T103)+
Assumptions!$S$10),"")</f>
        <v/>
      </c>
      <c r="AS103" s="95" t="str">
        <f>IFERROR(
Assumptions!$AD$8*LN(X103)^2+
Assumptions!$AE$8*LN(W103)*LN(X103)+
Assumptions!$AF$8*LN(W103)^2+
Assumptions!$AG$8*LN(X103)+
Assumptions!$AH$8*LN(W103)-
(IF(V103=1800,
VLOOKUP(C103,Assumptions!$AA$13:$AC$17,3),
IF(V103=3600,
VLOOKUP(C103,Assumptions!$AA$18:$AC$22,3),""))+Assumptions!$AI$8),
"")</f>
        <v/>
      </c>
      <c r="AT103" s="96" t="str">
        <f>IFERROR(
Assumptions!$D$11*(AA103/(Assumptions!$AB$9*AS103/100)+AP103)+
Assumptions!$D$10*(AK103/(Assumptions!$AB$8*AS103/100)+AQ103)+
Assumptions!$D$12*(AL103/(Assumptions!$AB$10*AS103/100)+AR103),
"")</f>
        <v/>
      </c>
      <c r="AU103" s="76" t="str">
        <f>IFERROR(
Z103*Assumptions!$F$11+
AD103*Assumptions!$F$10+
AG103*Assumptions!$F$9+
AJ103*Assumptions!$F$8,
"")</f>
        <v/>
      </c>
      <c r="AV103" s="77" t="str">
        <f t="shared" si="53"/>
        <v/>
      </c>
      <c r="AW103" s="68" t="str">
        <f t="shared" si="54"/>
        <v/>
      </c>
    </row>
    <row r="104" spans="1:49" x14ac:dyDescent="0.25">
      <c r="A104" s="264"/>
      <c r="B104" s="265"/>
      <c r="C104" s="265"/>
      <c r="D104" s="265"/>
      <c r="E104" s="266"/>
      <c r="F104" s="270"/>
      <c r="G104" s="271"/>
      <c r="H104" s="310"/>
      <c r="I104" s="270"/>
      <c r="J104" s="271"/>
      <c r="K104" s="272"/>
      <c r="L104" s="308"/>
      <c r="M104" s="271"/>
      <c r="N104" s="310"/>
      <c r="O104" s="270"/>
      <c r="P104" s="271"/>
      <c r="Q104" s="272"/>
      <c r="R104" s="272"/>
      <c r="S104" s="318"/>
      <c r="T104" s="306"/>
      <c r="U104" s="84" t="str">
        <f t="shared" si="35"/>
        <v/>
      </c>
      <c r="V104" s="84" t="str">
        <f t="shared" si="50"/>
        <v/>
      </c>
      <c r="W104" s="93" t="str">
        <f t="shared" si="36"/>
        <v/>
      </c>
      <c r="X104" s="100" t="str">
        <f t="shared" si="37"/>
        <v/>
      </c>
      <c r="Y104" s="95" t="str">
        <f t="shared" si="38"/>
        <v/>
      </c>
      <c r="Z104" s="95" t="str">
        <f t="shared" si="39"/>
        <v/>
      </c>
      <c r="AA104" s="98" t="str">
        <f>IFERROR(X104*Y104*Assumptions!$B$15/3956,"")</f>
        <v/>
      </c>
      <c r="AB104" s="100" t="str">
        <f t="shared" si="51"/>
        <v/>
      </c>
      <c r="AC104" s="95" t="str">
        <f t="shared" si="52"/>
        <v/>
      </c>
      <c r="AD104" s="95" t="str">
        <f t="shared" si="40"/>
        <v/>
      </c>
      <c r="AE104" s="100" t="str">
        <f t="shared" si="41"/>
        <v/>
      </c>
      <c r="AF104" s="95" t="str">
        <f t="shared" si="42"/>
        <v/>
      </c>
      <c r="AG104" s="98" t="str">
        <f t="shared" si="43"/>
        <v/>
      </c>
      <c r="AH104" s="100" t="str">
        <f t="shared" si="44"/>
        <v/>
      </c>
      <c r="AI104" s="95" t="str">
        <f t="shared" si="45"/>
        <v/>
      </c>
      <c r="AJ104" s="98" t="str">
        <f t="shared" si="46"/>
        <v/>
      </c>
      <c r="AK104" s="94" t="str">
        <f t="shared" si="47"/>
        <v/>
      </c>
      <c r="AL104" s="96" t="str">
        <f t="shared" si="48"/>
        <v/>
      </c>
      <c r="AM104" s="244" t="str">
        <f>IFERROR(
IF(C104="VTS",
IF(T104&gt;=AVERAGE(
INDEX(Assumptions!$I$38:$I$57,MATCH(T104,Assumptions!$I$38:$I$57,-1)),
INDEX(Assumptions!$I$38:$I$57,MATCH(T104,Assumptions!$I$38:$I$57,-1)+1)),
INDEX(Assumptions!$I$38:$I$57,MATCH(T104,Assumptions!$I$38:$I$57,-1)),
INDEX(Assumptions!$I$38:$I$57,MATCH(T104,Assumptions!$I$38:$I$57,-1)+1)),
IF(T104&gt;=AVERAGE(
INDEX(Assumptions!$I$13:$I$32,MATCH(T104,Assumptions!$I$13:$I$32,-1)),
INDEX(Assumptions!$I$13:$I$32,MATCH(T104,Assumptions!$I$13:$I$32,-1)+1)),
INDEX(Assumptions!$I$13:$I$32,MATCH(T104,Assumptions!$I$13:$I$32,-1)),
INDEX(Assumptions!$I$13:$I$32,MATCH(T104,Assumptions!$I$13:$I$32,-1)+1))),
"")</f>
        <v/>
      </c>
      <c r="AN104" s="95" t="str">
        <f>IFERROR(
IF(C104="VTS",
VLOOKUP(AM104,Assumptions!$I$38:$K$57,MATCH(U104,Assumptions!$I$37:$K$37,0),FALSE),
VLOOKUP(AM104,Assumptions!$I$13:$K$32,MATCH(U104,Assumptions!$I$12:$K$12,0),FALSE)),
"")</f>
        <v/>
      </c>
      <c r="AO104" s="95" t="str">
        <f t="shared" si="49"/>
        <v/>
      </c>
      <c r="AP104" s="95" t="str">
        <f>IFERROR(AO104*
(Assumptions!$S$7*(AA104/(AS104*Assumptions!$AB$9/100)/T104)^3+
Assumptions!$S$8*(AA104/(AS104*Assumptions!$AB$9/100)/T104)^2+
Assumptions!$S$9*(AA104/(AS104*Assumptions!$AB$9/100)/T104)+
Assumptions!$S$10),"")</f>
        <v/>
      </c>
      <c r="AQ104" s="95" t="str">
        <f>IFERROR(AO104*
(Assumptions!$S$7*(AK104/(AS104*Assumptions!$AB$8/100)/T104)^3+
Assumptions!$S$8*(AK104/(AS104*Assumptions!$AB$8/100)/T104)^2+
Assumptions!$S$9*(AK104/(AS104*Assumptions!$AB$8/100)/T104)+
Assumptions!$S$10),"")</f>
        <v/>
      </c>
      <c r="AR104" s="95" t="str">
        <f>IFERROR(AO104*
(Assumptions!$S$7*(AL104/(AS104*Assumptions!$AB$10/100)/T104)^3+
Assumptions!$S$8*(AL104/(AS104*Assumptions!$AB$10/100)/T104)^2+
Assumptions!$S$9*(AL104/(AS104*Assumptions!$AB$10/100)/T104)+
Assumptions!$S$10),"")</f>
        <v/>
      </c>
      <c r="AS104" s="95" t="str">
        <f>IFERROR(
Assumptions!$AD$8*LN(X104)^2+
Assumptions!$AE$8*LN(W104)*LN(X104)+
Assumptions!$AF$8*LN(W104)^2+
Assumptions!$AG$8*LN(X104)+
Assumptions!$AH$8*LN(W104)-
(IF(V104=1800,
VLOOKUP(C104,Assumptions!$AA$13:$AC$17,3),
IF(V104=3600,
VLOOKUP(C104,Assumptions!$AA$18:$AC$22,3),""))+Assumptions!$AI$8),
"")</f>
        <v/>
      </c>
      <c r="AT104" s="96" t="str">
        <f>IFERROR(
Assumptions!$D$11*(AA104/(Assumptions!$AB$9*AS104/100)+AP104)+
Assumptions!$D$10*(AK104/(Assumptions!$AB$8*AS104/100)+AQ104)+
Assumptions!$D$12*(AL104/(Assumptions!$AB$10*AS104/100)+AR104),
"")</f>
        <v/>
      </c>
      <c r="AU104" s="76" t="str">
        <f>IFERROR(
Z104*Assumptions!$F$11+
AD104*Assumptions!$F$10+
AG104*Assumptions!$F$9+
AJ104*Assumptions!$F$8,
"")</f>
        <v/>
      </c>
      <c r="AV104" s="77" t="str">
        <f t="shared" si="53"/>
        <v/>
      </c>
      <c r="AW104" s="68" t="str">
        <f t="shared" si="54"/>
        <v/>
      </c>
    </row>
    <row r="105" spans="1:49" x14ac:dyDescent="0.25">
      <c r="A105" s="264"/>
      <c r="B105" s="265"/>
      <c r="C105" s="265"/>
      <c r="D105" s="265"/>
      <c r="E105" s="266"/>
      <c r="F105" s="270"/>
      <c r="G105" s="271"/>
      <c r="H105" s="310"/>
      <c r="I105" s="270"/>
      <c r="J105" s="271"/>
      <c r="K105" s="272"/>
      <c r="L105" s="308"/>
      <c r="M105" s="271"/>
      <c r="N105" s="310"/>
      <c r="O105" s="270"/>
      <c r="P105" s="271"/>
      <c r="Q105" s="272"/>
      <c r="R105" s="272"/>
      <c r="S105" s="318"/>
      <c r="T105" s="306"/>
      <c r="U105" s="84" t="str">
        <f t="shared" si="35"/>
        <v/>
      </c>
      <c r="V105" s="84" t="str">
        <f t="shared" si="50"/>
        <v/>
      </c>
      <c r="W105" s="93" t="str">
        <f t="shared" si="36"/>
        <v/>
      </c>
      <c r="X105" s="100" t="str">
        <f t="shared" si="37"/>
        <v/>
      </c>
      <c r="Y105" s="95" t="str">
        <f t="shared" si="38"/>
        <v/>
      </c>
      <c r="Z105" s="95" t="str">
        <f t="shared" si="39"/>
        <v/>
      </c>
      <c r="AA105" s="98" t="str">
        <f>IFERROR(X105*Y105*Assumptions!$B$15/3956,"")</f>
        <v/>
      </c>
      <c r="AB105" s="100" t="str">
        <f t="shared" si="51"/>
        <v/>
      </c>
      <c r="AC105" s="95" t="str">
        <f t="shared" si="52"/>
        <v/>
      </c>
      <c r="AD105" s="95" t="str">
        <f t="shared" si="40"/>
        <v/>
      </c>
      <c r="AE105" s="100" t="str">
        <f t="shared" si="41"/>
        <v/>
      </c>
      <c r="AF105" s="95" t="str">
        <f t="shared" si="42"/>
        <v/>
      </c>
      <c r="AG105" s="98" t="str">
        <f t="shared" si="43"/>
        <v/>
      </c>
      <c r="AH105" s="100" t="str">
        <f t="shared" si="44"/>
        <v/>
      </c>
      <c r="AI105" s="95" t="str">
        <f t="shared" si="45"/>
        <v/>
      </c>
      <c r="AJ105" s="98" t="str">
        <f t="shared" si="46"/>
        <v/>
      </c>
      <c r="AK105" s="94" t="str">
        <f t="shared" si="47"/>
        <v/>
      </c>
      <c r="AL105" s="96" t="str">
        <f t="shared" si="48"/>
        <v/>
      </c>
      <c r="AM105" s="244" t="str">
        <f>IFERROR(
IF(C105="VTS",
IF(T105&gt;=AVERAGE(
INDEX(Assumptions!$I$38:$I$57,MATCH(T105,Assumptions!$I$38:$I$57,-1)),
INDEX(Assumptions!$I$38:$I$57,MATCH(T105,Assumptions!$I$38:$I$57,-1)+1)),
INDEX(Assumptions!$I$38:$I$57,MATCH(T105,Assumptions!$I$38:$I$57,-1)),
INDEX(Assumptions!$I$38:$I$57,MATCH(T105,Assumptions!$I$38:$I$57,-1)+1)),
IF(T105&gt;=AVERAGE(
INDEX(Assumptions!$I$13:$I$32,MATCH(T105,Assumptions!$I$13:$I$32,-1)),
INDEX(Assumptions!$I$13:$I$32,MATCH(T105,Assumptions!$I$13:$I$32,-1)+1)),
INDEX(Assumptions!$I$13:$I$32,MATCH(T105,Assumptions!$I$13:$I$32,-1)),
INDEX(Assumptions!$I$13:$I$32,MATCH(T105,Assumptions!$I$13:$I$32,-1)+1))),
"")</f>
        <v/>
      </c>
      <c r="AN105" s="95" t="str">
        <f>IFERROR(
IF(C105="VTS",
VLOOKUP(AM105,Assumptions!$I$38:$K$57,MATCH(U105,Assumptions!$I$37:$K$37,0),FALSE),
VLOOKUP(AM105,Assumptions!$I$13:$K$32,MATCH(U105,Assumptions!$I$12:$K$12,0),FALSE)),
"")</f>
        <v/>
      </c>
      <c r="AO105" s="95" t="str">
        <f t="shared" si="49"/>
        <v/>
      </c>
      <c r="AP105" s="95" t="str">
        <f>IFERROR(AO105*
(Assumptions!$S$7*(AA105/(AS105*Assumptions!$AB$9/100)/T105)^3+
Assumptions!$S$8*(AA105/(AS105*Assumptions!$AB$9/100)/T105)^2+
Assumptions!$S$9*(AA105/(AS105*Assumptions!$AB$9/100)/T105)+
Assumptions!$S$10),"")</f>
        <v/>
      </c>
      <c r="AQ105" s="95" t="str">
        <f>IFERROR(AO105*
(Assumptions!$S$7*(AK105/(AS105*Assumptions!$AB$8/100)/T105)^3+
Assumptions!$S$8*(AK105/(AS105*Assumptions!$AB$8/100)/T105)^2+
Assumptions!$S$9*(AK105/(AS105*Assumptions!$AB$8/100)/T105)+
Assumptions!$S$10),"")</f>
        <v/>
      </c>
      <c r="AR105" s="95" t="str">
        <f>IFERROR(AO105*
(Assumptions!$S$7*(AL105/(AS105*Assumptions!$AB$10/100)/T105)^3+
Assumptions!$S$8*(AL105/(AS105*Assumptions!$AB$10/100)/T105)^2+
Assumptions!$S$9*(AL105/(AS105*Assumptions!$AB$10/100)/T105)+
Assumptions!$S$10),"")</f>
        <v/>
      </c>
      <c r="AS105" s="95" t="str">
        <f>IFERROR(
Assumptions!$AD$8*LN(X105)^2+
Assumptions!$AE$8*LN(W105)*LN(X105)+
Assumptions!$AF$8*LN(W105)^2+
Assumptions!$AG$8*LN(X105)+
Assumptions!$AH$8*LN(W105)-
(IF(V105=1800,
VLOOKUP(C105,Assumptions!$AA$13:$AC$17,3),
IF(V105=3600,
VLOOKUP(C105,Assumptions!$AA$18:$AC$22,3),""))+Assumptions!$AI$8),
"")</f>
        <v/>
      </c>
      <c r="AT105" s="96" t="str">
        <f>IFERROR(
Assumptions!$D$11*(AA105/(Assumptions!$AB$9*AS105/100)+AP105)+
Assumptions!$D$10*(AK105/(Assumptions!$AB$8*AS105/100)+AQ105)+
Assumptions!$D$12*(AL105/(Assumptions!$AB$10*AS105/100)+AR105),
"")</f>
        <v/>
      </c>
      <c r="AU105" s="76" t="str">
        <f>IFERROR(
Z105*Assumptions!$F$11+
AD105*Assumptions!$F$10+
AG105*Assumptions!$F$9+
AJ105*Assumptions!$F$8,
"")</f>
        <v/>
      </c>
      <c r="AV105" s="77" t="str">
        <f t="shared" si="53"/>
        <v/>
      </c>
      <c r="AW105" s="68" t="str">
        <f t="shared" si="54"/>
        <v/>
      </c>
    </row>
    <row r="106" spans="1:49" x14ac:dyDescent="0.25">
      <c r="A106" s="264"/>
      <c r="B106" s="265"/>
      <c r="C106" s="265"/>
      <c r="D106" s="265"/>
      <c r="E106" s="266"/>
      <c r="F106" s="270"/>
      <c r="G106" s="271"/>
      <c r="H106" s="310"/>
      <c r="I106" s="270"/>
      <c r="J106" s="271"/>
      <c r="K106" s="272"/>
      <c r="L106" s="308"/>
      <c r="M106" s="271"/>
      <c r="N106" s="310"/>
      <c r="O106" s="270"/>
      <c r="P106" s="271"/>
      <c r="Q106" s="272"/>
      <c r="R106" s="272"/>
      <c r="S106" s="318"/>
      <c r="T106" s="306"/>
      <c r="U106" s="84" t="str">
        <f t="shared" si="35"/>
        <v/>
      </c>
      <c r="V106" s="84" t="str">
        <f t="shared" si="50"/>
        <v/>
      </c>
      <c r="W106" s="93" t="str">
        <f t="shared" ref="W106:W109" si="55">IFERROR(V106*X106^0.5/(Y106/D106)^0.75,"")</f>
        <v/>
      </c>
      <c r="X106" s="100" t="str">
        <f t="shared" si="37"/>
        <v/>
      </c>
      <c r="Y106" s="95" t="str">
        <f t="shared" si="38"/>
        <v/>
      </c>
      <c r="Z106" s="95" t="str">
        <f t="shared" si="39"/>
        <v/>
      </c>
      <c r="AA106" s="98" t="str">
        <f>IFERROR(X106*Y106*Assumptions!$B$15/3956,"")</f>
        <v/>
      </c>
      <c r="AB106" s="100" t="str">
        <f t="shared" si="51"/>
        <v/>
      </c>
      <c r="AC106" s="95" t="str">
        <f t="shared" si="52"/>
        <v/>
      </c>
      <c r="AD106" s="95" t="str">
        <f t="shared" ref="AD106:AD109" si="56">IFERROR(K106*(AC106/J106)*(AB106/I106),"")</f>
        <v/>
      </c>
      <c r="AE106" s="100" t="str">
        <f t="shared" si="41"/>
        <v/>
      </c>
      <c r="AF106" s="95" t="str">
        <f t="shared" ref="AF106:AF109" si="57">IFERROR((0.8*(AE106/X106)^2+0.2)*Y106,"")</f>
        <v/>
      </c>
      <c r="AG106" s="98" t="str">
        <f t="shared" ref="AG106:AG109" si="58">IFERROR(N106*(AF106/M106)*(AE106/L106),"")</f>
        <v/>
      </c>
      <c r="AH106" s="100" t="str">
        <f t="shared" si="44"/>
        <v/>
      </c>
      <c r="AI106" s="95" t="str">
        <f t="shared" ref="AI106:AI109" si="59">IFERROR((0.8*(AH106/X106)^2+0.2)*Y106,"")</f>
        <v/>
      </c>
      <c r="AJ106" s="98" t="str">
        <f t="shared" ref="AJ106:AJ109" si="60">IFERROR(Q106*(AI106/P106)*(AH106/O106),"")</f>
        <v/>
      </c>
      <c r="AK106" s="94" t="str">
        <f t="shared" si="47"/>
        <v/>
      </c>
      <c r="AL106" s="96" t="str">
        <f t="shared" si="48"/>
        <v/>
      </c>
      <c r="AM106" s="244" t="str">
        <f>IFERROR(
IF(C106="VTS",
IF(T106&gt;=AVERAGE(
INDEX(Assumptions!$I$38:$I$57,MATCH(T106,Assumptions!$I$38:$I$57,-1)),
INDEX(Assumptions!$I$38:$I$57,MATCH(T106,Assumptions!$I$38:$I$57,-1)+1)),
INDEX(Assumptions!$I$38:$I$57,MATCH(T106,Assumptions!$I$38:$I$57,-1)),
INDEX(Assumptions!$I$38:$I$57,MATCH(T106,Assumptions!$I$38:$I$57,-1)+1)),
IF(T106&gt;=AVERAGE(
INDEX(Assumptions!$I$13:$I$32,MATCH(T106,Assumptions!$I$13:$I$32,-1)),
INDEX(Assumptions!$I$13:$I$32,MATCH(T106,Assumptions!$I$13:$I$32,-1)+1)),
INDEX(Assumptions!$I$13:$I$32,MATCH(T106,Assumptions!$I$13:$I$32,-1)),
INDEX(Assumptions!$I$13:$I$32,MATCH(T106,Assumptions!$I$13:$I$32,-1)+1))),
"")</f>
        <v/>
      </c>
      <c r="AN106" s="95" t="str">
        <f>IFERROR(
IF(C106="VTS",
VLOOKUP(AM106,Assumptions!$I$38:$K$57,MATCH(U106,Assumptions!$I$37:$K$37,0),FALSE),
VLOOKUP(AM106,Assumptions!$I$13:$K$32,MATCH(U106,Assumptions!$I$12:$K$12,0),FALSE)),
"")</f>
        <v/>
      </c>
      <c r="AO106" s="95" t="str">
        <f t="shared" ref="AO106:AO109" si="61">IFERROR(T106/(AN106/100)-T106,"")</f>
        <v/>
      </c>
      <c r="AP106" s="95" t="str">
        <f>IFERROR(AO106*
(Assumptions!$S$7*(AA106/(AS106*Assumptions!$AB$9/100)/T106)^3+
Assumptions!$S$8*(AA106/(AS106*Assumptions!$AB$9/100)/T106)^2+
Assumptions!$S$9*(AA106/(AS106*Assumptions!$AB$9/100)/T106)+
Assumptions!$S$10),"")</f>
        <v/>
      </c>
      <c r="AQ106" s="95" t="str">
        <f>IFERROR(AO106*
(Assumptions!$S$7*(AK106/(AS106*Assumptions!$AB$8/100)/T106)^3+
Assumptions!$S$8*(AK106/(AS106*Assumptions!$AB$8/100)/T106)^2+
Assumptions!$S$9*(AK106/(AS106*Assumptions!$AB$8/100)/T106)+
Assumptions!$S$10),"")</f>
        <v/>
      </c>
      <c r="AR106" s="95" t="str">
        <f>IFERROR(AO106*
(Assumptions!$S$7*(AL106/(AS106*Assumptions!$AB$10/100)/T106)^3+
Assumptions!$S$8*(AL106/(AS106*Assumptions!$AB$10/100)/T106)^2+
Assumptions!$S$9*(AL106/(AS106*Assumptions!$AB$10/100)/T106)+
Assumptions!$S$10),"")</f>
        <v/>
      </c>
      <c r="AS106" s="95" t="str">
        <f>IFERROR(
Assumptions!$AD$8*LN(X106)^2+
Assumptions!$AE$8*LN(W106)*LN(X106)+
Assumptions!$AF$8*LN(W106)^2+
Assumptions!$AG$8*LN(X106)+
Assumptions!$AH$8*LN(W106)-
(IF(V106=1800,
VLOOKUP(C106,Assumptions!$AA$13:$AC$17,3),
IF(V106=3600,
VLOOKUP(C106,Assumptions!$AA$18:$AC$22,3),""))+Assumptions!$AI$8),
"")</f>
        <v/>
      </c>
      <c r="AT106" s="96" t="str">
        <f>IFERROR(
Assumptions!$D$11*(AA106/(Assumptions!$AB$9*AS106/100)+AP106)+
Assumptions!$D$10*(AK106/(Assumptions!$AB$8*AS106/100)+AQ106)+
Assumptions!$D$12*(AL106/(Assumptions!$AB$10*AS106/100)+AR106),
"")</f>
        <v/>
      </c>
      <c r="AU106" s="76" t="str">
        <f>IFERROR(
Z106*Assumptions!$F$11+
AD106*Assumptions!$F$10+
AG106*Assumptions!$F$9+
AJ106*Assumptions!$F$8,
"")</f>
        <v/>
      </c>
      <c r="AV106" s="77" t="str">
        <f t="shared" si="53"/>
        <v/>
      </c>
      <c r="AW106" s="68" t="str">
        <f t="shared" si="54"/>
        <v/>
      </c>
    </row>
    <row r="107" spans="1:49" x14ac:dyDescent="0.25">
      <c r="A107" s="264"/>
      <c r="B107" s="265"/>
      <c r="C107" s="265"/>
      <c r="D107" s="265"/>
      <c r="E107" s="266"/>
      <c r="F107" s="270"/>
      <c r="G107" s="271"/>
      <c r="H107" s="310"/>
      <c r="I107" s="270"/>
      <c r="J107" s="271"/>
      <c r="K107" s="272"/>
      <c r="L107" s="308"/>
      <c r="M107" s="271"/>
      <c r="N107" s="310"/>
      <c r="O107" s="270"/>
      <c r="P107" s="271"/>
      <c r="Q107" s="272"/>
      <c r="R107" s="272"/>
      <c r="S107" s="318"/>
      <c r="T107" s="306"/>
      <c r="U107" s="84" t="str">
        <f t="shared" si="35"/>
        <v/>
      </c>
      <c r="V107" s="84" t="str">
        <f t="shared" si="50"/>
        <v/>
      </c>
      <c r="W107" s="93" t="str">
        <f t="shared" si="55"/>
        <v/>
      </c>
      <c r="X107" s="100" t="str">
        <f t="shared" si="37"/>
        <v/>
      </c>
      <c r="Y107" s="95" t="str">
        <f t="shared" si="38"/>
        <v/>
      </c>
      <c r="Z107" s="95" t="str">
        <f t="shared" si="39"/>
        <v/>
      </c>
      <c r="AA107" s="98" t="str">
        <f>IFERROR(X107*Y107*Assumptions!$B$15/3956,"")</f>
        <v/>
      </c>
      <c r="AB107" s="100" t="str">
        <f t="shared" si="51"/>
        <v/>
      </c>
      <c r="AC107" s="95" t="str">
        <f t="shared" si="52"/>
        <v/>
      </c>
      <c r="AD107" s="95" t="str">
        <f t="shared" si="56"/>
        <v/>
      </c>
      <c r="AE107" s="100" t="str">
        <f t="shared" si="41"/>
        <v/>
      </c>
      <c r="AF107" s="95" t="str">
        <f t="shared" si="57"/>
        <v/>
      </c>
      <c r="AG107" s="98" t="str">
        <f t="shared" si="58"/>
        <v/>
      </c>
      <c r="AH107" s="100" t="str">
        <f t="shared" si="44"/>
        <v/>
      </c>
      <c r="AI107" s="95" t="str">
        <f t="shared" si="59"/>
        <v/>
      </c>
      <c r="AJ107" s="98" t="str">
        <f t="shared" si="60"/>
        <v/>
      </c>
      <c r="AK107" s="94" t="str">
        <f t="shared" si="47"/>
        <v/>
      </c>
      <c r="AL107" s="96" t="str">
        <f t="shared" si="48"/>
        <v/>
      </c>
      <c r="AM107" s="244" t="str">
        <f>IFERROR(
IF(C107="VTS",
IF(T107&gt;=AVERAGE(
INDEX(Assumptions!$I$38:$I$57,MATCH(T107,Assumptions!$I$38:$I$57,-1)),
INDEX(Assumptions!$I$38:$I$57,MATCH(T107,Assumptions!$I$38:$I$57,-1)+1)),
INDEX(Assumptions!$I$38:$I$57,MATCH(T107,Assumptions!$I$38:$I$57,-1)),
INDEX(Assumptions!$I$38:$I$57,MATCH(T107,Assumptions!$I$38:$I$57,-1)+1)),
IF(T107&gt;=AVERAGE(
INDEX(Assumptions!$I$13:$I$32,MATCH(T107,Assumptions!$I$13:$I$32,-1)),
INDEX(Assumptions!$I$13:$I$32,MATCH(T107,Assumptions!$I$13:$I$32,-1)+1)),
INDEX(Assumptions!$I$13:$I$32,MATCH(T107,Assumptions!$I$13:$I$32,-1)),
INDEX(Assumptions!$I$13:$I$32,MATCH(T107,Assumptions!$I$13:$I$32,-1)+1))),
"")</f>
        <v/>
      </c>
      <c r="AN107" s="95" t="str">
        <f>IFERROR(
IF(C107="VTS",
VLOOKUP(AM107,Assumptions!$I$38:$K$57,MATCH(U107,Assumptions!$I$37:$K$37,0),FALSE),
VLOOKUP(AM107,Assumptions!$I$13:$K$32,MATCH(U107,Assumptions!$I$12:$K$12,0),FALSE)),
"")</f>
        <v/>
      </c>
      <c r="AO107" s="95" t="str">
        <f t="shared" si="61"/>
        <v/>
      </c>
      <c r="AP107" s="95" t="str">
        <f>IFERROR(AO107*
(Assumptions!$S$7*(AA107/(AS107*Assumptions!$AB$9/100)/T107)^3+
Assumptions!$S$8*(AA107/(AS107*Assumptions!$AB$9/100)/T107)^2+
Assumptions!$S$9*(AA107/(AS107*Assumptions!$AB$9/100)/T107)+
Assumptions!$S$10),"")</f>
        <v/>
      </c>
      <c r="AQ107" s="95" t="str">
        <f>IFERROR(AO107*
(Assumptions!$S$7*(AK107/(AS107*Assumptions!$AB$8/100)/T107)^3+
Assumptions!$S$8*(AK107/(AS107*Assumptions!$AB$8/100)/T107)^2+
Assumptions!$S$9*(AK107/(AS107*Assumptions!$AB$8/100)/T107)+
Assumptions!$S$10),"")</f>
        <v/>
      </c>
      <c r="AR107" s="95" t="str">
        <f>IFERROR(AO107*
(Assumptions!$S$7*(AL107/(AS107*Assumptions!$AB$10/100)/T107)^3+
Assumptions!$S$8*(AL107/(AS107*Assumptions!$AB$10/100)/T107)^2+
Assumptions!$S$9*(AL107/(AS107*Assumptions!$AB$10/100)/T107)+
Assumptions!$S$10),"")</f>
        <v/>
      </c>
      <c r="AS107" s="95" t="str">
        <f>IFERROR(
Assumptions!$AD$8*LN(X107)^2+
Assumptions!$AE$8*LN(W107)*LN(X107)+
Assumptions!$AF$8*LN(W107)^2+
Assumptions!$AG$8*LN(X107)+
Assumptions!$AH$8*LN(W107)-
(IF(V107=1800,
VLOOKUP(C107,Assumptions!$AA$13:$AC$17,3),
IF(V107=3600,
VLOOKUP(C107,Assumptions!$AA$18:$AC$22,3),""))+Assumptions!$AI$8),
"")</f>
        <v/>
      </c>
      <c r="AT107" s="96" t="str">
        <f>IFERROR(
Assumptions!$D$11*(AA107/(Assumptions!$AB$9*AS107/100)+AP107)+
Assumptions!$D$10*(AK107/(Assumptions!$AB$8*AS107/100)+AQ107)+
Assumptions!$D$12*(AL107/(Assumptions!$AB$10*AS107/100)+AR107),
"")</f>
        <v/>
      </c>
      <c r="AU107" s="76" t="str">
        <f>IFERROR(
Z107*Assumptions!$F$11+
AD107*Assumptions!$F$10+
AG107*Assumptions!$F$9+
AJ107*Assumptions!$F$8,
"")</f>
        <v/>
      </c>
      <c r="AV107" s="77" t="str">
        <f t="shared" si="53"/>
        <v/>
      </c>
      <c r="AW107" s="68" t="str">
        <f t="shared" si="54"/>
        <v/>
      </c>
    </row>
    <row r="108" spans="1:49" x14ac:dyDescent="0.25">
      <c r="A108" s="264"/>
      <c r="B108" s="265"/>
      <c r="C108" s="265"/>
      <c r="D108" s="265"/>
      <c r="E108" s="266"/>
      <c r="F108" s="270"/>
      <c r="G108" s="271"/>
      <c r="H108" s="310"/>
      <c r="I108" s="270"/>
      <c r="J108" s="271"/>
      <c r="K108" s="272"/>
      <c r="L108" s="308"/>
      <c r="M108" s="271"/>
      <c r="N108" s="310"/>
      <c r="O108" s="270"/>
      <c r="P108" s="271"/>
      <c r="Q108" s="272"/>
      <c r="R108" s="272"/>
      <c r="S108" s="318"/>
      <c r="T108" s="306"/>
      <c r="U108" s="84" t="str">
        <f t="shared" si="35"/>
        <v/>
      </c>
      <c r="V108" s="84" t="str">
        <f t="shared" si="50"/>
        <v/>
      </c>
      <c r="W108" s="93" t="str">
        <f t="shared" si="55"/>
        <v/>
      </c>
      <c r="X108" s="100" t="str">
        <f t="shared" si="37"/>
        <v/>
      </c>
      <c r="Y108" s="95" t="str">
        <f t="shared" si="38"/>
        <v/>
      </c>
      <c r="Z108" s="95" t="str">
        <f t="shared" si="39"/>
        <v/>
      </c>
      <c r="AA108" s="98" t="str">
        <f>IFERROR(X108*Y108*Assumptions!$B$15/3956,"")</f>
        <v/>
      </c>
      <c r="AB108" s="100" t="str">
        <f t="shared" si="51"/>
        <v/>
      </c>
      <c r="AC108" s="95" t="str">
        <f t="shared" si="52"/>
        <v/>
      </c>
      <c r="AD108" s="95" t="str">
        <f t="shared" si="56"/>
        <v/>
      </c>
      <c r="AE108" s="100" t="str">
        <f t="shared" si="41"/>
        <v/>
      </c>
      <c r="AF108" s="95" t="str">
        <f t="shared" si="57"/>
        <v/>
      </c>
      <c r="AG108" s="98" t="str">
        <f t="shared" si="58"/>
        <v/>
      </c>
      <c r="AH108" s="100" t="str">
        <f t="shared" si="44"/>
        <v/>
      </c>
      <c r="AI108" s="95" t="str">
        <f t="shared" si="59"/>
        <v/>
      </c>
      <c r="AJ108" s="98" t="str">
        <f t="shared" si="60"/>
        <v/>
      </c>
      <c r="AK108" s="94" t="str">
        <f t="shared" si="47"/>
        <v/>
      </c>
      <c r="AL108" s="96" t="str">
        <f t="shared" si="48"/>
        <v/>
      </c>
      <c r="AM108" s="244" t="str">
        <f>IFERROR(
IF(C108="VTS",
IF(T108&gt;=AVERAGE(
INDEX(Assumptions!$I$38:$I$57,MATCH(T108,Assumptions!$I$38:$I$57,-1)),
INDEX(Assumptions!$I$38:$I$57,MATCH(T108,Assumptions!$I$38:$I$57,-1)+1)),
INDEX(Assumptions!$I$38:$I$57,MATCH(T108,Assumptions!$I$38:$I$57,-1)),
INDEX(Assumptions!$I$38:$I$57,MATCH(T108,Assumptions!$I$38:$I$57,-1)+1)),
IF(T108&gt;=AVERAGE(
INDEX(Assumptions!$I$13:$I$32,MATCH(T108,Assumptions!$I$13:$I$32,-1)),
INDEX(Assumptions!$I$13:$I$32,MATCH(T108,Assumptions!$I$13:$I$32,-1)+1)),
INDEX(Assumptions!$I$13:$I$32,MATCH(T108,Assumptions!$I$13:$I$32,-1)),
INDEX(Assumptions!$I$13:$I$32,MATCH(T108,Assumptions!$I$13:$I$32,-1)+1))),
"")</f>
        <v/>
      </c>
      <c r="AN108" s="95" t="str">
        <f>IFERROR(
IF(C108="VTS",
VLOOKUP(AM108,Assumptions!$I$38:$K$57,MATCH(U108,Assumptions!$I$37:$K$37,0),FALSE),
VLOOKUP(AM108,Assumptions!$I$13:$K$32,MATCH(U108,Assumptions!$I$12:$K$12,0),FALSE)),
"")</f>
        <v/>
      </c>
      <c r="AO108" s="95" t="str">
        <f t="shared" si="61"/>
        <v/>
      </c>
      <c r="AP108" s="95" t="str">
        <f>IFERROR(AO108*
(Assumptions!$S$7*(AA108/(AS108*Assumptions!$AB$9/100)/T108)^3+
Assumptions!$S$8*(AA108/(AS108*Assumptions!$AB$9/100)/T108)^2+
Assumptions!$S$9*(AA108/(AS108*Assumptions!$AB$9/100)/T108)+
Assumptions!$S$10),"")</f>
        <v/>
      </c>
      <c r="AQ108" s="95" t="str">
        <f>IFERROR(AO108*
(Assumptions!$S$7*(AK108/(AS108*Assumptions!$AB$8/100)/T108)^3+
Assumptions!$S$8*(AK108/(AS108*Assumptions!$AB$8/100)/T108)^2+
Assumptions!$S$9*(AK108/(AS108*Assumptions!$AB$8/100)/T108)+
Assumptions!$S$10),"")</f>
        <v/>
      </c>
      <c r="AR108" s="95" t="str">
        <f>IFERROR(AO108*
(Assumptions!$S$7*(AL108/(AS108*Assumptions!$AB$10/100)/T108)^3+
Assumptions!$S$8*(AL108/(AS108*Assumptions!$AB$10/100)/T108)^2+
Assumptions!$S$9*(AL108/(AS108*Assumptions!$AB$10/100)/T108)+
Assumptions!$S$10),"")</f>
        <v/>
      </c>
      <c r="AS108" s="95" t="str">
        <f>IFERROR(
Assumptions!$AD$8*LN(X108)^2+
Assumptions!$AE$8*LN(W108)*LN(X108)+
Assumptions!$AF$8*LN(W108)^2+
Assumptions!$AG$8*LN(X108)+
Assumptions!$AH$8*LN(W108)-
(IF(V108=1800,
VLOOKUP(C108,Assumptions!$AA$13:$AC$17,3),
IF(V108=3600,
VLOOKUP(C108,Assumptions!$AA$18:$AC$22,3),""))+Assumptions!$AI$8),
"")</f>
        <v/>
      </c>
      <c r="AT108" s="96" t="str">
        <f>IFERROR(
Assumptions!$D$11*(AA108/(Assumptions!$AB$9*AS108/100)+AP108)+
Assumptions!$D$10*(AK108/(Assumptions!$AB$8*AS108/100)+AQ108)+
Assumptions!$D$12*(AL108/(Assumptions!$AB$10*AS108/100)+AR108),
"")</f>
        <v/>
      </c>
      <c r="AU108" s="76" t="str">
        <f>IFERROR(
Z108*Assumptions!$F$11+
AD108*Assumptions!$F$10+
AG108*Assumptions!$F$9+
AJ108*Assumptions!$F$8,
"")</f>
        <v/>
      </c>
      <c r="AV108" s="77" t="str">
        <f t="shared" ref="AV108:AV109" si="62">IFERROR(ROUND($AU108/$AT108,2),"")</f>
        <v/>
      </c>
      <c r="AW108" s="68" t="str">
        <f t="shared" si="54"/>
        <v/>
      </c>
    </row>
    <row r="109" spans="1:49" ht="15.75" thickBot="1" x14ac:dyDescent="0.3">
      <c r="A109" s="273"/>
      <c r="B109" s="274"/>
      <c r="C109" s="274"/>
      <c r="D109" s="274"/>
      <c r="E109" s="292"/>
      <c r="F109" s="293"/>
      <c r="G109" s="294"/>
      <c r="H109" s="312"/>
      <c r="I109" s="293"/>
      <c r="J109" s="294"/>
      <c r="K109" s="295"/>
      <c r="L109" s="311"/>
      <c r="M109" s="294"/>
      <c r="N109" s="312"/>
      <c r="O109" s="293"/>
      <c r="P109" s="294"/>
      <c r="Q109" s="295"/>
      <c r="R109" s="295"/>
      <c r="S109" s="319"/>
      <c r="T109" s="313"/>
      <c r="U109" s="84" t="str">
        <f t="shared" si="35"/>
        <v/>
      </c>
      <c r="V109" s="84" t="str">
        <f t="shared" si="50"/>
        <v/>
      </c>
      <c r="W109" s="93" t="str">
        <f t="shared" si="55"/>
        <v/>
      </c>
      <c r="X109" s="100" t="str">
        <f t="shared" si="37"/>
        <v/>
      </c>
      <c r="Y109" s="95" t="str">
        <f t="shared" si="38"/>
        <v/>
      </c>
      <c r="Z109" s="95" t="str">
        <f t="shared" si="39"/>
        <v/>
      </c>
      <c r="AA109" s="98" t="str">
        <f>IFERROR(X109*Y109*Assumptions!$B$15/3956,"")</f>
        <v/>
      </c>
      <c r="AB109" s="100" t="str">
        <f t="shared" si="51"/>
        <v/>
      </c>
      <c r="AC109" s="95" t="str">
        <f t="shared" si="52"/>
        <v/>
      </c>
      <c r="AD109" s="95" t="str">
        <f t="shared" si="56"/>
        <v/>
      </c>
      <c r="AE109" s="100" t="str">
        <f t="shared" si="41"/>
        <v/>
      </c>
      <c r="AF109" s="95" t="str">
        <f t="shared" si="57"/>
        <v/>
      </c>
      <c r="AG109" s="98" t="str">
        <f t="shared" si="58"/>
        <v/>
      </c>
      <c r="AH109" s="100" t="str">
        <f t="shared" si="44"/>
        <v/>
      </c>
      <c r="AI109" s="95" t="str">
        <f t="shared" si="59"/>
        <v/>
      </c>
      <c r="AJ109" s="98" t="str">
        <f t="shared" si="60"/>
        <v/>
      </c>
      <c r="AK109" s="108" t="str">
        <f t="shared" si="47"/>
        <v/>
      </c>
      <c r="AL109" s="62" t="str">
        <f t="shared" si="48"/>
        <v/>
      </c>
      <c r="AM109" s="244" t="str">
        <f>IFERROR(
IF(C109="VTS",
IF(T109&gt;=AVERAGE(
INDEX(Assumptions!$I$38:$I$57,MATCH(T109,Assumptions!$I$38:$I$57,-1)),
INDEX(Assumptions!$I$38:$I$57,MATCH(T109,Assumptions!$I$38:$I$57,-1)+1)),
INDEX(Assumptions!$I$38:$I$57,MATCH(T109,Assumptions!$I$38:$I$57,-1)),
INDEX(Assumptions!$I$38:$I$57,MATCH(T109,Assumptions!$I$38:$I$57,-1)+1)),
IF(T109&gt;=AVERAGE(
INDEX(Assumptions!$I$13:$I$32,MATCH(T109,Assumptions!$I$13:$I$32,-1)),
INDEX(Assumptions!$I$13:$I$32,MATCH(T109,Assumptions!$I$13:$I$32,-1)+1)),
INDEX(Assumptions!$I$13:$I$32,MATCH(T109,Assumptions!$I$13:$I$32,-1)),
INDEX(Assumptions!$I$13:$I$32,MATCH(T109,Assumptions!$I$13:$I$32,-1)+1))),
"")</f>
        <v/>
      </c>
      <c r="AN109" s="95" t="str">
        <f>IFERROR(
IF(C109="VTS",
VLOOKUP(AM109,Assumptions!$I$38:$K$57,MATCH(U109,Assumptions!$I$37:$K$37,0),FALSE),
VLOOKUP(AM109,Assumptions!$I$13:$K$32,MATCH(U109,Assumptions!$I$12:$K$12,0),FALSE)),
"")</f>
        <v/>
      </c>
      <c r="AO109" s="95" t="str">
        <f t="shared" si="61"/>
        <v/>
      </c>
      <c r="AP109" s="95" t="str">
        <f>IFERROR(AO109*
(Assumptions!$S$7*(AA109/(AS109*Assumptions!$AB$9/100)/T109)^3+
Assumptions!$S$8*(AA109/(AS109*Assumptions!$AB$9/100)/T109)^2+
Assumptions!$S$9*(AA109/(AS109*Assumptions!$AB$9/100)/T109)+
Assumptions!$S$10),"")</f>
        <v/>
      </c>
      <c r="AQ109" s="95" t="str">
        <f>IFERROR(AO109*
(Assumptions!$S$7*(AK109/(AS109*Assumptions!$AB$8/100)/T109)^3+
Assumptions!$S$8*(AK109/(AS109*Assumptions!$AB$8/100)/T109)^2+
Assumptions!$S$9*(AK109/(AS109*Assumptions!$AB$8/100)/T109)+
Assumptions!$S$10),"")</f>
        <v/>
      </c>
      <c r="AR109" s="95" t="str">
        <f>IFERROR(AO109*
(Assumptions!$S$7*(AL109/(AS109*Assumptions!$AB$10/100)/T109)^3+
Assumptions!$S$8*(AL109/(AS109*Assumptions!$AB$10/100)/T109)^2+
Assumptions!$S$9*(AL109/(AS109*Assumptions!$AB$10/100)/T109)+
Assumptions!$S$10),"")</f>
        <v/>
      </c>
      <c r="AS109" s="95" t="str">
        <f>IFERROR(
Assumptions!$AD$8*LN(X109)^2+
Assumptions!$AE$8*LN(W109)*LN(X109)+
Assumptions!$AF$8*LN(W109)^2+
Assumptions!$AG$8*LN(X109)+
Assumptions!$AH$8*LN(W109)-
(IF(V109=1800,
VLOOKUP(C109,Assumptions!$AA$13:$AC$17,3),
IF(V109=3600,
VLOOKUP(C109,Assumptions!$AA$18:$AC$22,3),""))+Assumptions!$AI$8),
"")</f>
        <v/>
      </c>
      <c r="AT109" s="96" t="str">
        <f>IFERROR(
Assumptions!$D$11*(AA109/(Assumptions!$AB$9*AS109/100)+AP109)+
Assumptions!$D$10*(AK109/(Assumptions!$AB$8*AS109/100)+AQ109)+
Assumptions!$D$12*(AL109/(Assumptions!$AB$10*AS109/100)+AR109),
"")</f>
        <v/>
      </c>
      <c r="AU109" s="76" t="str">
        <f>IFERROR(
Z109*Assumptions!$F$11+
AD109*Assumptions!$F$10+
AG109*Assumptions!$F$9+
AJ109*Assumptions!$F$8,
"")</f>
        <v/>
      </c>
      <c r="AV109" s="86" t="str">
        <f t="shared" si="62"/>
        <v/>
      </c>
      <c r="AW109" s="69" t="str">
        <f t="shared" si="54"/>
        <v/>
      </c>
    </row>
  </sheetData>
  <sheetProtection password="8ABE" sheet="1" objects="1" sort="0" autoFilter="0" pivotTables="0"/>
  <mergeCells count="17">
    <mergeCell ref="AH8:AJ8"/>
    <mergeCell ref="X8:AA8"/>
    <mergeCell ref="AM8:AT8"/>
    <mergeCell ref="AB8:AD8"/>
    <mergeCell ref="U7:AT7"/>
    <mergeCell ref="A8:E8"/>
    <mergeCell ref="F8:H8"/>
    <mergeCell ref="L8:N8"/>
    <mergeCell ref="U8:W8"/>
    <mergeCell ref="AE8:AG8"/>
    <mergeCell ref="O8:Q8"/>
    <mergeCell ref="I8:K8"/>
    <mergeCell ref="B3:N5"/>
    <mergeCell ref="O4:R4"/>
    <mergeCell ref="O5:R5"/>
    <mergeCell ref="O3:R3"/>
    <mergeCell ref="AU7:AW7"/>
  </mergeCells>
  <conditionalFormatting sqref="AW10:AW109">
    <cfRule type="containsText" dxfId="1" priority="1" operator="containsText" text="FAIL">
      <formula>NOT(ISERROR(SEARCH("FAIL",AW10)))</formula>
    </cfRule>
    <cfRule type="containsText" dxfId="0" priority="2" operator="containsText" text="PASS">
      <formula>NOT(ISERROR(SEARCH("PASS",AW10)))</formula>
    </cfRule>
  </conditionalFormatting>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Assumptions!$AA$13:$AA$17</xm:f>
          </x14:formula1>
          <xm:sqref>C10:C109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tint="-0.249977111117893"/>
  </sheetPr>
  <dimension ref="B1:AJ59"/>
  <sheetViews>
    <sheetView zoomScale="80" zoomScaleNormal="80" workbookViewId="0">
      <selection activeCell="N29" sqref="N29"/>
    </sheetView>
  </sheetViews>
  <sheetFormatPr defaultRowHeight="15" x14ac:dyDescent="0.25"/>
  <cols>
    <col min="1" max="6" width="9.140625" style="110"/>
    <col min="7" max="8" width="10.42578125" style="110" customWidth="1"/>
    <col min="9" max="16" width="13.42578125" style="110" customWidth="1"/>
    <col min="17" max="17" width="9.140625" style="110"/>
    <col min="18" max="19" width="12" style="110" customWidth="1"/>
    <col min="20" max="21" width="9.140625" style="110"/>
    <col min="22" max="22" width="22.85546875" style="110" customWidth="1"/>
    <col min="23" max="23" width="17.5703125" style="110" customWidth="1"/>
    <col min="24" max="25" width="9.140625" style="110"/>
    <col min="26" max="26" width="10.28515625" style="110" customWidth="1"/>
    <col min="27" max="27" width="19.5703125" style="110" customWidth="1"/>
    <col min="28" max="28" width="14.85546875" style="110" bestFit="1" customWidth="1"/>
    <col min="29" max="29" width="13.5703125" style="110" customWidth="1"/>
    <col min="30" max="30" width="10.42578125" style="110" customWidth="1"/>
    <col min="31" max="31" width="10.28515625" style="110" customWidth="1"/>
    <col min="32" max="16384" width="9.140625" style="110"/>
  </cols>
  <sheetData>
    <row r="1" spans="2:36" ht="27" customHeight="1" thickBot="1" x14ac:dyDescent="0.3">
      <c r="B1" s="613" t="s">
        <v>19</v>
      </c>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5"/>
    </row>
    <row r="3" spans="2:36" ht="15.75" thickBot="1" x14ac:dyDescent="0.3"/>
    <row r="4" spans="2:36" s="111" customFormat="1" ht="19.5" thickBot="1" x14ac:dyDescent="0.3">
      <c r="B4" s="620" t="s">
        <v>25</v>
      </c>
      <c r="C4" s="621"/>
      <c r="D4" s="621"/>
      <c r="E4" s="621"/>
      <c r="F4" s="622"/>
      <c r="I4" s="632" t="s">
        <v>76</v>
      </c>
      <c r="J4" s="633"/>
      <c r="K4" s="633"/>
      <c r="L4" s="633"/>
      <c r="M4" s="633"/>
      <c r="N4" s="633"/>
      <c r="O4" s="634"/>
      <c r="P4" s="112"/>
      <c r="Q4" s="113"/>
      <c r="R4" s="627" t="s">
        <v>26</v>
      </c>
      <c r="S4" s="628"/>
      <c r="T4" s="113"/>
      <c r="U4" s="113"/>
      <c r="V4" s="626" t="s">
        <v>22</v>
      </c>
      <c r="W4" s="626"/>
      <c r="X4" s="626"/>
      <c r="Y4" s="626"/>
      <c r="AA4" s="629" t="s">
        <v>66</v>
      </c>
      <c r="AB4" s="630"/>
      <c r="AC4" s="630"/>
      <c r="AD4" s="630"/>
      <c r="AE4" s="630"/>
      <c r="AF4" s="630"/>
      <c r="AG4" s="630"/>
      <c r="AH4" s="630"/>
      <c r="AI4" s="631"/>
    </row>
    <row r="5" spans="2:36" ht="16.5" thickBot="1" x14ac:dyDescent="0.3">
      <c r="B5" s="114"/>
      <c r="C5" s="114"/>
      <c r="D5" s="114"/>
      <c r="E5" s="114"/>
      <c r="F5" s="114"/>
      <c r="I5" s="635" t="s">
        <v>75</v>
      </c>
      <c r="J5" s="635"/>
      <c r="K5" s="635"/>
      <c r="L5" s="635"/>
      <c r="M5" s="635"/>
      <c r="N5" s="635"/>
      <c r="O5" s="635"/>
      <c r="P5" s="115"/>
      <c r="Q5" s="116"/>
      <c r="R5" s="117"/>
      <c r="S5" s="117"/>
      <c r="T5" s="116"/>
      <c r="U5" s="116"/>
      <c r="X5" s="117"/>
      <c r="Y5" s="117"/>
      <c r="AA5" s="109"/>
      <c r="AB5" s="117"/>
      <c r="AC5" s="117"/>
      <c r="AD5" s="117"/>
      <c r="AE5" s="117"/>
    </row>
    <row r="6" spans="2:36" ht="45.75" customHeight="1" thickBot="1" x14ac:dyDescent="0.3">
      <c r="B6" s="118"/>
      <c r="C6" s="618" t="s">
        <v>28</v>
      </c>
      <c r="D6" s="618"/>
      <c r="E6" s="618" t="s">
        <v>27</v>
      </c>
      <c r="F6" s="619"/>
      <c r="I6" s="611" t="s">
        <v>74</v>
      </c>
      <c r="J6" s="611"/>
      <c r="K6" s="611"/>
      <c r="L6" s="611"/>
      <c r="M6" s="611"/>
      <c r="N6" s="611"/>
      <c r="O6" s="611"/>
      <c r="P6" s="119"/>
      <c r="Q6" s="120"/>
      <c r="R6" s="616" t="s">
        <v>20</v>
      </c>
      <c r="S6" s="617"/>
      <c r="V6" s="588" t="s">
        <v>93</v>
      </c>
      <c r="W6" s="589"/>
      <c r="X6" s="589"/>
      <c r="Y6" s="590"/>
      <c r="AA6" s="121" t="s">
        <v>24</v>
      </c>
      <c r="AB6" s="122" t="s">
        <v>32</v>
      </c>
      <c r="AC6" s="117"/>
      <c r="AD6" s="623" t="s">
        <v>58</v>
      </c>
      <c r="AE6" s="624"/>
      <c r="AF6" s="624"/>
      <c r="AG6" s="624"/>
      <c r="AH6" s="624"/>
      <c r="AI6" s="625"/>
    </row>
    <row r="7" spans="2:36" ht="34.5" customHeight="1" x14ac:dyDescent="0.25">
      <c r="B7" s="123" t="s">
        <v>10</v>
      </c>
      <c r="C7" s="124" t="s">
        <v>9</v>
      </c>
      <c r="D7" s="124" t="s">
        <v>29</v>
      </c>
      <c r="E7" s="124" t="s">
        <v>9</v>
      </c>
      <c r="F7" s="125" t="s">
        <v>29</v>
      </c>
      <c r="I7" s="611"/>
      <c r="J7" s="611"/>
      <c r="K7" s="611"/>
      <c r="L7" s="611"/>
      <c r="M7" s="611"/>
      <c r="N7" s="611"/>
      <c r="O7" s="611"/>
      <c r="P7" s="119"/>
      <c r="R7" s="126" t="s">
        <v>13</v>
      </c>
      <c r="S7" s="127">
        <v>-0.45079999999999998</v>
      </c>
      <c r="V7" s="128" t="s">
        <v>94</v>
      </c>
      <c r="W7" s="129" t="s">
        <v>13</v>
      </c>
      <c r="X7" s="129" t="s">
        <v>14</v>
      </c>
      <c r="Y7" s="130" t="s">
        <v>15</v>
      </c>
      <c r="AA7" s="131">
        <v>25</v>
      </c>
      <c r="AB7" s="132">
        <v>0</v>
      </c>
      <c r="AC7" s="117"/>
      <c r="AD7" s="133" t="s">
        <v>13</v>
      </c>
      <c r="AE7" s="134" t="s">
        <v>14</v>
      </c>
      <c r="AF7" s="134" t="s">
        <v>15</v>
      </c>
      <c r="AG7" s="134" t="s">
        <v>16</v>
      </c>
      <c r="AH7" s="134" t="s">
        <v>59</v>
      </c>
      <c r="AI7" s="135" t="s">
        <v>60</v>
      </c>
    </row>
    <row r="8" spans="2:36" ht="29.25" customHeight="1" thickBot="1" x14ac:dyDescent="0.25">
      <c r="B8" s="136">
        <v>25</v>
      </c>
      <c r="C8" s="137">
        <v>0</v>
      </c>
      <c r="D8" s="137">
        <f>1/SUM($C$8:$C$12)*C8</f>
        <v>0</v>
      </c>
      <c r="E8" s="137">
        <v>1</v>
      </c>
      <c r="F8" s="138">
        <f>1/SUM($E$8:$E$12)*E8</f>
        <v>0.25</v>
      </c>
      <c r="I8" s="612" t="s">
        <v>73</v>
      </c>
      <c r="J8" s="612"/>
      <c r="K8" s="612"/>
      <c r="L8" s="612"/>
      <c r="M8" s="612"/>
      <c r="N8" s="612"/>
      <c r="O8" s="612"/>
      <c r="P8" s="139"/>
      <c r="R8" s="126" t="s">
        <v>14</v>
      </c>
      <c r="S8" s="127">
        <v>1.2399</v>
      </c>
      <c r="T8" s="140" t="s">
        <v>30</v>
      </c>
      <c r="V8" s="126" t="s">
        <v>88</v>
      </c>
      <c r="W8" s="129">
        <v>-0.46579999999999999</v>
      </c>
      <c r="X8" s="129">
        <v>1.4964999999999999</v>
      </c>
      <c r="Y8" s="130">
        <v>0.53029999999999999</v>
      </c>
      <c r="AA8" s="131">
        <v>75</v>
      </c>
      <c r="AB8" s="132">
        <v>0.94699999999999995</v>
      </c>
      <c r="AC8" s="117"/>
      <c r="AD8" s="141">
        <v>-0.85</v>
      </c>
      <c r="AE8" s="142">
        <v>-0.38</v>
      </c>
      <c r="AF8" s="142">
        <v>-11.48</v>
      </c>
      <c r="AG8" s="142">
        <v>17.8</v>
      </c>
      <c r="AH8" s="142">
        <v>179.8</v>
      </c>
      <c r="AI8" s="143">
        <v>555.6</v>
      </c>
    </row>
    <row r="9" spans="2:36" ht="16.5" customHeight="1" thickBot="1" x14ac:dyDescent="0.3">
      <c r="B9" s="136">
        <v>50</v>
      </c>
      <c r="C9" s="137">
        <v>0</v>
      </c>
      <c r="D9" s="137">
        <f>1/SUM($C$8:$C$12)*C9</f>
        <v>0</v>
      </c>
      <c r="E9" s="137">
        <v>1</v>
      </c>
      <c r="F9" s="138">
        <f>1/SUM($E$8:$E$12)*E9</f>
        <v>0.25</v>
      </c>
      <c r="I9" s="144"/>
      <c r="J9" s="145"/>
      <c r="K9" s="145"/>
      <c r="L9" s="593" t="s">
        <v>69</v>
      </c>
      <c r="M9" s="594"/>
      <c r="N9" s="594"/>
      <c r="O9" s="595"/>
      <c r="P9" s="146"/>
      <c r="R9" s="126" t="s">
        <v>15</v>
      </c>
      <c r="S9" s="127">
        <v>-0.43009999999999998</v>
      </c>
      <c r="T9" s="140" t="s">
        <v>31</v>
      </c>
      <c r="V9" s="126" t="s">
        <v>89</v>
      </c>
      <c r="W9" s="129">
        <v>-1.3198000000000001</v>
      </c>
      <c r="X9" s="129">
        <v>2.9550999999999998</v>
      </c>
      <c r="Y9" s="130">
        <v>0.1052</v>
      </c>
      <c r="AA9" s="131">
        <v>100</v>
      </c>
      <c r="AB9" s="132">
        <v>1</v>
      </c>
      <c r="AC9" s="117"/>
    </row>
    <row r="10" spans="2:36" ht="16.5" thickBot="1" x14ac:dyDescent="0.3">
      <c r="B10" s="136">
        <v>75</v>
      </c>
      <c r="C10" s="137">
        <v>1</v>
      </c>
      <c r="D10" s="147">
        <f>1/SUM($C$8:$C$12)*C10</f>
        <v>0.33333333333333331</v>
      </c>
      <c r="E10" s="137">
        <v>1</v>
      </c>
      <c r="F10" s="138">
        <f>1/SUM($E$8:$E$12)*E10</f>
        <v>0.25</v>
      </c>
      <c r="I10" s="145"/>
      <c r="J10" s="593" t="s">
        <v>67</v>
      </c>
      <c r="K10" s="595"/>
      <c r="L10" s="609" t="s">
        <v>68</v>
      </c>
      <c r="M10" s="608"/>
      <c r="N10" s="607" t="s">
        <v>70</v>
      </c>
      <c r="O10" s="608"/>
      <c r="P10" s="146"/>
      <c r="R10" s="148" t="s">
        <v>16</v>
      </c>
      <c r="S10" s="149">
        <v>0.64100000000000001</v>
      </c>
      <c r="V10" s="126" t="s">
        <v>90</v>
      </c>
      <c r="W10" s="129">
        <v>-1.5122</v>
      </c>
      <c r="X10" s="129">
        <v>3.0777000000000001</v>
      </c>
      <c r="Y10" s="130">
        <v>0.1847</v>
      </c>
      <c r="AA10" s="141">
        <v>110</v>
      </c>
      <c r="AB10" s="143">
        <v>0.98499999999999999</v>
      </c>
      <c r="AC10" s="117"/>
      <c r="AD10"/>
    </row>
    <row r="11" spans="2:36" ht="16.5" thickBot="1" x14ac:dyDescent="0.3">
      <c r="B11" s="136">
        <v>100</v>
      </c>
      <c r="C11" s="137">
        <v>1</v>
      </c>
      <c r="D11" s="147">
        <f>1/SUM($C$8:$C$12)*C11</f>
        <v>0.33333333333333331</v>
      </c>
      <c r="E11" s="137">
        <v>1</v>
      </c>
      <c r="F11" s="138">
        <f>1/SUM($E$8:$E$12)*E11</f>
        <v>0.25</v>
      </c>
      <c r="I11" s="586" t="s">
        <v>18</v>
      </c>
      <c r="J11" s="605" t="s">
        <v>71</v>
      </c>
      <c r="K11" s="606"/>
      <c r="L11" s="591" t="s">
        <v>71</v>
      </c>
      <c r="M11" s="592"/>
      <c r="N11" s="610" t="s">
        <v>71</v>
      </c>
      <c r="O11" s="592"/>
      <c r="P11" s="150"/>
      <c r="R11" s="151"/>
      <c r="S11" s="151"/>
      <c r="V11" s="148" t="s">
        <v>91</v>
      </c>
      <c r="W11" s="152">
        <v>-0.89139999999999997</v>
      </c>
      <c r="X11" s="152">
        <v>2.8845999999999998</v>
      </c>
      <c r="Y11" s="153">
        <v>0.26250000000000001</v>
      </c>
      <c r="AB11" s="117"/>
      <c r="AC11" s="117"/>
      <c r="AD11" s="117"/>
      <c r="AE11" s="109"/>
      <c r="AF11" s="109"/>
      <c r="AG11" s="109"/>
      <c r="AH11" s="109"/>
      <c r="AI11" s="109"/>
      <c r="AJ11" s="109"/>
    </row>
    <row r="12" spans="2:36" ht="16.5" thickBot="1" x14ac:dyDescent="0.3">
      <c r="B12" s="154">
        <v>110</v>
      </c>
      <c r="C12" s="155">
        <v>1</v>
      </c>
      <c r="D12" s="156">
        <f>1/SUM($C$8:$C$12)*C12</f>
        <v>0.33333333333333331</v>
      </c>
      <c r="E12" s="155">
        <v>0</v>
      </c>
      <c r="F12" s="157">
        <f>1/SUM($E$8:$E$12)*E12</f>
        <v>0</v>
      </c>
      <c r="I12" s="587"/>
      <c r="J12" s="158">
        <v>4</v>
      </c>
      <c r="K12" s="159">
        <v>2</v>
      </c>
      <c r="L12" s="160">
        <v>4</v>
      </c>
      <c r="M12" s="159">
        <v>2</v>
      </c>
      <c r="N12" s="161">
        <v>4</v>
      </c>
      <c r="O12" s="159">
        <v>2</v>
      </c>
      <c r="P12" s="146"/>
      <c r="R12" s="151" t="s">
        <v>51</v>
      </c>
      <c r="S12" s="151"/>
      <c r="T12" s="151"/>
      <c r="U12" s="151"/>
      <c r="Y12" s="117"/>
      <c r="AA12" s="162" t="s">
        <v>123</v>
      </c>
      <c r="AB12" s="163" t="s">
        <v>121</v>
      </c>
      <c r="AC12" s="164" t="s">
        <v>124</v>
      </c>
      <c r="AD12" s="165"/>
      <c r="AE12" s="165"/>
      <c r="AF12" s="165"/>
      <c r="AG12" s="165"/>
      <c r="AH12" s="165"/>
      <c r="AI12" s="109"/>
      <c r="AJ12" s="109"/>
    </row>
    <row r="13" spans="2:36" ht="15.75" x14ac:dyDescent="0.25">
      <c r="B13" s="166"/>
      <c r="C13" s="166"/>
      <c r="D13" s="166"/>
      <c r="E13" s="166"/>
      <c r="F13" s="166"/>
      <c r="I13" s="167">
        <v>250</v>
      </c>
      <c r="J13" s="168">
        <f t="shared" ref="J13:J32" si="0">MIN(L13,N13)</f>
        <v>95.8</v>
      </c>
      <c r="K13" s="169">
        <f t="shared" ref="K13:K32" si="1">MIN(M13,O13)</f>
        <v>95</v>
      </c>
      <c r="L13" s="170">
        <v>96.2</v>
      </c>
      <c r="M13" s="171">
        <v>95.8</v>
      </c>
      <c r="N13" s="172">
        <v>95.8</v>
      </c>
      <c r="O13" s="171">
        <v>95</v>
      </c>
      <c r="P13" s="173"/>
      <c r="R13" s="109"/>
      <c r="S13" s="109"/>
      <c r="T13" s="150"/>
      <c r="U13" s="150"/>
      <c r="V13" s="165" t="s">
        <v>92</v>
      </c>
      <c r="Y13" s="117"/>
      <c r="AA13" s="174" t="s">
        <v>38</v>
      </c>
      <c r="AB13" s="175">
        <v>1800</v>
      </c>
      <c r="AC13" s="202">
        <v>128.47</v>
      </c>
    </row>
    <row r="14" spans="2:36" ht="16.5" thickBot="1" x14ac:dyDescent="0.3">
      <c r="I14" s="176">
        <v>200</v>
      </c>
      <c r="J14" s="177">
        <f t="shared" si="0"/>
        <v>95.8</v>
      </c>
      <c r="K14" s="178">
        <f t="shared" si="1"/>
        <v>95</v>
      </c>
      <c r="L14" s="179">
        <v>96.2</v>
      </c>
      <c r="M14" s="180">
        <v>95.4</v>
      </c>
      <c r="N14" s="181">
        <v>95.8</v>
      </c>
      <c r="O14" s="180">
        <v>95</v>
      </c>
      <c r="P14" s="173"/>
      <c r="R14" s="109"/>
      <c r="S14" s="109"/>
      <c r="T14" s="109"/>
      <c r="U14" s="109"/>
      <c r="Y14" s="109"/>
      <c r="AA14" s="182" t="s">
        <v>39</v>
      </c>
      <c r="AB14" s="183">
        <v>1800</v>
      </c>
      <c r="AC14" s="203">
        <v>128.85</v>
      </c>
    </row>
    <row r="15" spans="2:36" ht="16.5" thickBot="1" x14ac:dyDescent="0.3">
      <c r="B15" s="184">
        <v>1</v>
      </c>
      <c r="C15" s="240" t="s">
        <v>122</v>
      </c>
      <c r="I15" s="176">
        <v>150</v>
      </c>
      <c r="J15" s="177">
        <f t="shared" si="0"/>
        <v>95.8</v>
      </c>
      <c r="K15" s="178">
        <f t="shared" si="1"/>
        <v>94.1</v>
      </c>
      <c r="L15" s="179">
        <v>95.8</v>
      </c>
      <c r="M15" s="180">
        <v>95</v>
      </c>
      <c r="N15" s="181">
        <v>95.8</v>
      </c>
      <c r="O15" s="180">
        <v>94.1</v>
      </c>
      <c r="P15" s="173"/>
      <c r="R15" s="109"/>
      <c r="S15" s="109"/>
      <c r="T15" s="109"/>
      <c r="U15" s="109"/>
      <c r="Y15" s="109"/>
      <c r="AA15" s="182" t="s">
        <v>40</v>
      </c>
      <c r="AB15" s="183">
        <v>1800</v>
      </c>
      <c r="AC15" s="203">
        <v>129.30000000000001</v>
      </c>
    </row>
    <row r="16" spans="2:36" ht="15.75" x14ac:dyDescent="0.25">
      <c r="I16" s="176">
        <v>125</v>
      </c>
      <c r="J16" s="177">
        <f t="shared" si="0"/>
        <v>95.4</v>
      </c>
      <c r="K16" s="178">
        <f t="shared" si="1"/>
        <v>94.1</v>
      </c>
      <c r="L16" s="179">
        <v>95.4</v>
      </c>
      <c r="M16" s="180">
        <v>95</v>
      </c>
      <c r="N16" s="181">
        <v>95.4</v>
      </c>
      <c r="O16" s="180">
        <v>94.1</v>
      </c>
      <c r="P16" s="173"/>
      <c r="R16" s="109"/>
      <c r="S16" s="109"/>
      <c r="T16" s="109"/>
      <c r="U16" s="109"/>
      <c r="Y16" s="109"/>
      <c r="AA16" s="182" t="s">
        <v>41</v>
      </c>
      <c r="AB16" s="183">
        <v>1800</v>
      </c>
      <c r="AC16" s="203">
        <v>129.63</v>
      </c>
    </row>
    <row r="17" spans="3:29" ht="15.75" x14ac:dyDescent="0.25">
      <c r="I17" s="176">
        <v>100</v>
      </c>
      <c r="J17" s="177">
        <f t="shared" si="0"/>
        <v>95.4</v>
      </c>
      <c r="K17" s="178">
        <f t="shared" si="1"/>
        <v>93.6</v>
      </c>
      <c r="L17" s="179">
        <v>95.4</v>
      </c>
      <c r="M17" s="180">
        <v>94.1</v>
      </c>
      <c r="N17" s="181">
        <v>95.4</v>
      </c>
      <c r="O17" s="180">
        <v>93.6</v>
      </c>
      <c r="P17" s="173"/>
      <c r="T17" s="109"/>
      <c r="U17" s="109"/>
      <c r="Y17" s="109"/>
      <c r="AA17" s="182" t="s">
        <v>42</v>
      </c>
      <c r="AB17" s="183">
        <v>1800</v>
      </c>
      <c r="AC17" s="203">
        <v>134.13</v>
      </c>
    </row>
    <row r="18" spans="3:29" ht="15.75" x14ac:dyDescent="0.25">
      <c r="C18" s="109"/>
      <c r="D18" s="109"/>
      <c r="E18" s="109"/>
      <c r="I18" s="176">
        <v>75</v>
      </c>
      <c r="J18" s="177">
        <f t="shared" si="0"/>
        <v>95</v>
      </c>
      <c r="K18" s="178">
        <f t="shared" si="1"/>
        <v>93.6</v>
      </c>
      <c r="L18" s="179">
        <v>95.4</v>
      </c>
      <c r="M18" s="180">
        <v>93.6</v>
      </c>
      <c r="N18" s="181">
        <v>95</v>
      </c>
      <c r="O18" s="180">
        <v>93.6</v>
      </c>
      <c r="P18" s="173"/>
      <c r="AA18" s="182" t="s">
        <v>38</v>
      </c>
      <c r="AB18" s="183">
        <v>3600</v>
      </c>
      <c r="AC18" s="203">
        <v>130.41999999999999</v>
      </c>
    </row>
    <row r="19" spans="3:29" ht="15.75" x14ac:dyDescent="0.25">
      <c r="C19" s="109"/>
      <c r="D19" s="109"/>
      <c r="E19" s="109"/>
      <c r="I19" s="176">
        <v>60</v>
      </c>
      <c r="J19" s="177">
        <f t="shared" si="0"/>
        <v>95</v>
      </c>
      <c r="K19" s="178">
        <f t="shared" si="1"/>
        <v>93.6</v>
      </c>
      <c r="L19" s="179">
        <v>95</v>
      </c>
      <c r="M19" s="180">
        <v>93.6</v>
      </c>
      <c r="N19" s="181">
        <v>95</v>
      </c>
      <c r="O19" s="180">
        <v>93.6</v>
      </c>
      <c r="P19" s="173"/>
      <c r="V19" s="165" t="s">
        <v>87</v>
      </c>
      <c r="AA19" s="182" t="s">
        <v>39</v>
      </c>
      <c r="AB19" s="183">
        <v>3600</v>
      </c>
      <c r="AC19" s="203">
        <v>130.99</v>
      </c>
    </row>
    <row r="20" spans="3:29" ht="15.75" x14ac:dyDescent="0.25">
      <c r="C20" s="109"/>
      <c r="D20" s="109"/>
      <c r="E20" s="109"/>
      <c r="I20" s="176">
        <v>50</v>
      </c>
      <c r="J20" s="177">
        <f t="shared" si="0"/>
        <v>94.5</v>
      </c>
      <c r="K20" s="178">
        <f t="shared" si="1"/>
        <v>93</v>
      </c>
      <c r="L20" s="179">
        <v>94.5</v>
      </c>
      <c r="M20" s="180">
        <v>93</v>
      </c>
      <c r="N20" s="181">
        <v>94.5</v>
      </c>
      <c r="O20" s="180">
        <v>93</v>
      </c>
      <c r="P20" s="173"/>
      <c r="V20" s="109"/>
      <c r="AA20" s="182" t="s">
        <v>40</v>
      </c>
      <c r="AB20" s="183">
        <v>3600</v>
      </c>
      <c r="AC20" s="203">
        <v>133.84</v>
      </c>
    </row>
    <row r="21" spans="3:29" ht="15.75" x14ac:dyDescent="0.25">
      <c r="C21" s="109"/>
      <c r="D21" s="109"/>
      <c r="E21" s="109"/>
      <c r="I21" s="176">
        <v>40</v>
      </c>
      <c r="J21" s="177">
        <f t="shared" si="0"/>
        <v>94.1</v>
      </c>
      <c r="K21" s="178">
        <f t="shared" si="1"/>
        <v>92.4</v>
      </c>
      <c r="L21" s="179">
        <v>94.1</v>
      </c>
      <c r="M21" s="180">
        <v>92.4</v>
      </c>
      <c r="N21" s="181">
        <v>94.1</v>
      </c>
      <c r="O21" s="180">
        <v>92.4</v>
      </c>
      <c r="P21" s="173"/>
      <c r="V21" s="109"/>
      <c r="AA21" s="182" t="s">
        <v>41</v>
      </c>
      <c r="AB21" s="183">
        <v>3600</v>
      </c>
      <c r="AC21" s="203">
        <v>133.19999999999999</v>
      </c>
    </row>
    <row r="22" spans="3:29" ht="16.5" thickBot="1" x14ac:dyDescent="0.3">
      <c r="C22" s="109"/>
      <c r="I22" s="176">
        <v>30</v>
      </c>
      <c r="J22" s="177">
        <f t="shared" si="0"/>
        <v>93.6</v>
      </c>
      <c r="K22" s="178">
        <f t="shared" si="1"/>
        <v>91.7</v>
      </c>
      <c r="L22" s="179">
        <v>93.6</v>
      </c>
      <c r="M22" s="180">
        <v>91.7</v>
      </c>
      <c r="N22" s="181">
        <v>94.1</v>
      </c>
      <c r="O22" s="180">
        <v>91.7</v>
      </c>
      <c r="P22" s="173"/>
      <c r="V22" s="109"/>
      <c r="AA22" s="185" t="s">
        <v>42</v>
      </c>
      <c r="AB22" s="186">
        <v>3600</v>
      </c>
      <c r="AC22" s="204">
        <f>AC17</f>
        <v>134.13</v>
      </c>
    </row>
    <row r="23" spans="3:29" ht="15.75" x14ac:dyDescent="0.25">
      <c r="C23" s="109"/>
      <c r="I23" s="176">
        <v>25</v>
      </c>
      <c r="J23" s="177">
        <f t="shared" si="0"/>
        <v>93.6</v>
      </c>
      <c r="K23" s="178">
        <f t="shared" si="1"/>
        <v>91.7</v>
      </c>
      <c r="L23" s="179">
        <v>93.6</v>
      </c>
      <c r="M23" s="180">
        <v>91.7</v>
      </c>
      <c r="N23" s="181">
        <v>93.6</v>
      </c>
      <c r="O23" s="180">
        <v>91.7</v>
      </c>
      <c r="P23" s="173"/>
    </row>
    <row r="24" spans="3:29" ht="15.75" x14ac:dyDescent="0.25">
      <c r="C24" s="109"/>
      <c r="I24" s="176">
        <v>20</v>
      </c>
      <c r="J24" s="177">
        <f t="shared" si="0"/>
        <v>93</v>
      </c>
      <c r="K24" s="178">
        <f t="shared" si="1"/>
        <v>91</v>
      </c>
      <c r="L24" s="179">
        <v>93</v>
      </c>
      <c r="M24" s="180">
        <v>91</v>
      </c>
      <c r="N24" s="181">
        <v>93</v>
      </c>
      <c r="O24" s="180">
        <v>91</v>
      </c>
      <c r="P24" s="173"/>
    </row>
    <row r="25" spans="3:29" ht="15.75" x14ac:dyDescent="0.25">
      <c r="C25" s="109"/>
      <c r="I25" s="176">
        <v>15</v>
      </c>
      <c r="J25" s="177">
        <f t="shared" si="0"/>
        <v>92.4</v>
      </c>
      <c r="K25" s="178">
        <f t="shared" si="1"/>
        <v>90.2</v>
      </c>
      <c r="L25" s="179">
        <v>92.4</v>
      </c>
      <c r="M25" s="180">
        <v>91</v>
      </c>
      <c r="N25" s="181">
        <v>93</v>
      </c>
      <c r="O25" s="180">
        <v>90.2</v>
      </c>
      <c r="P25" s="173"/>
    </row>
    <row r="26" spans="3:29" ht="15.75" x14ac:dyDescent="0.25">
      <c r="C26" s="109"/>
      <c r="I26" s="176">
        <v>10</v>
      </c>
      <c r="J26" s="177">
        <f t="shared" si="0"/>
        <v>91.7</v>
      </c>
      <c r="K26" s="178">
        <f t="shared" si="1"/>
        <v>89.5</v>
      </c>
      <c r="L26" s="179">
        <v>91.7</v>
      </c>
      <c r="M26" s="180">
        <v>90.2</v>
      </c>
      <c r="N26" s="181">
        <v>91.7</v>
      </c>
      <c r="O26" s="180">
        <v>89.5</v>
      </c>
      <c r="P26" s="173"/>
      <c r="W26" s="187"/>
    </row>
    <row r="27" spans="3:29" ht="15.75" x14ac:dyDescent="0.25">
      <c r="C27" s="109"/>
      <c r="I27" s="176">
        <v>7.5</v>
      </c>
      <c r="J27" s="177">
        <f t="shared" si="0"/>
        <v>91</v>
      </c>
      <c r="K27" s="178">
        <f t="shared" si="1"/>
        <v>88.5</v>
      </c>
      <c r="L27" s="179">
        <v>91.7</v>
      </c>
      <c r="M27" s="180">
        <v>89.5</v>
      </c>
      <c r="N27" s="181">
        <v>91</v>
      </c>
      <c r="O27" s="180">
        <v>88.5</v>
      </c>
      <c r="P27" s="173"/>
    </row>
    <row r="28" spans="3:29" ht="15.75" x14ac:dyDescent="0.25">
      <c r="C28" s="109"/>
      <c r="I28" s="176">
        <v>5</v>
      </c>
      <c r="J28" s="177">
        <f t="shared" si="0"/>
        <v>89.5</v>
      </c>
      <c r="K28" s="178">
        <f t="shared" si="1"/>
        <v>86.5</v>
      </c>
      <c r="L28" s="179">
        <v>89.5</v>
      </c>
      <c r="M28" s="180">
        <v>88.5</v>
      </c>
      <c r="N28" s="181">
        <v>89.5</v>
      </c>
      <c r="O28" s="180">
        <v>86.5</v>
      </c>
      <c r="P28" s="173"/>
    </row>
    <row r="29" spans="3:29" ht="15.75" x14ac:dyDescent="0.25">
      <c r="C29" s="109"/>
      <c r="I29" s="176">
        <v>3</v>
      </c>
      <c r="J29" s="177">
        <f t="shared" si="0"/>
        <v>89.5</v>
      </c>
      <c r="K29" s="178">
        <f t="shared" si="1"/>
        <v>85.5</v>
      </c>
      <c r="L29" s="179">
        <v>89.5</v>
      </c>
      <c r="M29" s="180">
        <v>86.5</v>
      </c>
      <c r="N29" s="181">
        <v>89.5</v>
      </c>
      <c r="O29" s="180">
        <v>85.5</v>
      </c>
      <c r="P29" s="173"/>
    </row>
    <row r="30" spans="3:29" ht="15.75" x14ac:dyDescent="0.25">
      <c r="C30" s="109"/>
      <c r="I30" s="176">
        <v>2</v>
      </c>
      <c r="J30" s="177">
        <f t="shared" si="0"/>
        <v>86.5</v>
      </c>
      <c r="K30" s="178">
        <f t="shared" si="1"/>
        <v>85.5</v>
      </c>
      <c r="L30" s="179">
        <v>86.5</v>
      </c>
      <c r="M30" s="180">
        <v>85.5</v>
      </c>
      <c r="N30" s="181">
        <v>86.5</v>
      </c>
      <c r="O30" s="180">
        <v>85.5</v>
      </c>
      <c r="P30" s="173"/>
    </row>
    <row r="31" spans="3:29" ht="15.75" x14ac:dyDescent="0.25">
      <c r="C31" s="109"/>
      <c r="I31" s="176">
        <v>1.5</v>
      </c>
      <c r="J31" s="177">
        <f t="shared" si="0"/>
        <v>86.5</v>
      </c>
      <c r="K31" s="178">
        <f t="shared" si="1"/>
        <v>84</v>
      </c>
      <c r="L31" s="179">
        <v>86.5</v>
      </c>
      <c r="M31" s="180">
        <v>84</v>
      </c>
      <c r="N31" s="181">
        <v>86.5</v>
      </c>
      <c r="O31" s="180">
        <v>84</v>
      </c>
      <c r="P31" s="173"/>
    </row>
    <row r="32" spans="3:29" ht="16.5" thickBot="1" x14ac:dyDescent="0.3">
      <c r="C32" s="109"/>
      <c r="I32" s="188">
        <v>1</v>
      </c>
      <c r="J32" s="189">
        <f t="shared" si="0"/>
        <v>85.5</v>
      </c>
      <c r="K32" s="190">
        <f t="shared" si="1"/>
        <v>77</v>
      </c>
      <c r="L32" s="191">
        <v>85.5</v>
      </c>
      <c r="M32" s="192">
        <v>77</v>
      </c>
      <c r="N32" s="193">
        <v>85.5</v>
      </c>
      <c r="O32" s="192">
        <v>77</v>
      </c>
    </row>
    <row r="33" spans="3:18" ht="16.5" customHeight="1" thickBot="1" x14ac:dyDescent="0.3">
      <c r="C33" s="109"/>
      <c r="P33" s="145"/>
    </row>
    <row r="34" spans="3:18" ht="16.5" customHeight="1" x14ac:dyDescent="0.25">
      <c r="C34" s="109"/>
      <c r="I34" s="598" t="s">
        <v>72</v>
      </c>
      <c r="J34" s="599"/>
      <c r="K34" s="600"/>
    </row>
    <row r="35" spans="3:18" ht="15.75" thickBot="1" x14ac:dyDescent="0.3">
      <c r="C35" s="109"/>
      <c r="I35" s="601"/>
      <c r="J35" s="602"/>
      <c r="K35" s="586"/>
    </row>
    <row r="36" spans="3:18" ht="16.5" customHeight="1" thickBot="1" x14ac:dyDescent="0.3">
      <c r="C36" s="109"/>
      <c r="I36" s="603" t="s">
        <v>18</v>
      </c>
      <c r="J36" s="596" t="s">
        <v>71</v>
      </c>
      <c r="K36" s="597"/>
    </row>
    <row r="37" spans="3:18" ht="16.5" thickBot="1" x14ac:dyDescent="0.3">
      <c r="C37" s="109"/>
      <c r="I37" s="604"/>
      <c r="J37" s="194">
        <v>4</v>
      </c>
      <c r="K37" s="194">
        <v>2</v>
      </c>
    </row>
    <row r="38" spans="3:18" ht="15.75" x14ac:dyDescent="0.25">
      <c r="C38" s="109"/>
      <c r="I38" s="195">
        <v>250</v>
      </c>
      <c r="J38" s="196">
        <v>87.5</v>
      </c>
      <c r="K38" s="196">
        <v>86.5</v>
      </c>
    </row>
    <row r="39" spans="3:18" ht="15.75" x14ac:dyDescent="0.25">
      <c r="C39" s="109"/>
      <c r="I39" s="197">
        <v>200</v>
      </c>
      <c r="J39" s="198">
        <v>87.5</v>
      </c>
      <c r="K39" s="198">
        <v>85.5</v>
      </c>
    </row>
    <row r="40" spans="3:18" ht="15.75" x14ac:dyDescent="0.25">
      <c r="C40" s="109"/>
      <c r="I40" s="197">
        <v>150</v>
      </c>
      <c r="J40" s="198">
        <v>86.5</v>
      </c>
      <c r="K40" s="198">
        <v>84</v>
      </c>
    </row>
    <row r="41" spans="3:18" ht="15.75" x14ac:dyDescent="0.25">
      <c r="C41" s="109"/>
      <c r="I41" s="197">
        <v>125</v>
      </c>
      <c r="J41" s="198">
        <v>85.5</v>
      </c>
      <c r="K41" s="198">
        <v>84</v>
      </c>
    </row>
    <row r="42" spans="3:18" ht="15.75" x14ac:dyDescent="0.25">
      <c r="C42" s="109"/>
      <c r="I42" s="197">
        <v>100</v>
      </c>
      <c r="J42" s="198">
        <v>85.5</v>
      </c>
      <c r="K42" s="198">
        <v>81.5</v>
      </c>
    </row>
    <row r="43" spans="3:18" ht="15.75" x14ac:dyDescent="0.25">
      <c r="I43" s="197">
        <v>75</v>
      </c>
      <c r="J43" s="198">
        <v>87.5</v>
      </c>
      <c r="K43" s="198">
        <v>82.5</v>
      </c>
      <c r="R43" s="187"/>
    </row>
    <row r="44" spans="3:18" ht="15.75" x14ac:dyDescent="0.25">
      <c r="I44" s="197">
        <v>60</v>
      </c>
      <c r="J44" s="198">
        <v>86.5</v>
      </c>
      <c r="K44" s="198">
        <v>82.5</v>
      </c>
    </row>
    <row r="45" spans="3:18" ht="15.75" x14ac:dyDescent="0.25">
      <c r="I45" s="197">
        <v>50</v>
      </c>
      <c r="J45" s="198">
        <v>85.5</v>
      </c>
      <c r="K45" s="198">
        <v>81.5</v>
      </c>
    </row>
    <row r="46" spans="3:18" ht="15.75" x14ac:dyDescent="0.25">
      <c r="I46" s="197">
        <v>40</v>
      </c>
      <c r="J46" s="198">
        <v>84</v>
      </c>
      <c r="K46" s="198">
        <v>80</v>
      </c>
    </row>
    <row r="47" spans="3:18" ht="15.75" x14ac:dyDescent="0.25">
      <c r="I47" s="197">
        <v>30</v>
      </c>
      <c r="J47" s="198">
        <v>82.5</v>
      </c>
      <c r="K47" s="198">
        <v>78.5</v>
      </c>
    </row>
    <row r="48" spans="3:18" ht="15.75" x14ac:dyDescent="0.25">
      <c r="I48" s="197">
        <v>25</v>
      </c>
      <c r="J48" s="198">
        <v>78.5</v>
      </c>
      <c r="K48" s="198">
        <v>74</v>
      </c>
    </row>
    <row r="49" spans="9:11" ht="15.75" x14ac:dyDescent="0.25">
      <c r="I49" s="197">
        <v>20</v>
      </c>
      <c r="J49" s="198">
        <v>77</v>
      </c>
      <c r="K49" s="198">
        <v>72</v>
      </c>
    </row>
    <row r="50" spans="9:11" ht="15.75" x14ac:dyDescent="0.25">
      <c r="I50" s="197">
        <v>15</v>
      </c>
      <c r="J50" s="198">
        <v>75.5</v>
      </c>
      <c r="K50" s="198">
        <v>72</v>
      </c>
    </row>
    <row r="51" spans="9:11" ht="15.75" x14ac:dyDescent="0.25">
      <c r="I51" s="197">
        <v>10</v>
      </c>
      <c r="J51" s="198">
        <v>74</v>
      </c>
      <c r="K51" s="198">
        <v>70</v>
      </c>
    </row>
    <row r="52" spans="9:11" ht="15.75" x14ac:dyDescent="0.25">
      <c r="I52" s="197">
        <v>7.5</v>
      </c>
      <c r="J52" s="198">
        <v>74</v>
      </c>
      <c r="K52" s="198">
        <v>68</v>
      </c>
    </row>
    <row r="53" spans="9:11" ht="15.75" x14ac:dyDescent="0.25">
      <c r="I53" s="197">
        <v>5</v>
      </c>
      <c r="J53" s="198">
        <v>75.5</v>
      </c>
      <c r="K53" s="198">
        <v>74</v>
      </c>
    </row>
    <row r="54" spans="9:11" ht="15.75" x14ac:dyDescent="0.25">
      <c r="I54" s="197">
        <v>3</v>
      </c>
      <c r="J54" s="198">
        <v>75.5</v>
      </c>
      <c r="K54" s="198">
        <v>70</v>
      </c>
    </row>
    <row r="55" spans="9:11" ht="15.75" x14ac:dyDescent="0.25">
      <c r="I55" s="197">
        <v>2</v>
      </c>
      <c r="J55" s="198">
        <v>70</v>
      </c>
      <c r="K55" s="198">
        <v>68</v>
      </c>
    </row>
    <row r="56" spans="9:11" ht="15.75" x14ac:dyDescent="0.25">
      <c r="I56" s="197">
        <v>1.5</v>
      </c>
      <c r="J56" s="198">
        <v>70</v>
      </c>
      <c r="K56" s="198">
        <v>66</v>
      </c>
    </row>
    <row r="57" spans="9:11" ht="16.5" thickBot="1" x14ac:dyDescent="0.3">
      <c r="I57" s="199">
        <v>1</v>
      </c>
      <c r="J57" s="200">
        <v>68</v>
      </c>
      <c r="K57" s="200">
        <v>55</v>
      </c>
    </row>
    <row r="59" spans="9:11" x14ac:dyDescent="0.25">
      <c r="J59" s="201"/>
    </row>
  </sheetData>
  <sheetProtection password="8ABE" sheet="1" objects="1" scenarios="1"/>
  <sortState ref="B22:C41">
    <sortCondition ref="B22"/>
  </sortState>
  <mergeCells count="25">
    <mergeCell ref="B1:AE1"/>
    <mergeCell ref="R6:S6"/>
    <mergeCell ref="E6:F6"/>
    <mergeCell ref="C6:D6"/>
    <mergeCell ref="B4:F4"/>
    <mergeCell ref="AD6:AI6"/>
    <mergeCell ref="V4:Y4"/>
    <mergeCell ref="R4:S4"/>
    <mergeCell ref="AA4:AI4"/>
    <mergeCell ref="I4:O4"/>
    <mergeCell ref="I5:O5"/>
    <mergeCell ref="I11:I12"/>
    <mergeCell ref="V6:Y6"/>
    <mergeCell ref="L11:M11"/>
    <mergeCell ref="L9:O9"/>
    <mergeCell ref="J36:K36"/>
    <mergeCell ref="I34:K35"/>
    <mergeCell ref="I36:I37"/>
    <mergeCell ref="J10:K10"/>
    <mergeCell ref="J11:K11"/>
    <mergeCell ref="N10:O10"/>
    <mergeCell ref="L10:M10"/>
    <mergeCell ref="N11:O11"/>
    <mergeCell ref="I6:O7"/>
    <mergeCell ref="I8:O8"/>
  </mergeCell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PEICL_Calc_BarePump</vt:lpstr>
      <vt:lpstr>PEICL_Calc_Pump+Motor</vt:lpstr>
      <vt:lpstr>PEICL_Test_Pump+Motor</vt:lpstr>
      <vt:lpstr>PEIVL_Calc_Pump+Motor+Control</vt:lpstr>
      <vt:lpstr>PEIVL_Test_Pump+Motor+Control</vt:lpstr>
      <vt:lpstr>Assumptions</vt:lpstr>
    </vt:vector>
  </TitlesOfParts>
  <Company>PNNL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PEI Calculator as Proposed in DOE's Notices of Proposed Rulemaking (Dockets EERE-2011-BT-STD-0031 and EERE-2013-BT-TP-0055)</dc:title>
  <dc:creator>Sarah Widder</dc:creator>
  <cp:lastModifiedBy>Billie Bates</cp:lastModifiedBy>
  <dcterms:created xsi:type="dcterms:W3CDTF">2013-12-23T20:08:31Z</dcterms:created>
  <dcterms:modified xsi:type="dcterms:W3CDTF">2015-06-11T18:35:35Z</dcterms:modified>
</cp:coreProperties>
</file>