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showInkAnnotation="0" codeName="ThisWorkbook" defaultThemeVersion="124226"/>
  <mc:AlternateContent xmlns:mc="http://schemas.openxmlformats.org/markup-compatibility/2006">
    <mc:Choice Requires="x15">
      <x15ac:absPath xmlns:x15ac="http://schemas.microsoft.com/office/spreadsheetml/2010/11/ac" url="X:\Quality Management\DOE-BT-Appliance - Tools and Templates\CCE\Test Report Templates\CURRENT VERSIONS\"/>
    </mc:Choice>
  </mc:AlternateContent>
  <xr:revisionPtr revIDLastSave="0" documentId="8_{FBBFD86B-0BC8-4935-A4A1-22E0375E65F5}" xr6:coauthVersionLast="36" xr6:coauthVersionMax="36" xr10:uidLastSave="{00000000-0000-0000-0000-000000000000}"/>
  <workbookProtection workbookAlgorithmName="SHA-512" workbookHashValue="IkSLkojrKs8YHauxTCDoVWHPy31ME/Lt17+Dz1/K0oBP03V1O0KSnbqg/LN6hW7uRQiknkDZ98gGGZ7YJ/q9sA==" workbookSaltValue="wkku3mq8p8uEiwPEzjGbRQ==" workbookSpinCount="100000" lockStructure="1"/>
  <bookViews>
    <workbookView xWindow="0" yWindow="0" windowWidth="28800" windowHeight="10270" tabRatio="936" xr2:uid="{00000000-000D-0000-FFFF-FFFF00000000}"/>
  </bookViews>
  <sheets>
    <sheet name="Instructions" sheetId="2" r:id="rId1"/>
    <sheet name="General Info &amp; Test Results" sheetId="3" r:id="rId2"/>
    <sheet name="Setup &amp; Instrumentation" sheetId="4" r:id="rId3"/>
    <sheet name="Storage Tank Volume" sheetId="5" r:id="rId4"/>
    <sheet name="Test Conditions" sheetId="7" r:id="rId5"/>
    <sheet name="Outlet Temperature" sheetId="21" r:id="rId6"/>
    <sheet name="1st-Hr Rating Test" sheetId="8" r:id="rId7"/>
    <sheet name="Max GPM Test" sheetId="17" r:id="rId8"/>
    <sheet name="24-Hr Simulated Use Test" sheetId="9" r:id="rId9"/>
    <sheet name="Photos" sheetId="10" r:id="rId10"/>
    <sheet name="Comments" sheetId="11" r:id="rId11"/>
    <sheet name="Report Sign-Off Block" sheetId="13" r:id="rId12"/>
    <sheet name="Mean Tank Temp Plot" sheetId="19" r:id="rId13"/>
    <sheet name="Constants" sheetId="18" r:id="rId14"/>
    <sheet name="Drop-Downs" sheetId="15" r:id="rId15"/>
    <sheet name="Water Properties" sheetId="20" r:id="rId16"/>
    <sheet name="Version Control" sheetId="16" r:id="rId17"/>
  </sheets>
  <definedNames>
    <definedName name="_xlnm._FilterDatabase" localSheetId="14" hidden="1">'Drop-Downs'!$B$23:$B$24</definedName>
    <definedName name="DD_condensing">'Drop-Downs'!$B$49:$B$51</definedName>
    <definedName name="DD_ConditionReceived">'Drop-Downs'!$B$27:$B$28</definedName>
    <definedName name="DD_ConsumerVScommercial">'Drop-Downs'!$B$23:$B$24</definedName>
    <definedName name="DD_DrawNumber">'Drop-Downs'!$D$11:$D$40</definedName>
    <definedName name="DD_DrawPatterns">'Drop-Downs'!$B$98:$B$102</definedName>
    <definedName name="DD_GasType">'Drop-Downs'!$B$31:$B$33</definedName>
    <definedName name="DD_IgnitionOptions">'Drop-Downs'!$B$44:$B$46</definedName>
    <definedName name="DD_InputControl">'Drop-Downs'!$B$94:$B$95</definedName>
    <definedName name="DD_MassVolume">'Drop-Downs'!$B$90:$B$91</definedName>
    <definedName name="DD_Measurement">'Drop-Downs'!$B$65:$B$80</definedName>
    <definedName name="DD_measurementDescription">'Drop-Downs'!$B$83:$B$87</definedName>
    <definedName name="DD_NOxEmissions">'Drop-Downs'!$B$54:$B$57</definedName>
    <definedName name="DD_VentingOptions">'Drop-Downs'!$B$36:$B$41</definedName>
    <definedName name="DD_WHtype">'Drop-Downs'!$B$11:$B$20</definedName>
    <definedName name="DD_YesNo">'Drop-Downs'!$B$60:$B$62</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32" i="8" l="1"/>
  <c r="D55" i="8"/>
  <c r="E55" i="8"/>
  <c r="F55" i="8"/>
  <c r="G55" i="8"/>
  <c r="H55" i="8"/>
  <c r="I55" i="8"/>
  <c r="J55" i="8"/>
  <c r="K55" i="8"/>
  <c r="L55" i="8"/>
  <c r="M55" i="8"/>
  <c r="N55" i="8"/>
  <c r="O55" i="8"/>
  <c r="P55" i="8"/>
  <c r="Q55" i="8"/>
  <c r="C55" i="8"/>
  <c r="B15" i="8"/>
  <c r="C17" i="9"/>
  <c r="C14" i="9" l="1"/>
  <c r="D18" i="9" l="1"/>
  <c r="E19" i="9" l="1"/>
  <c r="F19" i="9"/>
  <c r="G19" i="9"/>
  <c r="H19" i="9"/>
  <c r="I19" i="9"/>
  <c r="J19" i="9"/>
  <c r="K19" i="9"/>
  <c r="L19" i="9"/>
  <c r="M19" i="9"/>
  <c r="N19" i="9"/>
  <c r="O19" i="9"/>
  <c r="P19" i="9"/>
  <c r="Q19" i="9"/>
  <c r="D19" i="9"/>
  <c r="D107" i="9" l="1" a="1"/>
  <c r="D107" i="9" s="1"/>
  <c r="D106" i="9" a="1"/>
  <c r="D106" i="9" s="1"/>
  <c r="E26" i="9"/>
  <c r="F26" i="9"/>
  <c r="G26" i="9"/>
  <c r="H26" i="9"/>
  <c r="I26" i="9"/>
  <c r="J26" i="9"/>
  <c r="K26" i="9"/>
  <c r="L26" i="9"/>
  <c r="M26" i="9"/>
  <c r="N26" i="9"/>
  <c r="O26" i="9"/>
  <c r="P26" i="9"/>
  <c r="Q26" i="9"/>
  <c r="D26" i="9"/>
  <c r="D21" i="9"/>
  <c r="F53" i="8"/>
  <c r="C53" i="8"/>
  <c r="C54" i="8"/>
  <c r="AF50" i="8"/>
  <c r="AG50" i="8" s="1"/>
  <c r="AD50" i="8"/>
  <c r="AE50" i="8" s="1"/>
  <c r="D105" i="9" l="1"/>
  <c r="E44" i="17"/>
  <c r="C22" i="17"/>
  <c r="C18" i="8"/>
  <c r="Q44" i="8" s="1"/>
  <c r="C44" i="8" l="1"/>
  <c r="J44" i="8"/>
  <c r="J53" i="8" s="1"/>
  <c r="N44" i="8"/>
  <c r="N53" i="8" s="1"/>
  <c r="D45" i="8"/>
  <c r="G44" i="8"/>
  <c r="G53" i="8" s="1"/>
  <c r="K44" i="8"/>
  <c r="K53" i="8" s="1"/>
  <c r="O44" i="8"/>
  <c r="O53" i="8" s="1"/>
  <c r="D44" i="8"/>
  <c r="D53" i="8" s="1"/>
  <c r="H44" i="8"/>
  <c r="H53" i="8" s="1"/>
  <c r="L44" i="8"/>
  <c r="L53" i="8" s="1"/>
  <c r="P44" i="8"/>
  <c r="P53" i="8" s="1"/>
  <c r="F44" i="8"/>
  <c r="E44" i="8"/>
  <c r="I44" i="8"/>
  <c r="I53" i="8" s="1"/>
  <c r="M44" i="8"/>
  <c r="M53" i="8" s="1"/>
  <c r="C3" i="16"/>
  <c r="D45" i="9" l="1"/>
  <c r="C58" i="8" l="1"/>
  <c r="C60" i="8" s="1"/>
  <c r="C57" i="8"/>
  <c r="C6" i="11" l="1"/>
  <c r="C6" i="2"/>
  <c r="B7" i="2"/>
  <c r="B6" i="2"/>
  <c r="B5" i="2"/>
  <c r="B4" i="2"/>
  <c r="B3" i="2"/>
  <c r="C6" i="3"/>
  <c r="B7" i="3"/>
  <c r="B6" i="3"/>
  <c r="B5" i="3"/>
  <c r="B4" i="3"/>
  <c r="B3" i="3"/>
  <c r="C6" i="4"/>
  <c r="B7" i="4"/>
  <c r="B6" i="4"/>
  <c r="B5" i="4"/>
  <c r="B4" i="4"/>
  <c r="B3" i="4"/>
  <c r="C6" i="5"/>
  <c r="B7" i="5"/>
  <c r="B6" i="5"/>
  <c r="B5" i="5"/>
  <c r="B4" i="5"/>
  <c r="B3" i="5"/>
  <c r="C6" i="7"/>
  <c r="B7" i="7"/>
  <c r="B6" i="7"/>
  <c r="B5" i="7"/>
  <c r="B4" i="7"/>
  <c r="B3" i="7"/>
  <c r="C6" i="21"/>
  <c r="B7" i="21"/>
  <c r="B6" i="21"/>
  <c r="B5" i="21"/>
  <c r="B4" i="21"/>
  <c r="B3" i="21"/>
  <c r="C6" i="8"/>
  <c r="C6" i="17"/>
  <c r="C6" i="9"/>
  <c r="B7" i="8"/>
  <c r="B6" i="8"/>
  <c r="B5" i="8"/>
  <c r="B4" i="8"/>
  <c r="B3" i="8"/>
  <c r="B7" i="17"/>
  <c r="B6" i="17"/>
  <c r="B5" i="17"/>
  <c r="B4" i="17"/>
  <c r="B3" i="17"/>
  <c r="B7" i="9"/>
  <c r="B6" i="9"/>
  <c r="B5" i="9"/>
  <c r="B4" i="9"/>
  <c r="B3" i="9"/>
  <c r="C6" i="10" l="1"/>
  <c r="B7" i="10"/>
  <c r="B6" i="10"/>
  <c r="B5" i="10"/>
  <c r="B4" i="10"/>
  <c r="B3" i="10"/>
  <c r="C3" i="11"/>
  <c r="B7" i="11"/>
  <c r="B6" i="11"/>
  <c r="B5" i="11"/>
  <c r="B4" i="11"/>
  <c r="B3" i="11"/>
  <c r="C6" i="13"/>
  <c r="B7" i="13"/>
  <c r="B6" i="13"/>
  <c r="B5" i="13"/>
  <c r="B4" i="13"/>
  <c r="B3" i="13"/>
  <c r="C6" i="18"/>
  <c r="B7" i="18"/>
  <c r="B6" i="18"/>
  <c r="B5" i="18"/>
  <c r="B4" i="18"/>
  <c r="B3" i="18"/>
  <c r="C6" i="15"/>
  <c r="B7" i="15"/>
  <c r="B6" i="15"/>
  <c r="B5" i="15"/>
  <c r="B4" i="15"/>
  <c r="B3" i="15"/>
  <c r="C6" i="20"/>
  <c r="B7" i="20"/>
  <c r="B6" i="20"/>
  <c r="B5" i="20"/>
  <c r="B4" i="20"/>
  <c r="B3" i="20"/>
  <c r="C7" i="16"/>
  <c r="C6" i="16"/>
  <c r="C5" i="16"/>
  <c r="C4" i="16"/>
  <c r="C4" i="17" l="1"/>
  <c r="C4" i="2"/>
  <c r="C4" i="3"/>
  <c r="C4" i="4"/>
  <c r="C4" i="5"/>
  <c r="C4" i="7"/>
  <c r="C4" i="21"/>
  <c r="C4" i="8"/>
  <c r="C4" i="9"/>
  <c r="C5" i="8"/>
  <c r="C5" i="2"/>
  <c r="C5" i="3"/>
  <c r="C5" i="5"/>
  <c r="C5" i="21"/>
  <c r="C5" i="9"/>
  <c r="C5" i="4"/>
  <c r="C5" i="7"/>
  <c r="C5" i="17"/>
  <c r="C4" i="15"/>
  <c r="C4" i="18"/>
  <c r="C4" i="13"/>
  <c r="C4" i="10"/>
  <c r="C4" i="20"/>
  <c r="C5" i="15"/>
  <c r="C5" i="18"/>
  <c r="C5" i="13"/>
  <c r="C4" i="11"/>
  <c r="C5" i="10"/>
  <c r="C5" i="11"/>
  <c r="C7" i="3"/>
  <c r="C7" i="2"/>
  <c r="C7" i="5"/>
  <c r="C7" i="4"/>
  <c r="C7" i="21"/>
  <c r="C7" i="7"/>
  <c r="C7" i="17"/>
  <c r="C7" i="8"/>
  <c r="C7" i="15"/>
  <c r="C7" i="9"/>
  <c r="C7" i="10"/>
  <c r="C7" i="11"/>
  <c r="C7" i="13"/>
  <c r="C7" i="18"/>
  <c r="F19" i="3"/>
  <c r="F39" i="17"/>
  <c r="C19" i="8" l="1"/>
  <c r="C43" i="8" l="1"/>
  <c r="C50" i="8"/>
  <c r="Q45" i="8"/>
  <c r="O45" i="8"/>
  <c r="M45" i="8"/>
  <c r="K45" i="8"/>
  <c r="I45" i="8"/>
  <c r="G45" i="8"/>
  <c r="E45" i="8"/>
  <c r="C45" i="8"/>
  <c r="Q51" i="8"/>
  <c r="M51" i="8"/>
  <c r="I51" i="8"/>
  <c r="E51" i="8"/>
  <c r="P50" i="8"/>
  <c r="L50" i="8"/>
  <c r="H50" i="8"/>
  <c r="D50" i="8"/>
  <c r="O49" i="8"/>
  <c r="K49" i="8"/>
  <c r="G49" i="8"/>
  <c r="Q43" i="8"/>
  <c r="O43" i="8"/>
  <c r="M43" i="8"/>
  <c r="K43" i="8"/>
  <c r="I43" i="8"/>
  <c r="G43" i="8"/>
  <c r="E43" i="8"/>
  <c r="P51" i="8"/>
  <c r="L51" i="8"/>
  <c r="H51" i="8"/>
  <c r="D51" i="8"/>
  <c r="O50" i="8"/>
  <c r="K50" i="8"/>
  <c r="G50" i="8"/>
  <c r="N49" i="8"/>
  <c r="J49" i="8"/>
  <c r="F49" i="8"/>
  <c r="P45" i="8"/>
  <c r="N45" i="8"/>
  <c r="L45" i="8"/>
  <c r="J45" i="8"/>
  <c r="H45" i="8"/>
  <c r="F45" i="8"/>
  <c r="C49" i="8"/>
  <c r="O51" i="8"/>
  <c r="K51" i="8"/>
  <c r="G51" i="8"/>
  <c r="C51" i="8"/>
  <c r="N50" i="8"/>
  <c r="J50" i="8"/>
  <c r="F50" i="8"/>
  <c r="Q49" i="8"/>
  <c r="M49" i="8"/>
  <c r="I49" i="8"/>
  <c r="E49" i="8"/>
  <c r="P43" i="8"/>
  <c r="N43" i="8"/>
  <c r="L43" i="8"/>
  <c r="J43" i="8"/>
  <c r="H43" i="8"/>
  <c r="F43" i="8"/>
  <c r="D43" i="8"/>
  <c r="N51" i="8"/>
  <c r="J51" i="8"/>
  <c r="F51" i="8"/>
  <c r="Q50" i="8"/>
  <c r="M50" i="8"/>
  <c r="I50" i="8"/>
  <c r="E50" i="8"/>
  <c r="P49" i="8"/>
  <c r="L49" i="8"/>
  <c r="H49" i="8"/>
  <c r="D49" i="8"/>
  <c r="C17" i="8"/>
  <c r="L14" i="4"/>
  <c r="F75" i="18"/>
  <c r="G75" i="18"/>
  <c r="G76" i="18"/>
  <c r="H76" i="18" s="1"/>
  <c r="G77" i="18"/>
  <c r="H77" i="18" s="1"/>
  <c r="G78" i="18"/>
  <c r="H78" i="18" s="1"/>
  <c r="G79" i="18"/>
  <c r="G80" i="18"/>
  <c r="H80" i="18" s="1"/>
  <c r="G81" i="18"/>
  <c r="G82" i="18"/>
  <c r="G83" i="18"/>
  <c r="H83" i="18" s="1"/>
  <c r="G84" i="18"/>
  <c r="H84" i="18" s="1"/>
  <c r="G85" i="18"/>
  <c r="G86" i="18"/>
  <c r="H86" i="18" s="1"/>
  <c r="G87" i="18"/>
  <c r="H87" i="18" s="1"/>
  <c r="G88" i="18"/>
  <c r="G74" i="18"/>
  <c r="F82" i="18"/>
  <c r="H82" i="18" s="1"/>
  <c r="C46" i="8" l="1"/>
  <c r="H75" i="18"/>
  <c r="F81" i="18"/>
  <c r="H81" i="18" s="1"/>
  <c r="F88" i="18"/>
  <c r="H88" i="18" s="1"/>
  <c r="F85" i="18"/>
  <c r="H85" i="18" s="1"/>
  <c r="F74" i="18"/>
  <c r="H74" i="18" s="1"/>
  <c r="D172" i="9" l="1"/>
  <c r="AZ34" i="19" l="1"/>
  <c r="AY34" i="19"/>
  <c r="AF57" i="8"/>
  <c r="AG57" i="8" s="1"/>
  <c r="AF56" i="8"/>
  <c r="AG56" i="8" s="1"/>
  <c r="AF54" i="8"/>
  <c r="AG54" i="8" s="1"/>
  <c r="AF53" i="8"/>
  <c r="AG53" i="8" s="1"/>
  <c r="AF51" i="8"/>
  <c r="AG51" i="8" s="1"/>
  <c r="AF48" i="8"/>
  <c r="AG48" i="8" s="1"/>
  <c r="AF47" i="8"/>
  <c r="AG47" i="8" s="1"/>
  <c r="AF45" i="8"/>
  <c r="AG45" i="8" s="1"/>
  <c r="AF44" i="8"/>
  <c r="AG44" i="8" s="1"/>
  <c r="AF42" i="8"/>
  <c r="AG42" i="8" s="1"/>
  <c r="AF41" i="8"/>
  <c r="AG41" i="8" s="1"/>
  <c r="AF39" i="8"/>
  <c r="AG39" i="8" s="1"/>
  <c r="AF38" i="8"/>
  <c r="AG38" i="8" s="1"/>
  <c r="AF36" i="8"/>
  <c r="AG36" i="8" s="1"/>
  <c r="AF35" i="8"/>
  <c r="AG35" i="8" s="1"/>
  <c r="AF33" i="8"/>
  <c r="AG33" i="8" s="1"/>
  <c r="AF32" i="8"/>
  <c r="AG32" i="8" s="1"/>
  <c r="AF30" i="8"/>
  <c r="AG30" i="8" s="1"/>
  <c r="AF29" i="8"/>
  <c r="AG29" i="8" s="1"/>
  <c r="AF27" i="8"/>
  <c r="AG27" i="8" s="1"/>
  <c r="AF26" i="8"/>
  <c r="AG26" i="8" s="1"/>
  <c r="AF24" i="8"/>
  <c r="AG24" i="8" s="1"/>
  <c r="AF23" i="8"/>
  <c r="AG23" i="8" s="1"/>
  <c r="AF21" i="8"/>
  <c r="AG21" i="8" s="1"/>
  <c r="AF20" i="8"/>
  <c r="AG20" i="8" s="1"/>
  <c r="AF18" i="8"/>
  <c r="AG18" i="8" s="1"/>
  <c r="AF17" i="8"/>
  <c r="AG17" i="8" s="1"/>
  <c r="AF15" i="8"/>
  <c r="AG15" i="8" s="1"/>
  <c r="AG14" i="8" s="1"/>
  <c r="AF14" i="8"/>
  <c r="AD56" i="8"/>
  <c r="AE56" i="8" s="1"/>
  <c r="AD53" i="8"/>
  <c r="AE53" i="8" s="1"/>
  <c r="AD47" i="8"/>
  <c r="AE47" i="8" s="1"/>
  <c r="AD44" i="8"/>
  <c r="AE44" i="8" s="1"/>
  <c r="AD41" i="8"/>
  <c r="AE41" i="8" s="1"/>
  <c r="AD38" i="8"/>
  <c r="AE38" i="8" s="1"/>
  <c r="AD35" i="8"/>
  <c r="AE35" i="8" s="1"/>
  <c r="AD29" i="8"/>
  <c r="AE29" i="8" s="1"/>
  <c r="AD32" i="8"/>
  <c r="AE32" i="8" s="1"/>
  <c r="AD26" i="8"/>
  <c r="AE26" i="8" s="1"/>
  <c r="AD20" i="8"/>
  <c r="AE20" i="8" s="1"/>
  <c r="AD17" i="8"/>
  <c r="AE17" i="8" s="1"/>
  <c r="Q53" i="8" s="1"/>
  <c r="AD14" i="8"/>
  <c r="AD23" i="8"/>
  <c r="AE23" i="8" s="1"/>
  <c r="B36" i="17" l="1"/>
  <c r="C17" i="5"/>
  <c r="D177" i="9"/>
  <c r="D176" i="9"/>
  <c r="D175" i="9"/>
  <c r="C20" i="5" l="1"/>
  <c r="M414" i="9"/>
  <c r="M415" i="9"/>
  <c r="M416" i="9"/>
  <c r="M417" i="9"/>
  <c r="M418" i="9"/>
  <c r="M419" i="9"/>
  <c r="M420" i="9"/>
  <c r="M421" i="9"/>
  <c r="M422" i="9"/>
  <c r="M423" i="9"/>
  <c r="M424" i="9"/>
  <c r="M425" i="9"/>
  <c r="M426" i="9"/>
  <c r="M427" i="9"/>
  <c r="M428" i="9"/>
  <c r="M429" i="9"/>
  <c r="M430" i="9"/>
  <c r="M431" i="9"/>
  <c r="M432" i="9"/>
  <c r="M433" i="9"/>
  <c r="M434" i="9"/>
  <c r="M435" i="9"/>
  <c r="M436" i="9"/>
  <c r="M437" i="9"/>
  <c r="M438" i="9"/>
  <c r="M439" i="9"/>
  <c r="M440" i="9"/>
  <c r="M441" i="9"/>
  <c r="M442" i="9"/>
  <c r="M443" i="9"/>
  <c r="M444" i="9"/>
  <c r="M445" i="9"/>
  <c r="M446" i="9"/>
  <c r="M447" i="9"/>
  <c r="M448" i="9"/>
  <c r="M449" i="9"/>
  <c r="M450" i="9"/>
  <c r="M451" i="9"/>
  <c r="M452" i="9"/>
  <c r="M453" i="9"/>
  <c r="M454" i="9"/>
  <c r="M455" i="9"/>
  <c r="M456" i="9"/>
  <c r="M457" i="9"/>
  <c r="M458" i="9"/>
  <c r="M459" i="9"/>
  <c r="M460" i="9"/>
  <c r="M461" i="9"/>
  <c r="M462" i="9"/>
  <c r="M463" i="9"/>
  <c r="M464" i="9"/>
  <c r="M465" i="9"/>
  <c r="M466" i="9"/>
  <c r="M467" i="9"/>
  <c r="M468" i="9"/>
  <c r="M469" i="9"/>
  <c r="M470" i="9"/>
  <c r="M471" i="9"/>
  <c r="M472" i="9"/>
  <c r="M473" i="9"/>
  <c r="M474" i="9"/>
  <c r="M475" i="9"/>
  <c r="M476" i="9"/>
  <c r="M477" i="9"/>
  <c r="M478" i="9"/>
  <c r="M479" i="9"/>
  <c r="M480" i="9"/>
  <c r="M481" i="9"/>
  <c r="M482" i="9"/>
  <c r="M483" i="9"/>
  <c r="M484" i="9"/>
  <c r="M485" i="9"/>
  <c r="M486" i="9"/>
  <c r="M487" i="9"/>
  <c r="M488" i="9"/>
  <c r="M489" i="9"/>
  <c r="M490" i="9"/>
  <c r="M491" i="9"/>
  <c r="M492" i="9"/>
  <c r="M493" i="9"/>
  <c r="M494" i="9"/>
  <c r="M495" i="9"/>
  <c r="M496" i="9"/>
  <c r="M497" i="9"/>
  <c r="M498" i="9"/>
  <c r="M499" i="9"/>
  <c r="M500" i="9"/>
  <c r="M501" i="9"/>
  <c r="M502" i="9"/>
  <c r="M503" i="9"/>
  <c r="M504" i="9"/>
  <c r="M505" i="9"/>
  <c r="M506" i="9"/>
  <c r="M507" i="9"/>
  <c r="M508" i="9"/>
  <c r="M509" i="9"/>
  <c r="M510" i="9"/>
  <c r="M511" i="9"/>
  <c r="M512" i="9"/>
  <c r="M513" i="9"/>
  <c r="M514" i="9"/>
  <c r="M515" i="9"/>
  <c r="M516" i="9"/>
  <c r="M517" i="9"/>
  <c r="M518" i="9"/>
  <c r="M519" i="9"/>
  <c r="M520" i="9"/>
  <c r="M521" i="9"/>
  <c r="M522" i="9"/>
  <c r="M523" i="9"/>
  <c r="M524" i="9"/>
  <c r="M525" i="9"/>
  <c r="M526" i="9"/>
  <c r="M527" i="9"/>
  <c r="M528" i="9"/>
  <c r="M529" i="9"/>
  <c r="M530" i="9"/>
  <c r="M531" i="9"/>
  <c r="M532" i="9"/>
  <c r="M533" i="9"/>
  <c r="M534" i="9"/>
  <c r="M535" i="9"/>
  <c r="M536" i="9"/>
  <c r="M537" i="9"/>
  <c r="M538" i="9"/>
  <c r="M539" i="9"/>
  <c r="M540" i="9"/>
  <c r="M541" i="9"/>
  <c r="M542" i="9"/>
  <c r="M543" i="9"/>
  <c r="M544" i="9"/>
  <c r="M545" i="9"/>
  <c r="M546" i="9"/>
  <c r="M547" i="9"/>
  <c r="M548" i="9"/>
  <c r="M549" i="9"/>
  <c r="M550" i="9"/>
  <c r="M551" i="9"/>
  <c r="M552" i="9"/>
  <c r="M553" i="9"/>
  <c r="M554" i="9"/>
  <c r="M555" i="9"/>
  <c r="M556" i="9"/>
  <c r="M557" i="9"/>
  <c r="M558" i="9"/>
  <c r="M559" i="9"/>
  <c r="M560" i="9"/>
  <c r="M561" i="9"/>
  <c r="M562" i="9"/>
  <c r="M563" i="9"/>
  <c r="M564" i="9"/>
  <c r="M565" i="9"/>
  <c r="M566" i="9"/>
  <c r="M567" i="9"/>
  <c r="M568" i="9"/>
  <c r="M569" i="9"/>
  <c r="M570" i="9"/>
  <c r="M571" i="9"/>
  <c r="M572" i="9"/>
  <c r="M573" i="9"/>
  <c r="M574" i="9"/>
  <c r="M575" i="9"/>
  <c r="M576" i="9"/>
  <c r="M577" i="9"/>
  <c r="M578" i="9"/>
  <c r="M579" i="9"/>
  <c r="M580" i="9"/>
  <c r="M581" i="9"/>
  <c r="M582" i="9"/>
  <c r="M583" i="9"/>
  <c r="M584" i="9"/>
  <c r="M585" i="9"/>
  <c r="M586" i="9"/>
  <c r="M587" i="9"/>
  <c r="M588" i="9"/>
  <c r="M589" i="9"/>
  <c r="M590" i="9"/>
  <c r="M591" i="9"/>
  <c r="M592" i="9"/>
  <c r="M593" i="9"/>
  <c r="M594" i="9"/>
  <c r="M595" i="9"/>
  <c r="M596" i="9"/>
  <c r="M597" i="9"/>
  <c r="M598" i="9"/>
  <c r="M599" i="9"/>
  <c r="M600" i="9"/>
  <c r="M601" i="9"/>
  <c r="M602" i="9"/>
  <c r="M603" i="9"/>
  <c r="M604" i="9"/>
  <c r="M605" i="9"/>
  <c r="M606" i="9"/>
  <c r="M607" i="9"/>
  <c r="M608" i="9"/>
  <c r="M609" i="9"/>
  <c r="M610" i="9"/>
  <c r="M611" i="9"/>
  <c r="M612" i="9"/>
  <c r="M613" i="9"/>
  <c r="M614" i="9"/>
  <c r="M615" i="9"/>
  <c r="M616" i="9"/>
  <c r="M617" i="9"/>
  <c r="M618" i="9"/>
  <c r="M619" i="9"/>
  <c r="M620" i="9"/>
  <c r="M621" i="9"/>
  <c r="M622" i="9"/>
  <c r="M623" i="9"/>
  <c r="M624" i="9"/>
  <c r="M625" i="9"/>
  <c r="M626" i="9"/>
  <c r="M627" i="9"/>
  <c r="M628" i="9"/>
  <c r="M629" i="9"/>
  <c r="M630" i="9"/>
  <c r="M631" i="9"/>
  <c r="M632" i="9"/>
  <c r="M633" i="9"/>
  <c r="M634" i="9"/>
  <c r="M635" i="9"/>
  <c r="M636" i="9"/>
  <c r="M637" i="9"/>
  <c r="M638" i="9"/>
  <c r="M639" i="9"/>
  <c r="M640" i="9"/>
  <c r="M641" i="9"/>
  <c r="M642" i="9"/>
  <c r="M643" i="9"/>
  <c r="M644" i="9"/>
  <c r="M645" i="9"/>
  <c r="M646" i="9"/>
  <c r="M647" i="9"/>
  <c r="M648" i="9"/>
  <c r="M649" i="9"/>
  <c r="M650" i="9"/>
  <c r="M651" i="9"/>
  <c r="M652" i="9"/>
  <c r="M653" i="9"/>
  <c r="M654" i="9"/>
  <c r="M655" i="9"/>
  <c r="M656" i="9"/>
  <c r="M657" i="9"/>
  <c r="M658" i="9"/>
  <c r="M659" i="9"/>
  <c r="M660" i="9"/>
  <c r="M661" i="9"/>
  <c r="M662" i="9"/>
  <c r="M663" i="9"/>
  <c r="M664" i="9"/>
  <c r="M665" i="9"/>
  <c r="M666" i="9"/>
  <c r="M667" i="9"/>
  <c r="M668" i="9"/>
  <c r="M669" i="9"/>
  <c r="M670" i="9"/>
  <c r="M671" i="9"/>
  <c r="M672" i="9"/>
  <c r="M673" i="9"/>
  <c r="M674" i="9"/>
  <c r="M675" i="9"/>
  <c r="M676" i="9"/>
  <c r="M677" i="9"/>
  <c r="M678" i="9"/>
  <c r="M679" i="9"/>
  <c r="M680" i="9"/>
  <c r="M681" i="9"/>
  <c r="M682" i="9"/>
  <c r="M683" i="9"/>
  <c r="M684" i="9"/>
  <c r="M685" i="9"/>
  <c r="M686" i="9"/>
  <c r="M687" i="9"/>
  <c r="M688" i="9"/>
  <c r="M689" i="9"/>
  <c r="M690" i="9"/>
  <c r="M691" i="9"/>
  <c r="M692" i="9"/>
  <c r="M693" i="9"/>
  <c r="M694" i="9"/>
  <c r="M695" i="9"/>
  <c r="M696" i="9"/>
  <c r="M697" i="9"/>
  <c r="M698" i="9"/>
  <c r="M699" i="9"/>
  <c r="M700" i="9"/>
  <c r="M701" i="9"/>
  <c r="M702" i="9"/>
  <c r="M703" i="9"/>
  <c r="M704" i="9"/>
  <c r="M705" i="9"/>
  <c r="M706" i="9"/>
  <c r="M707" i="9"/>
  <c r="M708" i="9"/>
  <c r="M709" i="9"/>
  <c r="M710" i="9"/>
  <c r="M711" i="9"/>
  <c r="M712" i="9"/>
  <c r="M713" i="9"/>
  <c r="M714" i="9"/>
  <c r="M715" i="9"/>
  <c r="M716" i="9"/>
  <c r="M717" i="9"/>
  <c r="M718" i="9"/>
  <c r="M719" i="9"/>
  <c r="M720" i="9"/>
  <c r="M721" i="9"/>
  <c r="M722" i="9"/>
  <c r="M723" i="9"/>
  <c r="M724" i="9"/>
  <c r="M725" i="9"/>
  <c r="M726" i="9"/>
  <c r="M727" i="9"/>
  <c r="M728" i="9"/>
  <c r="M729" i="9"/>
  <c r="M730" i="9"/>
  <c r="M731" i="9"/>
  <c r="M732" i="9"/>
  <c r="M733" i="9"/>
  <c r="M734" i="9"/>
  <c r="M735" i="9"/>
  <c r="M736" i="9"/>
  <c r="M737" i="9"/>
  <c r="M738" i="9"/>
  <c r="M739" i="9"/>
  <c r="M740" i="9"/>
  <c r="M741" i="9"/>
  <c r="M742" i="9"/>
  <c r="M743" i="9"/>
  <c r="M744" i="9"/>
  <c r="M745" i="9"/>
  <c r="M746" i="9"/>
  <c r="M747" i="9"/>
  <c r="M748" i="9"/>
  <c r="M749" i="9"/>
  <c r="M750" i="9"/>
  <c r="M751" i="9"/>
  <c r="M752" i="9"/>
  <c r="M753" i="9"/>
  <c r="M754" i="9"/>
  <c r="M755" i="9"/>
  <c r="M756" i="9"/>
  <c r="M757" i="9"/>
  <c r="M758" i="9"/>
  <c r="M759" i="9"/>
  <c r="M760" i="9"/>
  <c r="M761" i="9"/>
  <c r="M762" i="9"/>
  <c r="M763" i="9"/>
  <c r="M764" i="9"/>
  <c r="M765" i="9"/>
  <c r="M766" i="9"/>
  <c r="M767" i="9"/>
  <c r="M768" i="9"/>
  <c r="M769" i="9"/>
  <c r="M770" i="9"/>
  <c r="M771" i="9"/>
  <c r="M772" i="9"/>
  <c r="M773" i="9"/>
  <c r="M774" i="9"/>
  <c r="M775" i="9"/>
  <c r="M776" i="9"/>
  <c r="M777" i="9"/>
  <c r="M778" i="9"/>
  <c r="M779" i="9"/>
  <c r="M780" i="9"/>
  <c r="M781" i="9"/>
  <c r="M782" i="9"/>
  <c r="M783" i="9"/>
  <c r="M784" i="9"/>
  <c r="M785" i="9"/>
  <c r="M786" i="9"/>
  <c r="M787" i="9"/>
  <c r="M788" i="9"/>
  <c r="M789" i="9"/>
  <c r="M790" i="9"/>
  <c r="M791" i="9"/>
  <c r="M792" i="9"/>
  <c r="M793" i="9"/>
  <c r="M794" i="9"/>
  <c r="M795" i="9"/>
  <c r="M796" i="9"/>
  <c r="M797" i="9"/>
  <c r="M798" i="9"/>
  <c r="M799" i="9"/>
  <c r="M800" i="9"/>
  <c r="M801" i="9"/>
  <c r="M802" i="9"/>
  <c r="M803" i="9"/>
  <c r="M804" i="9"/>
  <c r="M805" i="9"/>
  <c r="M806" i="9"/>
  <c r="M807" i="9"/>
  <c r="M808" i="9"/>
  <c r="M809" i="9"/>
  <c r="M810" i="9"/>
  <c r="M811" i="9"/>
  <c r="M812" i="9"/>
  <c r="M813" i="9"/>
  <c r="M814" i="9"/>
  <c r="M815" i="9"/>
  <c r="M816" i="9"/>
  <c r="M817" i="9"/>
  <c r="M818" i="9"/>
  <c r="M819" i="9"/>
  <c r="M820" i="9"/>
  <c r="M821" i="9"/>
  <c r="M822" i="9"/>
  <c r="M823" i="9"/>
  <c r="M824" i="9"/>
  <c r="M825" i="9"/>
  <c r="M826" i="9"/>
  <c r="M827" i="9"/>
  <c r="M828" i="9"/>
  <c r="M829" i="9"/>
  <c r="M830" i="9"/>
  <c r="M831" i="9"/>
  <c r="M832" i="9"/>
  <c r="M833" i="9"/>
  <c r="M834" i="9"/>
  <c r="M835" i="9"/>
  <c r="M836" i="9"/>
  <c r="M837" i="9"/>
  <c r="M838" i="9"/>
  <c r="M839" i="9"/>
  <c r="M840" i="9"/>
  <c r="M841" i="9"/>
  <c r="M842" i="9"/>
  <c r="M843" i="9"/>
  <c r="M844" i="9"/>
  <c r="M845" i="9"/>
  <c r="M846" i="9"/>
  <c r="M847" i="9"/>
  <c r="M848" i="9"/>
  <c r="M849" i="9"/>
  <c r="M850" i="9"/>
  <c r="M851" i="9"/>
  <c r="M852" i="9"/>
  <c r="M853" i="9"/>
  <c r="M854" i="9"/>
  <c r="M855" i="9"/>
  <c r="M856" i="9"/>
  <c r="M857" i="9"/>
  <c r="M858" i="9"/>
  <c r="M859" i="9"/>
  <c r="M860" i="9"/>
  <c r="M861" i="9"/>
  <c r="M862" i="9"/>
  <c r="M863" i="9"/>
  <c r="M864" i="9"/>
  <c r="M865" i="9"/>
  <c r="M866" i="9"/>
  <c r="M867" i="9"/>
  <c r="M868" i="9"/>
  <c r="M869" i="9"/>
  <c r="M870" i="9"/>
  <c r="M871" i="9"/>
  <c r="M872" i="9"/>
  <c r="M873" i="9"/>
  <c r="M874" i="9"/>
  <c r="M875" i="9"/>
  <c r="M876" i="9"/>
  <c r="M877" i="9"/>
  <c r="M878" i="9"/>
  <c r="M879" i="9"/>
  <c r="M880" i="9"/>
  <c r="M881" i="9"/>
  <c r="M882" i="9"/>
  <c r="M883" i="9"/>
  <c r="M884" i="9"/>
  <c r="M885" i="9"/>
  <c r="M886" i="9"/>
  <c r="M887" i="9"/>
  <c r="M888" i="9"/>
  <c r="M889" i="9"/>
  <c r="M890" i="9"/>
  <c r="M891" i="9"/>
  <c r="M892" i="9"/>
  <c r="M413" i="9"/>
  <c r="G414" i="9"/>
  <c r="G413" i="9"/>
  <c r="G415" i="9"/>
  <c r="G416" i="9"/>
  <c r="G417" i="9"/>
  <c r="G418" i="9"/>
  <c r="G419" i="9"/>
  <c r="G420" i="9"/>
  <c r="G421" i="9"/>
  <c r="G422" i="9"/>
  <c r="G423" i="9"/>
  <c r="G424" i="9"/>
  <c r="G425" i="9"/>
  <c r="G426" i="9"/>
  <c r="G427" i="9"/>
  <c r="G428" i="9"/>
  <c r="G429" i="9"/>
  <c r="G430" i="9"/>
  <c r="G431" i="9"/>
  <c r="G432" i="9"/>
  <c r="G433" i="9"/>
  <c r="G434" i="9"/>
  <c r="G435" i="9"/>
  <c r="G436" i="9"/>
  <c r="G437" i="9"/>
  <c r="G438" i="9"/>
  <c r="G439" i="9"/>
  <c r="G440" i="9"/>
  <c r="G441" i="9"/>
  <c r="G442" i="9"/>
  <c r="G443" i="9"/>
  <c r="G444" i="9"/>
  <c r="G445" i="9"/>
  <c r="G446" i="9"/>
  <c r="G447" i="9"/>
  <c r="G448" i="9"/>
  <c r="G449" i="9"/>
  <c r="G450" i="9"/>
  <c r="G451" i="9"/>
  <c r="G452" i="9"/>
  <c r="G453" i="9"/>
  <c r="G454" i="9"/>
  <c r="G455" i="9"/>
  <c r="G456" i="9"/>
  <c r="G457" i="9"/>
  <c r="G458" i="9"/>
  <c r="G459" i="9"/>
  <c r="G460" i="9"/>
  <c r="G461" i="9"/>
  <c r="G462" i="9"/>
  <c r="G463" i="9"/>
  <c r="G464" i="9"/>
  <c r="G465" i="9"/>
  <c r="G466" i="9"/>
  <c r="G467" i="9"/>
  <c r="G468" i="9"/>
  <c r="G469" i="9"/>
  <c r="G470" i="9"/>
  <c r="G471" i="9"/>
  <c r="G472" i="9"/>
  <c r="G473" i="9"/>
  <c r="G474" i="9"/>
  <c r="G475" i="9"/>
  <c r="G476" i="9"/>
  <c r="G477" i="9"/>
  <c r="G478" i="9"/>
  <c r="G479" i="9"/>
  <c r="G480" i="9"/>
  <c r="G481" i="9"/>
  <c r="G482" i="9"/>
  <c r="G483" i="9"/>
  <c r="G484" i="9"/>
  <c r="G485" i="9"/>
  <c r="G486" i="9"/>
  <c r="G487" i="9"/>
  <c r="G488" i="9"/>
  <c r="G489" i="9"/>
  <c r="G490" i="9"/>
  <c r="G491" i="9"/>
  <c r="G492" i="9"/>
  <c r="G493" i="9"/>
  <c r="G494" i="9"/>
  <c r="G495" i="9"/>
  <c r="G496" i="9"/>
  <c r="G497" i="9"/>
  <c r="G498" i="9"/>
  <c r="G499" i="9"/>
  <c r="G500" i="9"/>
  <c r="G501" i="9"/>
  <c r="G502" i="9"/>
  <c r="G503" i="9"/>
  <c r="G504" i="9"/>
  <c r="G505" i="9"/>
  <c r="G506" i="9"/>
  <c r="G507" i="9"/>
  <c r="G508" i="9"/>
  <c r="G509" i="9"/>
  <c r="G510" i="9"/>
  <c r="G511" i="9"/>
  <c r="G512" i="9"/>
  <c r="G513" i="9"/>
  <c r="G514" i="9"/>
  <c r="G515" i="9"/>
  <c r="G516" i="9"/>
  <c r="G517" i="9"/>
  <c r="G518" i="9"/>
  <c r="G519" i="9"/>
  <c r="G520" i="9"/>
  <c r="G521" i="9"/>
  <c r="G522" i="9"/>
  <c r="G523" i="9"/>
  <c r="G524" i="9"/>
  <c r="G525" i="9"/>
  <c r="G526" i="9"/>
  <c r="G527" i="9"/>
  <c r="G528" i="9"/>
  <c r="G529" i="9"/>
  <c r="G530" i="9"/>
  <c r="G531" i="9"/>
  <c r="G532" i="9"/>
  <c r="G533" i="9"/>
  <c r="G534" i="9"/>
  <c r="G535" i="9"/>
  <c r="G536" i="9"/>
  <c r="G537" i="9"/>
  <c r="G538" i="9"/>
  <c r="G539" i="9"/>
  <c r="G540" i="9"/>
  <c r="G541" i="9"/>
  <c r="G542" i="9"/>
  <c r="G543" i="9"/>
  <c r="G544" i="9"/>
  <c r="G545" i="9"/>
  <c r="G546" i="9"/>
  <c r="G547" i="9"/>
  <c r="G548" i="9"/>
  <c r="G549" i="9"/>
  <c r="G550" i="9"/>
  <c r="G551" i="9"/>
  <c r="G552" i="9"/>
  <c r="G553" i="9"/>
  <c r="G554" i="9"/>
  <c r="G555" i="9"/>
  <c r="G556" i="9"/>
  <c r="G557" i="9"/>
  <c r="G558" i="9"/>
  <c r="G559" i="9"/>
  <c r="G560" i="9"/>
  <c r="G561" i="9"/>
  <c r="G562" i="9"/>
  <c r="G563" i="9"/>
  <c r="G564" i="9"/>
  <c r="G565" i="9"/>
  <c r="G566" i="9"/>
  <c r="G567" i="9"/>
  <c r="G568" i="9"/>
  <c r="G569" i="9"/>
  <c r="G570" i="9"/>
  <c r="G571" i="9"/>
  <c r="G572" i="9"/>
  <c r="G573" i="9"/>
  <c r="G574" i="9"/>
  <c r="G575" i="9"/>
  <c r="G576" i="9"/>
  <c r="G577" i="9"/>
  <c r="G578" i="9"/>
  <c r="G579" i="9"/>
  <c r="G580" i="9"/>
  <c r="G581" i="9"/>
  <c r="G582" i="9"/>
  <c r="G583" i="9"/>
  <c r="G584" i="9"/>
  <c r="G585" i="9"/>
  <c r="G586" i="9"/>
  <c r="G587" i="9"/>
  <c r="G588" i="9"/>
  <c r="G589" i="9"/>
  <c r="G590" i="9"/>
  <c r="G591" i="9"/>
  <c r="G592" i="9"/>
  <c r="G593" i="9"/>
  <c r="G594" i="9"/>
  <c r="G595" i="9"/>
  <c r="G596" i="9"/>
  <c r="G597" i="9"/>
  <c r="G598" i="9"/>
  <c r="G599" i="9"/>
  <c r="G600" i="9"/>
  <c r="G601" i="9"/>
  <c r="G602" i="9"/>
  <c r="G603" i="9"/>
  <c r="G604" i="9"/>
  <c r="G605" i="9"/>
  <c r="G606" i="9"/>
  <c r="G607" i="9"/>
  <c r="G608" i="9"/>
  <c r="G609" i="9"/>
  <c r="G610" i="9"/>
  <c r="G611" i="9"/>
  <c r="G612" i="9"/>
  <c r="G613" i="9"/>
  <c r="G614" i="9"/>
  <c r="G615" i="9"/>
  <c r="G616" i="9"/>
  <c r="G617" i="9"/>
  <c r="G618" i="9"/>
  <c r="G619" i="9"/>
  <c r="G620" i="9"/>
  <c r="G621" i="9"/>
  <c r="G622" i="9"/>
  <c r="G623" i="9"/>
  <c r="G624" i="9"/>
  <c r="G625" i="9"/>
  <c r="G626" i="9"/>
  <c r="G627" i="9"/>
  <c r="G628" i="9"/>
  <c r="G629" i="9"/>
  <c r="G630" i="9"/>
  <c r="G631" i="9"/>
  <c r="G632" i="9"/>
  <c r="G633" i="9"/>
  <c r="G634" i="9"/>
  <c r="G635" i="9"/>
  <c r="G636" i="9"/>
  <c r="G637" i="9"/>
  <c r="G638" i="9"/>
  <c r="G639" i="9"/>
  <c r="G640" i="9"/>
  <c r="G641" i="9"/>
  <c r="G642" i="9"/>
  <c r="G643" i="9"/>
  <c r="G644" i="9"/>
  <c r="G645" i="9"/>
  <c r="G646" i="9"/>
  <c r="G647" i="9"/>
  <c r="G648" i="9"/>
  <c r="G649" i="9"/>
  <c r="G650" i="9"/>
  <c r="G651" i="9"/>
  <c r="G652" i="9"/>
  <c r="G653" i="9"/>
  <c r="G654" i="9"/>
  <c r="G655" i="9"/>
  <c r="G656" i="9"/>
  <c r="G657" i="9"/>
  <c r="G658" i="9"/>
  <c r="G659" i="9"/>
  <c r="G660" i="9"/>
  <c r="G661" i="9"/>
  <c r="G662" i="9"/>
  <c r="G663" i="9"/>
  <c r="G664" i="9"/>
  <c r="G665" i="9"/>
  <c r="G666" i="9"/>
  <c r="G667" i="9"/>
  <c r="G668" i="9"/>
  <c r="G669" i="9"/>
  <c r="G670" i="9"/>
  <c r="G671" i="9"/>
  <c r="G672" i="9"/>
  <c r="G673" i="9"/>
  <c r="G674" i="9"/>
  <c r="G675" i="9"/>
  <c r="G676" i="9"/>
  <c r="G677" i="9"/>
  <c r="G678" i="9"/>
  <c r="G679" i="9"/>
  <c r="G680" i="9"/>
  <c r="G681" i="9"/>
  <c r="G682" i="9"/>
  <c r="G683" i="9"/>
  <c r="G684" i="9"/>
  <c r="G685" i="9"/>
  <c r="G686" i="9"/>
  <c r="G687" i="9"/>
  <c r="G688" i="9"/>
  <c r="G689" i="9"/>
  <c r="G690" i="9"/>
  <c r="G691" i="9"/>
  <c r="G692" i="9"/>
  <c r="G693" i="9"/>
  <c r="G694" i="9"/>
  <c r="G695" i="9"/>
  <c r="G696" i="9"/>
  <c r="G697" i="9"/>
  <c r="G698" i="9"/>
  <c r="G699" i="9"/>
  <c r="G700" i="9"/>
  <c r="G701" i="9"/>
  <c r="G702" i="9"/>
  <c r="G703" i="9"/>
  <c r="G704" i="9"/>
  <c r="G705" i="9"/>
  <c r="G706" i="9"/>
  <c r="G707" i="9"/>
  <c r="G708" i="9"/>
  <c r="G709" i="9"/>
  <c r="G710" i="9"/>
  <c r="G711" i="9"/>
  <c r="G712" i="9"/>
  <c r="G713" i="9"/>
  <c r="G714" i="9"/>
  <c r="G715" i="9"/>
  <c r="G716" i="9"/>
  <c r="G717" i="9"/>
  <c r="G718" i="9"/>
  <c r="G719" i="9"/>
  <c r="G720" i="9"/>
  <c r="G721" i="9"/>
  <c r="G722" i="9"/>
  <c r="G723" i="9"/>
  <c r="G724" i="9"/>
  <c r="G725" i="9"/>
  <c r="G726" i="9"/>
  <c r="G727" i="9"/>
  <c r="G728" i="9"/>
  <c r="G729" i="9"/>
  <c r="G730" i="9"/>
  <c r="G731" i="9"/>
  <c r="G732" i="9"/>
  <c r="G733" i="9"/>
  <c r="G734" i="9"/>
  <c r="G735" i="9"/>
  <c r="G736" i="9"/>
  <c r="G737" i="9"/>
  <c r="G738" i="9"/>
  <c r="G739" i="9"/>
  <c r="G740" i="9"/>
  <c r="G741" i="9"/>
  <c r="G742" i="9"/>
  <c r="G743" i="9"/>
  <c r="G744" i="9"/>
  <c r="G745" i="9"/>
  <c r="G746" i="9"/>
  <c r="G747" i="9"/>
  <c r="G748" i="9"/>
  <c r="G749" i="9"/>
  <c r="G750" i="9"/>
  <c r="G751" i="9"/>
  <c r="G752" i="9"/>
  <c r="G753" i="9"/>
  <c r="G754" i="9"/>
  <c r="G755" i="9"/>
  <c r="G756" i="9"/>
  <c r="G757" i="9"/>
  <c r="G758" i="9"/>
  <c r="G759" i="9"/>
  <c r="G760" i="9"/>
  <c r="G761" i="9"/>
  <c r="G762" i="9"/>
  <c r="G763" i="9"/>
  <c r="G764" i="9"/>
  <c r="G765" i="9"/>
  <c r="G766" i="9"/>
  <c r="G767" i="9"/>
  <c r="G768" i="9"/>
  <c r="G769" i="9"/>
  <c r="G770" i="9"/>
  <c r="G771" i="9"/>
  <c r="G772" i="9"/>
  <c r="G773" i="9"/>
  <c r="G774" i="9"/>
  <c r="G775" i="9"/>
  <c r="G776" i="9"/>
  <c r="G777" i="9"/>
  <c r="G778" i="9"/>
  <c r="G779" i="9"/>
  <c r="G780" i="9"/>
  <c r="G781" i="9"/>
  <c r="G782" i="9"/>
  <c r="G783" i="9"/>
  <c r="G784" i="9"/>
  <c r="G785" i="9"/>
  <c r="G786" i="9"/>
  <c r="G787" i="9"/>
  <c r="G788" i="9"/>
  <c r="G789" i="9"/>
  <c r="G790" i="9"/>
  <c r="G791" i="9"/>
  <c r="G792" i="9"/>
  <c r="G793" i="9"/>
  <c r="G794" i="9"/>
  <c r="G795" i="9"/>
  <c r="G796" i="9"/>
  <c r="G797" i="9"/>
  <c r="G798" i="9"/>
  <c r="G799" i="9"/>
  <c r="G800" i="9"/>
  <c r="G801" i="9"/>
  <c r="G802" i="9"/>
  <c r="G803" i="9"/>
  <c r="G804" i="9"/>
  <c r="G805" i="9"/>
  <c r="G806" i="9"/>
  <c r="G807" i="9"/>
  <c r="G808" i="9"/>
  <c r="G809" i="9"/>
  <c r="G810" i="9"/>
  <c r="G811" i="9"/>
  <c r="G812" i="9"/>
  <c r="G813" i="9"/>
  <c r="G814" i="9"/>
  <c r="G815" i="9"/>
  <c r="G816" i="9"/>
  <c r="G817" i="9"/>
  <c r="G818" i="9"/>
  <c r="G819" i="9"/>
  <c r="G820" i="9"/>
  <c r="G821" i="9"/>
  <c r="G822" i="9"/>
  <c r="G823" i="9"/>
  <c r="G824" i="9"/>
  <c r="G825" i="9"/>
  <c r="G826" i="9"/>
  <c r="G827" i="9"/>
  <c r="G828" i="9"/>
  <c r="G829" i="9"/>
  <c r="G830" i="9"/>
  <c r="G831" i="9"/>
  <c r="G832" i="9"/>
  <c r="G833" i="9"/>
  <c r="G834" i="9"/>
  <c r="G835" i="9"/>
  <c r="G836" i="9"/>
  <c r="G837" i="9"/>
  <c r="G838" i="9"/>
  <c r="G839" i="9"/>
  <c r="G840" i="9"/>
  <c r="G841" i="9"/>
  <c r="G842" i="9"/>
  <c r="G843" i="9"/>
  <c r="G844" i="9"/>
  <c r="G845" i="9"/>
  <c r="G846" i="9"/>
  <c r="G847" i="9"/>
  <c r="G848" i="9"/>
  <c r="G849" i="9"/>
  <c r="G850" i="9"/>
  <c r="G851" i="9"/>
  <c r="G852" i="9"/>
  <c r="G853" i="9"/>
  <c r="G854" i="9"/>
  <c r="G855" i="9"/>
  <c r="G856" i="9"/>
  <c r="G857" i="9"/>
  <c r="G858" i="9"/>
  <c r="G859" i="9"/>
  <c r="G860" i="9"/>
  <c r="G861" i="9"/>
  <c r="G862" i="9"/>
  <c r="G863" i="9"/>
  <c r="G864" i="9"/>
  <c r="G865" i="9"/>
  <c r="G866" i="9"/>
  <c r="G867" i="9"/>
  <c r="G868" i="9"/>
  <c r="G869" i="9"/>
  <c r="G870" i="9"/>
  <c r="G871" i="9"/>
  <c r="G872" i="9"/>
  <c r="G873" i="9"/>
  <c r="G874" i="9"/>
  <c r="G875" i="9"/>
  <c r="G876" i="9"/>
  <c r="G877" i="9"/>
  <c r="G878" i="9"/>
  <c r="G879" i="9"/>
  <c r="G880" i="9"/>
  <c r="G881" i="9"/>
  <c r="G882" i="9"/>
  <c r="G883" i="9"/>
  <c r="G884" i="9"/>
  <c r="G885" i="9"/>
  <c r="G886" i="9"/>
  <c r="G887" i="9"/>
  <c r="G888" i="9"/>
  <c r="G889" i="9"/>
  <c r="G890" i="9"/>
  <c r="G891" i="9"/>
  <c r="G892" i="9"/>
  <c r="G893" i="9"/>
  <c r="G894" i="9"/>
  <c r="G895" i="9"/>
  <c r="G896" i="9"/>
  <c r="G897" i="9"/>
  <c r="G898" i="9"/>
  <c r="G899" i="9"/>
  <c r="G900" i="9"/>
  <c r="G901" i="9"/>
  <c r="G902" i="9"/>
  <c r="G903" i="9"/>
  <c r="G904" i="9"/>
  <c r="G905" i="9"/>
  <c r="G906" i="9"/>
  <c r="G907" i="9"/>
  <c r="G908" i="9"/>
  <c r="G909" i="9"/>
  <c r="G910" i="9"/>
  <c r="G911" i="9"/>
  <c r="G912" i="9"/>
  <c r="G913" i="9"/>
  <c r="G914" i="9"/>
  <c r="G915" i="9"/>
  <c r="G916" i="9"/>
  <c r="G917" i="9"/>
  <c r="G918" i="9"/>
  <c r="G919" i="9"/>
  <c r="G920" i="9"/>
  <c r="G921" i="9"/>
  <c r="G922" i="9"/>
  <c r="G923" i="9"/>
  <c r="G924" i="9"/>
  <c r="G925" i="9"/>
  <c r="G926" i="9"/>
  <c r="G927" i="9"/>
  <c r="G928" i="9"/>
  <c r="G929" i="9"/>
  <c r="G930" i="9"/>
  <c r="G931" i="9"/>
  <c r="G932" i="9"/>
  <c r="G933" i="9"/>
  <c r="G934" i="9"/>
  <c r="G935" i="9"/>
  <c r="G936" i="9"/>
  <c r="G937" i="9"/>
  <c r="G938" i="9"/>
  <c r="G939" i="9"/>
  <c r="G940" i="9"/>
  <c r="G941" i="9"/>
  <c r="G942" i="9"/>
  <c r="G943" i="9"/>
  <c r="G944" i="9"/>
  <c r="G945" i="9"/>
  <c r="G946" i="9"/>
  <c r="G947" i="9"/>
  <c r="G948" i="9"/>
  <c r="G949" i="9"/>
  <c r="G950" i="9"/>
  <c r="G951" i="9"/>
  <c r="G952" i="9"/>
  <c r="G953" i="9"/>
  <c r="G954" i="9"/>
  <c r="G955" i="9"/>
  <c r="G956" i="9"/>
  <c r="G957" i="9"/>
  <c r="G958" i="9"/>
  <c r="G959" i="9"/>
  <c r="G960" i="9"/>
  <c r="G961" i="9"/>
  <c r="G962" i="9"/>
  <c r="G963" i="9"/>
  <c r="G964" i="9"/>
  <c r="G965" i="9"/>
  <c r="G966" i="9"/>
  <c r="G967" i="9"/>
  <c r="G968" i="9"/>
  <c r="G969" i="9"/>
  <c r="G970" i="9"/>
  <c r="G971" i="9"/>
  <c r="G972" i="9"/>
  <c r="G973" i="9"/>
  <c r="G974" i="9"/>
  <c r="G975" i="9"/>
  <c r="G976" i="9"/>
  <c r="G977" i="9"/>
  <c r="G978" i="9"/>
  <c r="G979" i="9"/>
  <c r="G980" i="9"/>
  <c r="G981" i="9"/>
  <c r="G982" i="9"/>
  <c r="G983" i="9"/>
  <c r="G984" i="9"/>
  <c r="G985" i="9"/>
  <c r="G986" i="9"/>
  <c r="G987" i="9"/>
  <c r="G988" i="9"/>
  <c r="G989" i="9"/>
  <c r="G990" i="9"/>
  <c r="G991" i="9"/>
  <c r="G992" i="9"/>
  <c r="G993" i="9"/>
  <c r="G994" i="9"/>
  <c r="G995" i="9"/>
  <c r="G996" i="9"/>
  <c r="G997" i="9"/>
  <c r="G998" i="9"/>
  <c r="G999" i="9"/>
  <c r="G1000" i="9"/>
  <c r="G1001" i="9"/>
  <c r="G1002" i="9"/>
  <c r="G1003" i="9"/>
  <c r="G1004" i="9"/>
  <c r="G1005" i="9"/>
  <c r="G1006" i="9"/>
  <c r="G1007" i="9"/>
  <c r="G1008" i="9"/>
  <c r="G1009" i="9"/>
  <c r="G1010" i="9"/>
  <c r="G1011" i="9"/>
  <c r="G1012" i="9"/>
  <c r="G1013" i="9"/>
  <c r="G1014" i="9"/>
  <c r="G1015" i="9"/>
  <c r="G1016" i="9"/>
  <c r="G1017" i="9"/>
  <c r="G1018" i="9"/>
  <c r="G1019" i="9"/>
  <c r="G1020" i="9"/>
  <c r="G1021" i="9"/>
  <c r="G1022" i="9"/>
  <c r="G1023" i="9"/>
  <c r="G1024" i="9"/>
  <c r="G1025" i="9"/>
  <c r="G1026" i="9"/>
  <c r="G1027" i="9"/>
  <c r="G1028" i="9"/>
  <c r="G1029" i="9"/>
  <c r="G1030" i="9"/>
  <c r="G1031" i="9"/>
  <c r="G1032" i="9"/>
  <c r="G1033" i="9"/>
  <c r="G1034" i="9"/>
  <c r="G1035" i="9"/>
  <c r="G1036" i="9"/>
  <c r="G1037" i="9"/>
  <c r="G1038" i="9"/>
  <c r="G1039" i="9"/>
  <c r="G1040" i="9"/>
  <c r="G1041" i="9"/>
  <c r="G1042" i="9"/>
  <c r="G1043" i="9"/>
  <c r="G1044" i="9"/>
  <c r="G1045" i="9"/>
  <c r="G1046" i="9"/>
  <c r="G1047" i="9"/>
  <c r="G1048" i="9"/>
  <c r="G1049" i="9"/>
  <c r="G1050" i="9"/>
  <c r="G1051" i="9"/>
  <c r="G1052" i="9"/>
  <c r="G1053" i="9"/>
  <c r="G1054" i="9"/>
  <c r="G1055" i="9"/>
  <c r="G1056" i="9"/>
  <c r="G1057" i="9"/>
  <c r="G1058" i="9"/>
  <c r="G1059" i="9"/>
  <c r="G1060" i="9"/>
  <c r="G1061" i="9"/>
  <c r="G1062" i="9"/>
  <c r="G1063" i="9"/>
  <c r="G1064" i="9"/>
  <c r="G1065" i="9"/>
  <c r="G1066" i="9"/>
  <c r="G1067" i="9"/>
  <c r="G1068" i="9"/>
  <c r="G1069" i="9"/>
  <c r="G1070" i="9"/>
  <c r="G1071" i="9"/>
  <c r="G1072" i="9"/>
  <c r="G1073" i="9"/>
  <c r="G1074" i="9"/>
  <c r="G1075" i="9"/>
  <c r="G1076" i="9"/>
  <c r="G1077" i="9"/>
  <c r="G1078" i="9"/>
  <c r="G1079" i="9"/>
  <c r="G1080" i="9"/>
  <c r="G1081" i="9"/>
  <c r="G1082" i="9"/>
  <c r="G1083" i="9"/>
  <c r="G1084" i="9"/>
  <c r="G1085" i="9"/>
  <c r="G1086" i="9"/>
  <c r="G1087" i="9"/>
  <c r="G1088" i="9"/>
  <c r="G1089" i="9"/>
  <c r="G1090" i="9"/>
  <c r="G1091" i="9"/>
  <c r="G1092" i="9"/>
  <c r="G1093" i="9"/>
  <c r="G1094" i="9"/>
  <c r="G1095" i="9"/>
  <c r="G1096" i="9"/>
  <c r="G1097" i="9"/>
  <c r="G1098" i="9"/>
  <c r="G1099" i="9"/>
  <c r="G1100" i="9"/>
  <c r="G1101" i="9"/>
  <c r="G1102" i="9"/>
  <c r="G1103" i="9"/>
  <c r="G1104" i="9"/>
  <c r="G1105" i="9"/>
  <c r="G1106" i="9"/>
  <c r="G1107" i="9"/>
  <c r="G1108" i="9"/>
  <c r="G1109" i="9"/>
  <c r="G1110" i="9"/>
  <c r="G1111" i="9"/>
  <c r="G1112" i="9"/>
  <c r="G1113" i="9"/>
  <c r="G1114" i="9"/>
  <c r="G1115" i="9"/>
  <c r="G1116" i="9"/>
  <c r="G1117" i="9"/>
  <c r="G1118" i="9"/>
  <c r="G1119" i="9"/>
  <c r="G1120" i="9"/>
  <c r="G1121" i="9"/>
  <c r="G1122" i="9"/>
  <c r="G1123" i="9"/>
  <c r="G1124" i="9"/>
  <c r="G1125" i="9"/>
  <c r="G1126" i="9"/>
  <c r="G1127" i="9"/>
  <c r="G1128" i="9"/>
  <c r="G1129" i="9"/>
  <c r="G1130" i="9"/>
  <c r="G1131" i="9"/>
  <c r="G1132" i="9"/>
  <c r="G1133" i="9"/>
  <c r="G1134" i="9"/>
  <c r="G1135" i="9"/>
  <c r="G1136" i="9"/>
  <c r="G1137" i="9"/>
  <c r="G1138" i="9"/>
  <c r="G1139" i="9"/>
  <c r="G1140" i="9"/>
  <c r="G1141" i="9"/>
  <c r="G1142" i="9"/>
  <c r="G1143" i="9"/>
  <c r="G1144" i="9"/>
  <c r="G1145" i="9"/>
  <c r="G1146" i="9"/>
  <c r="G1147" i="9"/>
  <c r="G1148" i="9"/>
  <c r="G1149" i="9"/>
  <c r="G1150" i="9"/>
  <c r="G1151" i="9"/>
  <c r="G1152" i="9"/>
  <c r="G1153" i="9"/>
  <c r="G1154" i="9"/>
  <c r="G1155" i="9"/>
  <c r="G1156" i="9"/>
  <c r="G1157" i="9"/>
  <c r="G1158" i="9"/>
  <c r="G1159" i="9"/>
  <c r="G1160" i="9"/>
  <c r="G1161" i="9"/>
  <c r="G1162" i="9"/>
  <c r="G1163" i="9"/>
  <c r="G1164" i="9"/>
  <c r="G1165" i="9"/>
  <c r="G1166" i="9"/>
  <c r="G1167" i="9"/>
  <c r="G1168" i="9"/>
  <c r="G1169" i="9"/>
  <c r="G1170" i="9"/>
  <c r="G1171" i="9"/>
  <c r="G1172" i="9"/>
  <c r="G1173" i="9"/>
  <c r="G1174" i="9"/>
  <c r="G1175" i="9"/>
  <c r="G1176" i="9"/>
  <c r="G1177" i="9"/>
  <c r="G1178" i="9"/>
  <c r="G1179" i="9"/>
  <c r="G1180" i="9"/>
  <c r="G1181" i="9"/>
  <c r="G1182" i="9"/>
  <c r="G1183" i="9"/>
  <c r="G1184" i="9"/>
  <c r="G1185" i="9"/>
  <c r="G1186" i="9"/>
  <c r="G1187" i="9"/>
  <c r="G1188" i="9"/>
  <c r="G1189" i="9"/>
  <c r="G1190" i="9"/>
  <c r="G1191" i="9"/>
  <c r="G1192" i="9"/>
  <c r="G1193" i="9"/>
  <c r="G1194" i="9"/>
  <c r="G1195" i="9"/>
  <c r="G1196" i="9"/>
  <c r="G1197" i="9"/>
  <c r="G1198" i="9"/>
  <c r="G1199" i="9"/>
  <c r="G1200" i="9"/>
  <c r="G1201" i="9"/>
  <c r="G1202" i="9"/>
  <c r="G1203" i="9"/>
  <c r="G1204" i="9"/>
  <c r="G1205" i="9"/>
  <c r="G1206" i="9"/>
  <c r="G1207" i="9"/>
  <c r="G1208" i="9"/>
  <c r="G1209" i="9"/>
  <c r="G1210" i="9"/>
  <c r="G1211" i="9"/>
  <c r="G1212" i="9"/>
  <c r="G1213" i="9"/>
  <c r="G1214" i="9"/>
  <c r="G1215" i="9"/>
  <c r="G1216" i="9"/>
  <c r="G1217" i="9"/>
  <c r="G1218" i="9"/>
  <c r="G1219" i="9"/>
  <c r="G1220" i="9"/>
  <c r="G1221" i="9"/>
  <c r="G1222" i="9"/>
  <c r="G1223" i="9"/>
  <c r="G1224" i="9"/>
  <c r="G1225" i="9"/>
  <c r="G1226" i="9"/>
  <c r="G1227" i="9"/>
  <c r="G1228" i="9"/>
  <c r="G1229" i="9"/>
  <c r="G1230" i="9"/>
  <c r="G1231" i="9"/>
  <c r="G1232" i="9"/>
  <c r="G1233" i="9"/>
  <c r="G1234" i="9"/>
  <c r="G1235" i="9"/>
  <c r="G1236" i="9"/>
  <c r="G1237" i="9"/>
  <c r="G1238" i="9"/>
  <c r="G1239" i="9"/>
  <c r="G1240" i="9"/>
  <c r="G1241" i="9"/>
  <c r="G1242" i="9"/>
  <c r="G1243" i="9"/>
  <c r="G1244" i="9"/>
  <c r="G1245" i="9"/>
  <c r="G1246" i="9"/>
  <c r="G1247" i="9"/>
  <c r="G1248" i="9"/>
  <c r="G1249" i="9"/>
  <c r="G1250" i="9"/>
  <c r="G1251" i="9"/>
  <c r="G1252" i="9"/>
  <c r="G1253" i="9"/>
  <c r="G1254" i="9"/>
  <c r="G1255" i="9"/>
  <c r="G1256" i="9"/>
  <c r="G1257" i="9"/>
  <c r="G1258" i="9"/>
  <c r="G1259" i="9"/>
  <c r="G1260" i="9"/>
  <c r="G1261" i="9"/>
  <c r="G1262" i="9"/>
  <c r="G1263" i="9"/>
  <c r="G1264" i="9"/>
  <c r="G1265" i="9"/>
  <c r="G1266" i="9"/>
  <c r="G1267" i="9"/>
  <c r="G1268" i="9"/>
  <c r="G1269" i="9"/>
  <c r="G1270" i="9"/>
  <c r="G1271" i="9"/>
  <c r="G1272" i="9"/>
  <c r="G1273" i="9"/>
  <c r="G1274" i="9"/>
  <c r="G1275" i="9"/>
  <c r="G1276" i="9"/>
  <c r="G1277" i="9"/>
  <c r="G1278" i="9"/>
  <c r="G1279" i="9"/>
  <c r="G1280" i="9"/>
  <c r="G1281" i="9"/>
  <c r="G1282" i="9"/>
  <c r="G1283" i="9"/>
  <c r="G1284" i="9"/>
  <c r="G1285" i="9"/>
  <c r="G1286" i="9"/>
  <c r="G1287" i="9"/>
  <c r="G1288" i="9"/>
  <c r="G1289" i="9"/>
  <c r="G1290" i="9"/>
  <c r="G1291" i="9"/>
  <c r="G1292" i="9"/>
  <c r="G1293" i="9"/>
  <c r="G1294" i="9"/>
  <c r="G1295" i="9"/>
  <c r="G1296" i="9"/>
  <c r="G1297" i="9"/>
  <c r="G1298" i="9"/>
  <c r="G1299" i="9"/>
  <c r="G1300" i="9"/>
  <c r="G1301" i="9"/>
  <c r="G1302" i="9"/>
  <c r="G1303" i="9"/>
  <c r="G1304" i="9"/>
  <c r="G1305" i="9"/>
  <c r="G1306" i="9"/>
  <c r="G1307" i="9"/>
  <c r="G1308" i="9"/>
  <c r="G1309" i="9"/>
  <c r="G1310" i="9"/>
  <c r="G1311" i="9"/>
  <c r="G1312" i="9"/>
  <c r="G1313" i="9"/>
  <c r="G1314" i="9"/>
  <c r="G1315" i="9"/>
  <c r="G1316" i="9"/>
  <c r="G1317" i="9"/>
  <c r="G1318" i="9"/>
  <c r="G1319" i="9"/>
  <c r="G1320" i="9"/>
  <c r="G1321" i="9"/>
  <c r="G1322" i="9"/>
  <c r="G1323" i="9"/>
  <c r="G1324" i="9"/>
  <c r="G1325" i="9"/>
  <c r="G1326" i="9"/>
  <c r="G1327" i="9"/>
  <c r="G1328" i="9"/>
  <c r="G1329" i="9"/>
  <c r="G1330" i="9"/>
  <c r="G1331" i="9"/>
  <c r="G1332" i="9"/>
  <c r="G1333" i="9"/>
  <c r="G1334" i="9"/>
  <c r="G1335" i="9"/>
  <c r="G1336" i="9"/>
  <c r="G1337" i="9"/>
  <c r="G1338" i="9"/>
  <c r="G1339" i="9"/>
  <c r="G1340" i="9"/>
  <c r="G1341" i="9"/>
  <c r="G1342" i="9"/>
  <c r="G1343" i="9"/>
  <c r="G1344" i="9"/>
  <c r="G1345" i="9"/>
  <c r="G1346" i="9"/>
  <c r="G1347" i="9"/>
  <c r="G1348" i="9"/>
  <c r="G1349" i="9"/>
  <c r="G1350" i="9"/>
  <c r="G1351" i="9"/>
  <c r="G1352" i="9"/>
  <c r="G1353" i="9"/>
  <c r="G1354" i="9"/>
  <c r="G1355" i="9"/>
  <c r="G1356" i="9"/>
  <c r="G1357" i="9"/>
  <c r="G1358" i="9"/>
  <c r="G1359" i="9"/>
  <c r="G1360" i="9"/>
  <c r="G1361" i="9"/>
  <c r="G1362" i="9"/>
  <c r="G1363" i="9"/>
  <c r="G1364" i="9"/>
  <c r="G1365" i="9"/>
  <c r="G1366" i="9"/>
  <c r="G1367" i="9"/>
  <c r="G1368" i="9"/>
  <c r="G1369" i="9"/>
  <c r="G1370" i="9"/>
  <c r="G1371" i="9"/>
  <c r="G1372" i="9"/>
  <c r="G1373" i="9"/>
  <c r="G1374" i="9"/>
  <c r="G1375" i="9"/>
  <c r="G1376" i="9"/>
  <c r="G1377" i="9"/>
  <c r="G1378" i="9"/>
  <c r="G1379" i="9"/>
  <c r="G1380" i="9"/>
  <c r="G1381" i="9"/>
  <c r="G1382" i="9"/>
  <c r="G1383" i="9"/>
  <c r="G1384" i="9"/>
  <c r="G1385" i="9"/>
  <c r="G1386" i="9"/>
  <c r="G1387" i="9"/>
  <c r="G1388" i="9"/>
  <c r="G1389" i="9"/>
  <c r="G1390" i="9"/>
  <c r="G1391" i="9"/>
  <c r="G1392" i="9"/>
  <c r="G1393" i="9"/>
  <c r="G1394" i="9"/>
  <c r="G1395" i="9"/>
  <c r="G1396" i="9"/>
  <c r="G1397" i="9"/>
  <c r="G1398" i="9"/>
  <c r="G1399" i="9"/>
  <c r="G1400" i="9"/>
  <c r="G1401" i="9"/>
  <c r="G1402" i="9"/>
  <c r="G1403" i="9"/>
  <c r="G1404" i="9"/>
  <c r="G1405" i="9"/>
  <c r="G1406" i="9"/>
  <c r="G1407" i="9"/>
  <c r="G1408" i="9"/>
  <c r="G1409" i="9"/>
  <c r="G1410" i="9"/>
  <c r="G1411" i="9"/>
  <c r="G1412" i="9"/>
  <c r="G1413" i="9"/>
  <c r="G1414" i="9"/>
  <c r="G1415" i="9"/>
  <c r="G1416" i="9"/>
  <c r="G1417" i="9"/>
  <c r="G1418" i="9"/>
  <c r="G1419" i="9"/>
  <c r="G1420" i="9"/>
  <c r="G1421" i="9"/>
  <c r="G1422" i="9"/>
  <c r="G1423" i="9"/>
  <c r="G1424" i="9"/>
  <c r="G1425" i="9"/>
  <c r="G1426" i="9"/>
  <c r="G1427" i="9"/>
  <c r="G1428" i="9"/>
  <c r="G1429" i="9"/>
  <c r="G1430" i="9"/>
  <c r="G1431" i="9"/>
  <c r="G1432" i="9"/>
  <c r="G1433" i="9"/>
  <c r="G1434" i="9"/>
  <c r="G1435" i="9"/>
  <c r="G1436" i="9"/>
  <c r="G1437" i="9"/>
  <c r="G1438" i="9"/>
  <c r="G1439" i="9"/>
  <c r="G1440" i="9"/>
  <c r="G1441" i="9"/>
  <c r="G1442" i="9"/>
  <c r="G1443" i="9"/>
  <c r="G1444" i="9"/>
  <c r="G1445" i="9"/>
  <c r="G1446" i="9"/>
  <c r="G1447" i="9"/>
  <c r="G1448" i="9"/>
  <c r="G1449" i="9"/>
  <c r="G1450" i="9"/>
  <c r="G1451" i="9"/>
  <c r="G1452" i="9"/>
  <c r="G1453" i="9"/>
  <c r="G1454" i="9"/>
  <c r="G1455" i="9"/>
  <c r="G1456" i="9"/>
  <c r="G1457" i="9"/>
  <c r="G1458" i="9"/>
  <c r="G1459" i="9"/>
  <c r="G1460" i="9"/>
  <c r="G1461" i="9"/>
  <c r="G1462" i="9"/>
  <c r="G1463" i="9"/>
  <c r="G1464" i="9"/>
  <c r="G1465" i="9"/>
  <c r="G1466" i="9"/>
  <c r="G1467" i="9"/>
  <c r="G1468" i="9"/>
  <c r="G1469" i="9"/>
  <c r="G1470" i="9"/>
  <c r="G1471" i="9"/>
  <c r="G1472" i="9"/>
  <c r="G1473" i="9"/>
  <c r="G1474" i="9"/>
  <c r="G1475" i="9"/>
  <c r="G1476" i="9"/>
  <c r="G1477" i="9"/>
  <c r="G1478" i="9"/>
  <c r="G1479" i="9"/>
  <c r="G1480" i="9"/>
  <c r="G1481" i="9"/>
  <c r="G1482" i="9"/>
  <c r="G1483" i="9"/>
  <c r="G1484" i="9"/>
  <c r="G1485" i="9"/>
  <c r="G1486" i="9"/>
  <c r="G1487" i="9"/>
  <c r="G1488" i="9"/>
  <c r="G1489" i="9"/>
  <c r="G1490" i="9"/>
  <c r="G1491" i="9"/>
  <c r="G1492" i="9"/>
  <c r="G1493" i="9"/>
  <c r="G1494" i="9"/>
  <c r="G1495" i="9"/>
  <c r="G1496" i="9"/>
  <c r="G1497" i="9"/>
  <c r="G1498" i="9"/>
  <c r="G1499" i="9"/>
  <c r="G1500" i="9"/>
  <c r="G1501" i="9"/>
  <c r="G1502" i="9"/>
  <c r="G1503" i="9"/>
  <c r="G1504" i="9"/>
  <c r="G1505" i="9"/>
  <c r="G1506" i="9"/>
  <c r="G1507" i="9"/>
  <c r="G1508" i="9"/>
  <c r="G1509" i="9"/>
  <c r="G1510" i="9"/>
  <c r="G1511" i="9"/>
  <c r="G1512" i="9"/>
  <c r="G1513" i="9"/>
  <c r="G1514" i="9"/>
  <c r="G1515" i="9"/>
  <c r="G1516" i="9"/>
  <c r="G1517" i="9"/>
  <c r="G1518" i="9"/>
  <c r="G1519" i="9"/>
  <c r="G1520" i="9"/>
  <c r="G1521" i="9"/>
  <c r="G1522" i="9"/>
  <c r="G1523" i="9"/>
  <c r="G1524" i="9"/>
  <c r="G1525" i="9"/>
  <c r="G1526" i="9"/>
  <c r="G1527" i="9"/>
  <c r="G1528" i="9"/>
  <c r="G1529" i="9"/>
  <c r="G1530" i="9"/>
  <c r="G1531" i="9"/>
  <c r="G1532" i="9"/>
  <c r="G1533" i="9"/>
  <c r="G1534" i="9"/>
  <c r="G1535" i="9"/>
  <c r="G1536" i="9"/>
  <c r="G1537" i="9"/>
  <c r="G1538" i="9"/>
  <c r="G1539" i="9"/>
  <c r="G1540" i="9"/>
  <c r="G1541" i="9"/>
  <c r="G1542" i="9"/>
  <c r="G1543" i="9"/>
  <c r="G1544" i="9"/>
  <c r="G1545" i="9"/>
  <c r="G1546" i="9"/>
  <c r="G1547" i="9"/>
  <c r="G1548" i="9"/>
  <c r="G1549" i="9"/>
  <c r="G1550" i="9"/>
  <c r="G1551" i="9"/>
  <c r="G1552" i="9"/>
  <c r="G1553" i="9"/>
  <c r="G1554" i="9"/>
  <c r="G1555" i="9"/>
  <c r="G1556" i="9"/>
  <c r="G1557" i="9"/>
  <c r="G1558" i="9"/>
  <c r="G1559" i="9"/>
  <c r="G1560" i="9"/>
  <c r="G1561" i="9"/>
  <c r="G1562" i="9"/>
  <c r="G1563" i="9"/>
  <c r="G1564" i="9"/>
  <c r="G1565" i="9"/>
  <c r="G1566" i="9"/>
  <c r="G1567" i="9"/>
  <c r="G1568" i="9"/>
  <c r="G1569" i="9"/>
  <c r="G1570" i="9"/>
  <c r="G1571" i="9"/>
  <c r="G1572" i="9"/>
  <c r="G1573" i="9"/>
  <c r="G1574" i="9"/>
  <c r="G1575" i="9"/>
  <c r="G1576" i="9"/>
  <c r="G1577" i="9"/>
  <c r="G1578" i="9"/>
  <c r="G1579" i="9"/>
  <c r="G1580" i="9"/>
  <c r="G1581" i="9"/>
  <c r="G1582" i="9"/>
  <c r="G1583" i="9"/>
  <c r="G1584" i="9"/>
  <c r="G1585" i="9"/>
  <c r="G1586" i="9"/>
  <c r="G1587" i="9"/>
  <c r="G1588" i="9"/>
  <c r="G1589" i="9"/>
  <c r="G1590" i="9"/>
  <c r="G1591" i="9"/>
  <c r="G1592" i="9"/>
  <c r="G1593" i="9"/>
  <c r="G1594" i="9"/>
  <c r="G1595" i="9"/>
  <c r="G1596" i="9"/>
  <c r="G1597" i="9"/>
  <c r="G1598" i="9"/>
  <c r="G1599" i="9"/>
  <c r="G1600" i="9"/>
  <c r="G1601" i="9"/>
  <c r="G1602" i="9"/>
  <c r="G1603" i="9"/>
  <c r="G1604" i="9"/>
  <c r="G1605" i="9"/>
  <c r="G1606" i="9"/>
  <c r="G1607" i="9"/>
  <c r="G1608" i="9"/>
  <c r="G1609" i="9"/>
  <c r="G1610" i="9"/>
  <c r="G1611" i="9"/>
  <c r="G1612" i="9"/>
  <c r="G1613" i="9"/>
  <c r="G1614" i="9"/>
  <c r="G1615" i="9"/>
  <c r="G1616" i="9"/>
  <c r="G1617" i="9"/>
  <c r="G1618" i="9"/>
  <c r="G1619" i="9"/>
  <c r="G1620" i="9"/>
  <c r="G1621" i="9"/>
  <c r="G1622" i="9"/>
  <c r="G1623" i="9"/>
  <c r="G1624" i="9"/>
  <c r="G1625" i="9"/>
  <c r="G1626" i="9"/>
  <c r="G1627" i="9"/>
  <c r="G1628" i="9"/>
  <c r="G1629" i="9"/>
  <c r="G1630" i="9"/>
  <c r="G1631" i="9"/>
  <c r="G1632" i="9"/>
  <c r="G1633" i="9"/>
  <c r="G1634" i="9"/>
  <c r="G1635" i="9"/>
  <c r="G1636" i="9"/>
  <c r="G1637" i="9"/>
  <c r="G1638" i="9"/>
  <c r="G1639" i="9"/>
  <c r="G1640" i="9"/>
  <c r="G1641" i="9"/>
  <c r="G1642" i="9"/>
  <c r="G1643" i="9"/>
  <c r="G1644" i="9"/>
  <c r="G1645" i="9"/>
  <c r="G1646" i="9"/>
  <c r="G1647" i="9"/>
  <c r="G1648" i="9"/>
  <c r="G1649" i="9"/>
  <c r="G1650" i="9"/>
  <c r="G1651" i="9"/>
  <c r="G1652" i="9"/>
  <c r="G1653" i="9"/>
  <c r="G1654" i="9"/>
  <c r="G1655" i="9"/>
  <c r="G1656" i="9"/>
  <c r="G1657" i="9"/>
  <c r="G1658" i="9"/>
  <c r="G1659" i="9"/>
  <c r="G1660" i="9"/>
  <c r="G1661" i="9"/>
  <c r="G1662" i="9"/>
  <c r="G1663" i="9"/>
  <c r="G1664" i="9"/>
  <c r="G1665" i="9"/>
  <c r="G1666" i="9"/>
  <c r="G1667" i="9"/>
  <c r="G1668" i="9"/>
  <c r="G1669" i="9"/>
  <c r="G1670" i="9"/>
  <c r="G1671" i="9"/>
  <c r="G1672" i="9"/>
  <c r="G1673" i="9"/>
  <c r="G1674" i="9"/>
  <c r="G1675" i="9"/>
  <c r="G1676" i="9"/>
  <c r="G1677" i="9"/>
  <c r="G1678" i="9"/>
  <c r="G1679" i="9"/>
  <c r="G1680" i="9"/>
  <c r="G1681" i="9"/>
  <c r="G1682" i="9"/>
  <c r="G1683" i="9"/>
  <c r="G1684" i="9"/>
  <c r="G1685" i="9"/>
  <c r="G1686" i="9"/>
  <c r="G1687" i="9"/>
  <c r="G1688" i="9"/>
  <c r="G1689" i="9"/>
  <c r="G1690" i="9"/>
  <c r="G1691" i="9"/>
  <c r="G1692" i="9"/>
  <c r="G1693" i="9"/>
  <c r="G1694" i="9"/>
  <c r="G1695" i="9"/>
  <c r="G1696" i="9"/>
  <c r="G1697" i="9"/>
  <c r="G1698" i="9"/>
  <c r="G1699" i="9"/>
  <c r="G1700" i="9"/>
  <c r="G1701" i="9"/>
  <c r="G1702" i="9"/>
  <c r="G1703" i="9"/>
  <c r="G1704" i="9"/>
  <c r="G1705" i="9"/>
  <c r="G1706" i="9"/>
  <c r="G1707" i="9"/>
  <c r="G1708" i="9"/>
  <c r="G1709" i="9"/>
  <c r="G1710" i="9"/>
  <c r="G1711" i="9"/>
  <c r="G1712" i="9"/>
  <c r="G1713" i="9"/>
  <c r="G1714" i="9"/>
  <c r="G1715" i="9"/>
  <c r="G1716" i="9"/>
  <c r="G1717" i="9"/>
  <c r="G1718" i="9"/>
  <c r="G1719" i="9"/>
  <c r="G1720" i="9"/>
  <c r="G1721" i="9"/>
  <c r="G1722" i="9"/>
  <c r="G1723" i="9"/>
  <c r="G1724" i="9"/>
  <c r="G1725" i="9"/>
  <c r="G1726" i="9"/>
  <c r="G1727" i="9"/>
  <c r="G1728" i="9"/>
  <c r="G1729" i="9"/>
  <c r="G1730" i="9"/>
  <c r="G1731" i="9"/>
  <c r="G1732" i="9"/>
  <c r="G1733" i="9"/>
  <c r="G1734" i="9"/>
  <c r="G1735" i="9"/>
  <c r="G1736" i="9"/>
  <c r="G1737" i="9"/>
  <c r="G1738" i="9"/>
  <c r="G1739" i="9"/>
  <c r="G1740" i="9"/>
  <c r="G1741" i="9"/>
  <c r="G1742" i="9"/>
  <c r="G1743" i="9"/>
  <c r="G1744" i="9"/>
  <c r="G1745" i="9"/>
  <c r="G1746" i="9"/>
  <c r="G1747" i="9"/>
  <c r="G1748" i="9"/>
  <c r="G1749" i="9"/>
  <c r="G1750" i="9"/>
  <c r="G1751" i="9"/>
  <c r="G1752" i="9"/>
  <c r="G1753" i="9"/>
  <c r="G1754" i="9"/>
  <c r="G1755" i="9"/>
  <c r="G1756" i="9"/>
  <c r="G1757" i="9"/>
  <c r="G1758" i="9"/>
  <c r="G1759" i="9"/>
  <c r="G1760" i="9"/>
  <c r="G1761" i="9"/>
  <c r="G1762" i="9"/>
  <c r="G1763" i="9"/>
  <c r="G1764" i="9"/>
  <c r="G1765" i="9"/>
  <c r="G1766" i="9"/>
  <c r="G1767" i="9"/>
  <c r="G1768" i="9"/>
  <c r="G1769" i="9"/>
  <c r="G1770" i="9"/>
  <c r="G1771" i="9"/>
  <c r="G1772" i="9"/>
  <c r="G1773" i="9"/>
  <c r="G1774" i="9"/>
  <c r="G1775" i="9"/>
  <c r="G1776" i="9"/>
  <c r="G1777" i="9"/>
  <c r="G1778" i="9"/>
  <c r="G1779" i="9"/>
  <c r="G1780" i="9"/>
  <c r="G1781" i="9"/>
  <c r="G1782" i="9"/>
  <c r="G1783" i="9"/>
  <c r="G1784" i="9"/>
  <c r="G1785" i="9"/>
  <c r="G1786" i="9"/>
  <c r="G1787" i="9"/>
  <c r="G1788" i="9"/>
  <c r="G1789" i="9"/>
  <c r="G1790" i="9"/>
  <c r="G1791" i="9"/>
  <c r="G1792" i="9"/>
  <c r="G1793" i="9"/>
  <c r="G1794" i="9"/>
  <c r="G1795" i="9"/>
  <c r="G1796" i="9"/>
  <c r="G1797" i="9"/>
  <c r="G1798" i="9"/>
  <c r="G1799" i="9"/>
  <c r="G1800" i="9"/>
  <c r="G1801" i="9"/>
  <c r="G1802" i="9"/>
  <c r="G1803" i="9"/>
  <c r="G1804" i="9"/>
  <c r="G1805" i="9"/>
  <c r="G1806" i="9"/>
  <c r="G1807" i="9"/>
  <c r="G1808" i="9"/>
  <c r="G1809" i="9"/>
  <c r="G1810" i="9"/>
  <c r="G1811" i="9"/>
  <c r="G1812" i="9"/>
  <c r="G1813" i="9"/>
  <c r="G1814" i="9"/>
  <c r="G1815" i="9"/>
  <c r="G1816" i="9"/>
  <c r="G1817" i="9"/>
  <c r="G1818" i="9"/>
  <c r="G1819" i="9"/>
  <c r="G1820" i="9"/>
  <c r="G1821" i="9"/>
  <c r="G1822" i="9"/>
  <c r="G1823" i="9"/>
  <c r="G1824" i="9"/>
  <c r="G1825" i="9"/>
  <c r="G1826" i="9"/>
  <c r="G1827" i="9"/>
  <c r="G1828" i="9"/>
  <c r="G1829" i="9"/>
  <c r="G1830" i="9"/>
  <c r="G1831" i="9"/>
  <c r="G1832" i="9"/>
  <c r="G1833" i="9"/>
  <c r="G1834" i="9"/>
  <c r="G1835" i="9"/>
  <c r="G1836" i="9"/>
  <c r="G1837" i="9"/>
  <c r="G1838" i="9"/>
  <c r="G1839" i="9"/>
  <c r="G1840" i="9"/>
  <c r="G1841" i="9"/>
  <c r="G1842" i="9"/>
  <c r="G1843" i="9"/>
  <c r="G1844" i="9"/>
  <c r="G1845" i="9"/>
  <c r="G1846" i="9"/>
  <c r="G1847" i="9"/>
  <c r="G1848" i="9"/>
  <c r="G1849" i="9"/>
  <c r="G1850" i="9"/>
  <c r="G1851" i="9"/>
  <c r="G1852" i="9"/>
  <c r="G1853" i="9"/>
  <c r="D178" i="9" l="1"/>
  <c r="R14" i="4"/>
  <c r="R15" i="4"/>
  <c r="R16" i="4"/>
  <c r="R17" i="4"/>
  <c r="R18" i="4"/>
  <c r="R19" i="4"/>
  <c r="R20" i="4"/>
  <c r="R21" i="4"/>
  <c r="R22" i="4"/>
  <c r="R23" i="4"/>
  <c r="R24" i="4"/>
  <c r="R25" i="4"/>
  <c r="R26" i="4"/>
  <c r="R27" i="4"/>
  <c r="R28" i="4"/>
  <c r="R29" i="4"/>
  <c r="R30" i="4"/>
  <c r="R31" i="4"/>
  <c r="R32" i="4"/>
  <c r="R33" i="4"/>
  <c r="R34" i="4"/>
  <c r="R35" i="4"/>
  <c r="R36" i="4"/>
  <c r="R37" i="4"/>
  <c r="R38" i="4"/>
  <c r="R39" i="4"/>
  <c r="R40" i="4"/>
  <c r="R41" i="4"/>
  <c r="R42" i="4"/>
  <c r="R43" i="4"/>
  <c r="R44" i="4"/>
  <c r="R45" i="4"/>
  <c r="R46" i="4"/>
  <c r="R47" i="4"/>
  <c r="R48" i="4"/>
  <c r="R49" i="4"/>
  <c r="R50" i="4"/>
  <c r="R51" i="4"/>
  <c r="R52" i="4"/>
  <c r="R13" i="4"/>
  <c r="AD15" i="8"/>
  <c r="AE15" i="8" s="1"/>
  <c r="AE14" i="8" s="1"/>
  <c r="AD57" i="8"/>
  <c r="AE57" i="8" s="1"/>
  <c r="AD54" i="8"/>
  <c r="AE54" i="8" s="1"/>
  <c r="AD51" i="8"/>
  <c r="AE51" i="8" s="1"/>
  <c r="AD48" i="8"/>
  <c r="AE48" i="8" s="1"/>
  <c r="AD45" i="8"/>
  <c r="AE45" i="8" s="1"/>
  <c r="AD42" i="8"/>
  <c r="AE42" i="8" s="1"/>
  <c r="AD39" i="8"/>
  <c r="AE39" i="8" s="1"/>
  <c r="AD36" i="8"/>
  <c r="AE36" i="8" s="1"/>
  <c r="AD33" i="8"/>
  <c r="AE33" i="8" s="1"/>
  <c r="AD30" i="8"/>
  <c r="AE30" i="8" s="1"/>
  <c r="AD27" i="8"/>
  <c r="AE27" i="8" s="1"/>
  <c r="AD24" i="8"/>
  <c r="AE24" i="8" s="1"/>
  <c r="AD21" i="8"/>
  <c r="AE21" i="8" s="1"/>
  <c r="AD18" i="8"/>
  <c r="AE18" i="8" s="1"/>
  <c r="G58" i="7"/>
  <c r="G52" i="7"/>
  <c r="D54" i="8" l="1"/>
  <c r="D130" i="9"/>
  <c r="Q54" i="8"/>
  <c r="P54" i="8"/>
  <c r="O54" i="8"/>
  <c r="N54" i="8"/>
  <c r="M54" i="8"/>
  <c r="L54" i="8"/>
  <c r="K54" i="8"/>
  <c r="J54" i="8"/>
  <c r="I54" i="8"/>
  <c r="H54" i="8"/>
  <c r="G54" i="8"/>
  <c r="F54" i="8"/>
  <c r="E54" i="8"/>
  <c r="BC38" i="19"/>
  <c r="BB39" i="19"/>
  <c r="BC39" i="19"/>
  <c r="BB38" i="19"/>
  <c r="BF13" i="19"/>
  <c r="BF14" i="19"/>
  <c r="BF15" i="19"/>
  <c r="BF16" i="19"/>
  <c r="BF17" i="19"/>
  <c r="BF18" i="19"/>
  <c r="BF19" i="19"/>
  <c r="BF20" i="19"/>
  <c r="BF21" i="19"/>
  <c r="BF22" i="19"/>
  <c r="BF23" i="19"/>
  <c r="BF24" i="19"/>
  <c r="BF25" i="19"/>
  <c r="BF26" i="19"/>
  <c r="BF27" i="19"/>
  <c r="BF28" i="19"/>
  <c r="BF29" i="19"/>
  <c r="BF30" i="19"/>
  <c r="BF31" i="19"/>
  <c r="BF32" i="19"/>
  <c r="BF33" i="19"/>
  <c r="BF34" i="19"/>
  <c r="BF35" i="19"/>
  <c r="D173" i="9"/>
  <c r="D169" i="9"/>
  <c r="D136" i="9"/>
  <c r="D135" i="9"/>
  <c r="E122" i="9"/>
  <c r="C22" i="8" l="1"/>
  <c r="D179" i="9"/>
  <c r="D37" i="9"/>
  <c r="D39" i="9" s="1"/>
  <c r="D36" i="9"/>
  <c r="D38" i="9" s="1"/>
  <c r="D32" i="9"/>
  <c r="E97" i="9"/>
  <c r="D97" i="9"/>
  <c r="E71" i="9"/>
  <c r="F71" i="9"/>
  <c r="G71" i="9"/>
  <c r="H71" i="9"/>
  <c r="I71" i="9"/>
  <c r="J71" i="9"/>
  <c r="K71" i="9"/>
  <c r="L71" i="9"/>
  <c r="M71" i="9"/>
  <c r="N71" i="9"/>
  <c r="O71" i="9"/>
  <c r="P71" i="9"/>
  <c r="Q71" i="9"/>
  <c r="R71" i="9"/>
  <c r="S71" i="9"/>
  <c r="T71" i="9"/>
  <c r="U71" i="9"/>
  <c r="V71" i="9"/>
  <c r="W71" i="9"/>
  <c r="X71" i="9"/>
  <c r="Y71" i="9"/>
  <c r="Z71" i="9"/>
  <c r="AA71" i="9"/>
  <c r="AB71" i="9"/>
  <c r="AC71" i="9"/>
  <c r="AD71" i="9"/>
  <c r="AE71" i="9"/>
  <c r="AF71" i="9"/>
  <c r="AG71" i="9"/>
  <c r="D71" i="9"/>
  <c r="D22" i="9" l="1"/>
  <c r="C27" i="8"/>
  <c r="C29" i="8" s="1"/>
  <c r="C23" i="8"/>
  <c r="D33" i="9"/>
  <c r="D40" i="9"/>
  <c r="D42" i="9" l="1"/>
  <c r="D41" i="9"/>
  <c r="D131" i="9"/>
  <c r="D144" i="9"/>
  <c r="D96" i="9" l="1"/>
  <c r="D85" i="9"/>
  <c r="D81" i="9"/>
  <c r="E96" i="9"/>
  <c r="E85" i="9"/>
  <c r="E81" i="9"/>
  <c r="E70" i="9"/>
  <c r="F70" i="9"/>
  <c r="G70" i="9"/>
  <c r="H70" i="9"/>
  <c r="I70" i="9"/>
  <c r="J70" i="9"/>
  <c r="K70" i="9"/>
  <c r="L70" i="9"/>
  <c r="M70" i="9"/>
  <c r="N70" i="9"/>
  <c r="O70" i="9"/>
  <c r="P70" i="9"/>
  <c r="Q70" i="9"/>
  <c r="R70" i="9"/>
  <c r="S70" i="9"/>
  <c r="T70" i="9"/>
  <c r="U70" i="9"/>
  <c r="V70" i="9"/>
  <c r="W70" i="9"/>
  <c r="X70" i="9"/>
  <c r="Y70" i="9"/>
  <c r="Z70" i="9"/>
  <c r="AA70" i="9"/>
  <c r="AB70" i="9"/>
  <c r="AC70" i="9"/>
  <c r="AD70" i="9"/>
  <c r="AE70" i="9"/>
  <c r="AF70" i="9"/>
  <c r="AG70" i="9"/>
  <c r="D70" i="9"/>
  <c r="H59" i="9"/>
  <c r="E59" i="9"/>
  <c r="F59" i="9"/>
  <c r="G59" i="9"/>
  <c r="I59" i="9"/>
  <c r="J59" i="9"/>
  <c r="K59" i="9"/>
  <c r="L59" i="9"/>
  <c r="M59" i="9"/>
  <c r="N59" i="9"/>
  <c r="O59" i="9"/>
  <c r="P59" i="9"/>
  <c r="Q59" i="9"/>
  <c r="R59" i="9"/>
  <c r="S59" i="9"/>
  <c r="T59" i="9"/>
  <c r="U59" i="9"/>
  <c r="V59" i="9"/>
  <c r="W59" i="9"/>
  <c r="X59" i="9"/>
  <c r="Y59" i="9"/>
  <c r="Z59" i="9"/>
  <c r="AA59" i="9"/>
  <c r="AB59" i="9"/>
  <c r="AC59" i="9"/>
  <c r="AD59" i="9"/>
  <c r="AE59" i="9"/>
  <c r="AF59" i="9"/>
  <c r="AG59" i="9"/>
  <c r="D59" i="9"/>
  <c r="AG55" i="9"/>
  <c r="E55" i="9"/>
  <c r="F55" i="9"/>
  <c r="G55" i="9"/>
  <c r="H55" i="9"/>
  <c r="I55" i="9"/>
  <c r="J55" i="9"/>
  <c r="K55" i="9"/>
  <c r="L55" i="9"/>
  <c r="M55" i="9"/>
  <c r="N55" i="9"/>
  <c r="O55" i="9"/>
  <c r="P55" i="9"/>
  <c r="Q55" i="9"/>
  <c r="R55" i="9"/>
  <c r="S55" i="9"/>
  <c r="T55" i="9"/>
  <c r="U55" i="9"/>
  <c r="V55" i="9"/>
  <c r="W55" i="9"/>
  <c r="X55" i="9"/>
  <c r="Y55" i="9"/>
  <c r="Y69" i="9" s="1"/>
  <c r="Z55" i="9"/>
  <c r="AA55" i="9"/>
  <c r="AB55" i="9"/>
  <c r="AC55" i="9"/>
  <c r="AD55" i="9"/>
  <c r="AE55" i="9"/>
  <c r="AF55" i="9"/>
  <c r="D55" i="9"/>
  <c r="E49" i="9"/>
  <c r="F49" i="9"/>
  <c r="G49" i="9"/>
  <c r="H49" i="9"/>
  <c r="I49" i="9"/>
  <c r="J49" i="9"/>
  <c r="K49" i="9"/>
  <c r="L49" i="9"/>
  <c r="M49" i="9"/>
  <c r="N49" i="9"/>
  <c r="O49" i="9"/>
  <c r="P49" i="9"/>
  <c r="Q49" i="9"/>
  <c r="R49" i="9"/>
  <c r="S49" i="9"/>
  <c r="T49" i="9"/>
  <c r="U49" i="9"/>
  <c r="V49" i="9"/>
  <c r="W49" i="9"/>
  <c r="X49" i="9"/>
  <c r="Y49" i="9"/>
  <c r="Z49" i="9"/>
  <c r="AA49" i="9"/>
  <c r="AB49" i="9"/>
  <c r="AC49" i="9"/>
  <c r="AD49" i="9"/>
  <c r="AE49" i="9"/>
  <c r="AF49" i="9"/>
  <c r="AG49" i="9"/>
  <c r="D49" i="9"/>
  <c r="E32" i="9"/>
  <c r="F32" i="9"/>
  <c r="G32" i="9"/>
  <c r="H32" i="9"/>
  <c r="I32" i="9"/>
  <c r="J32" i="9"/>
  <c r="K32" i="9"/>
  <c r="L32" i="9"/>
  <c r="M32" i="9"/>
  <c r="N32" i="9"/>
  <c r="O32" i="9"/>
  <c r="P32" i="9"/>
  <c r="Q32" i="9"/>
  <c r="AD69" i="9" l="1"/>
  <c r="Z69" i="9"/>
  <c r="V69" i="9"/>
  <c r="R69" i="9"/>
  <c r="R72" i="9" s="1"/>
  <c r="R73" i="9" s="1"/>
  <c r="AE69" i="9"/>
  <c r="AA69" i="9"/>
  <c r="W69" i="9"/>
  <c r="S69" i="9"/>
  <c r="S72" i="9" s="1"/>
  <c r="S73" i="9" s="1"/>
  <c r="AC69" i="9"/>
  <c r="U69" i="9"/>
  <c r="AF69" i="9"/>
  <c r="AB69" i="9"/>
  <c r="AB72" i="9" s="1"/>
  <c r="AB73" i="9" s="1"/>
  <c r="X69" i="9"/>
  <c r="X72" i="9" s="1"/>
  <c r="X73" i="9" s="1"/>
  <c r="T69" i="9"/>
  <c r="T72" i="9" s="1"/>
  <c r="T73" i="9" s="1"/>
  <c r="AG69" i="9"/>
  <c r="K69" i="9"/>
  <c r="K72" i="9" s="1"/>
  <c r="K73" i="9" s="1"/>
  <c r="O69" i="9"/>
  <c r="O72" i="9" s="1"/>
  <c r="O73" i="9" s="1"/>
  <c r="P69" i="9"/>
  <c r="Q69" i="9"/>
  <c r="Q72" i="9" s="1"/>
  <c r="Q73" i="9" s="1"/>
  <c r="M69" i="9"/>
  <c r="M72" i="9" s="1"/>
  <c r="M73" i="9" s="1"/>
  <c r="L69" i="9"/>
  <c r="L72" i="9" s="1"/>
  <c r="L73" i="9" s="1"/>
  <c r="N69" i="9"/>
  <c r="N72" i="9" s="1"/>
  <c r="N73" i="9" s="1"/>
  <c r="E33" i="9"/>
  <c r="L427" i="9"/>
  <c r="L443" i="9"/>
  <c r="L459" i="9"/>
  <c r="L475" i="9"/>
  <c r="L491" i="9"/>
  <c r="L507" i="9"/>
  <c r="L523" i="9"/>
  <c r="L539" i="9"/>
  <c r="L555" i="9"/>
  <c r="L571" i="9"/>
  <c r="L587" i="9"/>
  <c r="L603" i="9"/>
  <c r="L619" i="9"/>
  <c r="L635" i="9"/>
  <c r="L651" i="9"/>
  <c r="L667" i="9"/>
  <c r="L683" i="9"/>
  <c r="L699" i="9"/>
  <c r="L715" i="9"/>
  <c r="L731" i="9"/>
  <c r="L747" i="9"/>
  <c r="L428" i="9"/>
  <c r="L449" i="9"/>
  <c r="L470" i="9"/>
  <c r="L492" i="9"/>
  <c r="L513" i="9"/>
  <c r="L534" i="9"/>
  <c r="L556" i="9"/>
  <c r="L577" i="9"/>
  <c r="L598" i="9"/>
  <c r="L620" i="9"/>
  <c r="L641" i="9"/>
  <c r="L662" i="9"/>
  <c r="L684" i="9"/>
  <c r="L705" i="9"/>
  <c r="L726" i="9"/>
  <c r="L748" i="9"/>
  <c r="L765" i="9"/>
  <c r="L781" i="9"/>
  <c r="L797" i="9"/>
  <c r="L813" i="9"/>
  <c r="L829" i="9"/>
  <c r="L421" i="9"/>
  <c r="L442" i="9"/>
  <c r="L464" i="9"/>
  <c r="L485" i="9"/>
  <c r="L506" i="9"/>
  <c r="L528" i="9"/>
  <c r="L549" i="9"/>
  <c r="L570" i="9"/>
  <c r="L592" i="9"/>
  <c r="L613" i="9"/>
  <c r="L634" i="9"/>
  <c r="L656" i="9"/>
  <c r="L677" i="9"/>
  <c r="L698" i="9"/>
  <c r="L720" i="9"/>
  <c r="L741" i="9"/>
  <c r="L760" i="9"/>
  <c r="L776" i="9"/>
  <c r="L792" i="9"/>
  <c r="L808" i="9"/>
  <c r="L824" i="9"/>
  <c r="L840" i="9"/>
  <c r="L856" i="9"/>
  <c r="L872" i="9"/>
  <c r="L888" i="9"/>
  <c r="L441" i="9"/>
  <c r="L484" i="9"/>
  <c r="L526" i="9"/>
  <c r="L569" i="9"/>
  <c r="L612" i="9"/>
  <c r="L654" i="9"/>
  <c r="L697" i="9"/>
  <c r="L740" i="9"/>
  <c r="L775" i="9"/>
  <c r="L807" i="9"/>
  <c r="L839" i="9"/>
  <c r="L861" i="9"/>
  <c r="L882" i="9"/>
  <c r="L434" i="9"/>
  <c r="L477" i="9"/>
  <c r="L520" i="9"/>
  <c r="L562" i="9"/>
  <c r="L605" i="9"/>
  <c r="L648" i="9"/>
  <c r="L690" i="9"/>
  <c r="L733" i="9"/>
  <c r="L770" i="9"/>
  <c r="L802" i="9"/>
  <c r="L834" i="9"/>
  <c r="L857" i="9"/>
  <c r="L878" i="9"/>
  <c r="L418" i="9"/>
  <c r="L461" i="9"/>
  <c r="L504" i="9"/>
  <c r="L546" i="9"/>
  <c r="L589" i="9"/>
  <c r="L632" i="9"/>
  <c r="L674" i="9"/>
  <c r="L717" i="9"/>
  <c r="L758" i="9"/>
  <c r="L790" i="9"/>
  <c r="L822" i="9"/>
  <c r="L849" i="9"/>
  <c r="L870" i="9"/>
  <c r="L891" i="9"/>
  <c r="F428" i="9"/>
  <c r="F444" i="9"/>
  <c r="F460" i="9"/>
  <c r="F476" i="9"/>
  <c r="F492" i="9"/>
  <c r="F508" i="9"/>
  <c r="F524" i="9"/>
  <c r="F540" i="9"/>
  <c r="F556" i="9"/>
  <c r="F572" i="9"/>
  <c r="F588" i="9"/>
  <c r="F604" i="9"/>
  <c r="F620" i="9"/>
  <c r="F636" i="9"/>
  <c r="F652" i="9"/>
  <c r="F668" i="9"/>
  <c r="F684" i="9"/>
  <c r="F700" i="9"/>
  <c r="F716" i="9"/>
  <c r="F732" i="9"/>
  <c r="F748" i="9"/>
  <c r="F764" i="9"/>
  <c r="F780" i="9"/>
  <c r="F796" i="9"/>
  <c r="F812" i="9"/>
  <c r="F828" i="9"/>
  <c r="F844" i="9"/>
  <c r="F860" i="9"/>
  <c r="F876" i="9"/>
  <c r="L521" i="9"/>
  <c r="L692" i="9"/>
  <c r="L835" i="9"/>
  <c r="F422" i="9"/>
  <c r="F443" i="9"/>
  <c r="F465" i="9"/>
  <c r="F486" i="9"/>
  <c r="F507" i="9"/>
  <c r="F529" i="9"/>
  <c r="F550" i="9"/>
  <c r="F571" i="9"/>
  <c r="F593" i="9"/>
  <c r="F614" i="9"/>
  <c r="F635" i="9"/>
  <c r="F657" i="9"/>
  <c r="F678" i="9"/>
  <c r="F699" i="9"/>
  <c r="F721" i="9"/>
  <c r="F742" i="9"/>
  <c r="F763" i="9"/>
  <c r="F785" i="9"/>
  <c r="F806" i="9"/>
  <c r="F827" i="9"/>
  <c r="F849" i="9"/>
  <c r="F870" i="9"/>
  <c r="F889" i="9"/>
  <c r="F905" i="9"/>
  <c r="F921" i="9"/>
  <c r="F937" i="9"/>
  <c r="F953" i="9"/>
  <c r="F969" i="9"/>
  <c r="F985" i="9"/>
  <c r="F1001" i="9"/>
  <c r="F1017" i="9"/>
  <c r="F1033" i="9"/>
  <c r="F1049" i="9"/>
  <c r="F1065" i="9"/>
  <c r="F1081" i="9"/>
  <c r="F1097" i="9"/>
  <c r="F1113" i="9"/>
  <c r="F1129" i="9"/>
  <c r="F1145" i="9"/>
  <c r="L446" i="9"/>
  <c r="L617" i="9"/>
  <c r="L779" i="9"/>
  <c r="L885" i="9"/>
  <c r="L553" i="9"/>
  <c r="L724" i="9"/>
  <c r="L853" i="9"/>
  <c r="L819" i="9"/>
  <c r="F607" i="9"/>
  <c r="F671" i="9"/>
  <c r="F735" i="9"/>
  <c r="F799" i="9"/>
  <c r="F871" i="9"/>
  <c r="L890" i="9"/>
  <c r="F435" i="9"/>
  <c r="F463" i="9"/>
  <c r="F493" i="9"/>
  <c r="F521" i="9"/>
  <c r="F549" i="9"/>
  <c r="F578" i="9"/>
  <c r="F606" i="9"/>
  <c r="F634" i="9"/>
  <c r="F663" i="9"/>
  <c r="F691" i="9"/>
  <c r="F719" i="9"/>
  <c r="F749" i="9"/>
  <c r="F777" i="9"/>
  <c r="F805" i="9"/>
  <c r="F834" i="9"/>
  <c r="F862" i="9"/>
  <c r="F888" i="9"/>
  <c r="F910" i="9"/>
  <c r="F931" i="9"/>
  <c r="F952" i="9"/>
  <c r="F974" i="9"/>
  <c r="F995" i="9"/>
  <c r="F1016" i="9"/>
  <c r="F1038" i="9"/>
  <c r="F1059" i="9"/>
  <c r="F1080" i="9"/>
  <c r="F1102" i="9"/>
  <c r="F1123" i="9"/>
  <c r="F1144" i="9"/>
  <c r="F1164" i="9"/>
  <c r="F1180" i="9"/>
  <c r="F1196" i="9"/>
  <c r="F1212" i="9"/>
  <c r="F1228" i="9"/>
  <c r="F1244" i="9"/>
  <c r="F1260" i="9"/>
  <c r="F1276" i="9"/>
  <c r="F1292" i="9"/>
  <c r="F1308" i="9"/>
  <c r="F1324" i="9"/>
  <c r="F1340" i="9"/>
  <c r="F1356" i="9"/>
  <c r="F1372" i="9"/>
  <c r="F1388" i="9"/>
  <c r="F1404" i="9"/>
  <c r="F1420" i="9"/>
  <c r="F1436" i="9"/>
  <c r="F1452" i="9"/>
  <c r="F1468" i="9"/>
  <c r="F1484" i="9"/>
  <c r="F1500" i="9"/>
  <c r="F1516" i="9"/>
  <c r="F1532" i="9"/>
  <c r="F1548" i="9"/>
  <c r="F1564" i="9"/>
  <c r="F1580" i="9"/>
  <c r="F1596" i="9"/>
  <c r="F1612" i="9"/>
  <c r="F1628" i="9"/>
  <c r="F1644" i="9"/>
  <c r="F1660" i="9"/>
  <c r="F1676" i="9"/>
  <c r="F1692" i="9"/>
  <c r="F1708" i="9"/>
  <c r="F1724" i="9"/>
  <c r="F1740" i="9"/>
  <c r="F1756" i="9"/>
  <c r="F1772" i="9"/>
  <c r="F1788" i="9"/>
  <c r="F1804" i="9"/>
  <c r="F1820" i="9"/>
  <c r="F1836" i="9"/>
  <c r="F1852" i="9"/>
  <c r="F437" i="9"/>
  <c r="F466" i="9"/>
  <c r="F494" i="9"/>
  <c r="F530" i="9"/>
  <c r="F565" i="9"/>
  <c r="F601" i="9"/>
  <c r="F643" i="9"/>
  <c r="F707" i="9"/>
  <c r="F765" i="9"/>
  <c r="F807" i="9"/>
  <c r="F857" i="9"/>
  <c r="F418" i="9"/>
  <c r="F474" i="9"/>
  <c r="F531" i="9"/>
  <c r="F589" i="9"/>
  <c r="F645" i="9"/>
  <c r="F702" i="9"/>
  <c r="F759" i="9"/>
  <c r="F815" i="9"/>
  <c r="F873" i="9"/>
  <c r="F903" i="9"/>
  <c r="F932" i="9"/>
  <c r="F960" i="9"/>
  <c r="F988" i="9"/>
  <c r="F1018" i="9"/>
  <c r="F1046" i="9"/>
  <c r="F1074" i="9"/>
  <c r="F1103" i="9"/>
  <c r="F1131" i="9"/>
  <c r="F1159" i="9"/>
  <c r="F1181" i="9"/>
  <c r="F1202" i="9"/>
  <c r="F1223" i="9"/>
  <c r="F434" i="9"/>
  <c r="F490" i="9"/>
  <c r="F547" i="9"/>
  <c r="F605" i="9"/>
  <c r="F661" i="9"/>
  <c r="F718" i="9"/>
  <c r="F775" i="9"/>
  <c r="F831" i="9"/>
  <c r="F884" i="9"/>
  <c r="F912" i="9"/>
  <c r="F940" i="9"/>
  <c r="F970" i="9"/>
  <c r="F998" i="9"/>
  <c r="F1026" i="9"/>
  <c r="F1055" i="9"/>
  <c r="F1083" i="9"/>
  <c r="F1111" i="9"/>
  <c r="F1140" i="9"/>
  <c r="F1166" i="9"/>
  <c r="F1187" i="9"/>
  <c r="F1209" i="9"/>
  <c r="L847" i="9"/>
  <c r="F511" i="9"/>
  <c r="F626" i="9"/>
  <c r="F739" i="9"/>
  <c r="F853" i="9"/>
  <c r="F923" i="9"/>
  <c r="F980" i="9"/>
  <c r="F1094" i="9"/>
  <c r="F1151" i="9"/>
  <c r="F1195" i="9"/>
  <c r="F1233" i="9"/>
  <c r="F1297" i="9"/>
  <c r="F1361" i="9"/>
  <c r="F1425" i="9"/>
  <c r="F1467" i="9"/>
  <c r="F1531" i="9"/>
  <c r="F1595" i="9"/>
  <c r="F1638" i="9"/>
  <c r="F1771" i="9"/>
  <c r="F1831" i="9"/>
  <c r="F583" i="9"/>
  <c r="F1002" i="9"/>
  <c r="L423" i="9"/>
  <c r="L439" i="9"/>
  <c r="L455" i="9"/>
  <c r="L471" i="9"/>
  <c r="L487" i="9"/>
  <c r="L503" i="9"/>
  <c r="L519" i="9"/>
  <c r="L535" i="9"/>
  <c r="L551" i="9"/>
  <c r="L567" i="9"/>
  <c r="L583" i="9"/>
  <c r="L599" i="9"/>
  <c r="L615" i="9"/>
  <c r="L631" i="9"/>
  <c r="L647" i="9"/>
  <c r="L663" i="9"/>
  <c r="L679" i="9"/>
  <c r="L695" i="9"/>
  <c r="L711" i="9"/>
  <c r="L727" i="9"/>
  <c r="L743" i="9"/>
  <c r="L422" i="9"/>
  <c r="L444" i="9"/>
  <c r="L465" i="9"/>
  <c r="L486" i="9"/>
  <c r="L508" i="9"/>
  <c r="L529" i="9"/>
  <c r="L550" i="9"/>
  <c r="L572" i="9"/>
  <c r="L593" i="9"/>
  <c r="L614" i="9"/>
  <c r="L636" i="9"/>
  <c r="L657" i="9"/>
  <c r="L678" i="9"/>
  <c r="L700" i="9"/>
  <c r="L721" i="9"/>
  <c r="L742" i="9"/>
  <c r="L761" i="9"/>
  <c r="L777" i="9"/>
  <c r="L793" i="9"/>
  <c r="L809" i="9"/>
  <c r="L825" i="9"/>
  <c r="L416" i="9"/>
  <c r="L437" i="9"/>
  <c r="L458" i="9"/>
  <c r="L480" i="9"/>
  <c r="L501" i="9"/>
  <c r="L522" i="9"/>
  <c r="L544" i="9"/>
  <c r="L565" i="9"/>
  <c r="L586" i="9"/>
  <c r="L608" i="9"/>
  <c r="L629" i="9"/>
  <c r="L650" i="9"/>
  <c r="L672" i="9"/>
  <c r="L693" i="9"/>
  <c r="L714" i="9"/>
  <c r="L736" i="9"/>
  <c r="L756" i="9"/>
  <c r="L772" i="9"/>
  <c r="L788" i="9"/>
  <c r="L804" i="9"/>
  <c r="L820" i="9"/>
  <c r="L836" i="9"/>
  <c r="L852" i="9"/>
  <c r="L868" i="9"/>
  <c r="L884" i="9"/>
  <c r="L430" i="9"/>
  <c r="L473" i="9"/>
  <c r="L516" i="9"/>
  <c r="L558" i="9"/>
  <c r="L601" i="9"/>
  <c r="L644" i="9"/>
  <c r="L686" i="9"/>
  <c r="L729" i="9"/>
  <c r="L767" i="9"/>
  <c r="L799" i="9"/>
  <c r="L831" i="9"/>
  <c r="L855" i="9"/>
  <c r="L877" i="9"/>
  <c r="L424" i="9"/>
  <c r="L466" i="9"/>
  <c r="L509" i="9"/>
  <c r="L552" i="9"/>
  <c r="L594" i="9"/>
  <c r="L637" i="9"/>
  <c r="L680" i="9"/>
  <c r="L722" i="9"/>
  <c r="L762" i="9"/>
  <c r="L794" i="9"/>
  <c r="L826" i="9"/>
  <c r="L851" i="9"/>
  <c r="L873" i="9"/>
  <c r="F413" i="9"/>
  <c r="L450" i="9"/>
  <c r="L493" i="9"/>
  <c r="L536" i="9"/>
  <c r="L578" i="9"/>
  <c r="L621" i="9"/>
  <c r="L664" i="9"/>
  <c r="L706" i="9"/>
  <c r="L749" i="9"/>
  <c r="L782" i="9"/>
  <c r="L814" i="9"/>
  <c r="L843" i="9"/>
  <c r="L865" i="9"/>
  <c r="L886" i="9"/>
  <c r="F424" i="9"/>
  <c r="F440" i="9"/>
  <c r="F456" i="9"/>
  <c r="F472" i="9"/>
  <c r="F488" i="9"/>
  <c r="F504" i="9"/>
  <c r="F520" i="9"/>
  <c r="F536" i="9"/>
  <c r="F552" i="9"/>
  <c r="F568" i="9"/>
  <c r="F584" i="9"/>
  <c r="F600" i="9"/>
  <c r="F616" i="9"/>
  <c r="F632" i="9"/>
  <c r="F648" i="9"/>
  <c r="F664" i="9"/>
  <c r="F680" i="9"/>
  <c r="F696" i="9"/>
  <c r="F712" i="9"/>
  <c r="F728" i="9"/>
  <c r="F744" i="9"/>
  <c r="F760" i="9"/>
  <c r="F776" i="9"/>
  <c r="F792" i="9"/>
  <c r="F808" i="9"/>
  <c r="F824" i="9"/>
  <c r="F840" i="9"/>
  <c r="F856" i="9"/>
  <c r="F872" i="9"/>
  <c r="L478" i="9"/>
  <c r="L649" i="9"/>
  <c r="L803" i="9"/>
  <c r="F417" i="9"/>
  <c r="F438" i="9"/>
  <c r="F459" i="9"/>
  <c r="F481" i="9"/>
  <c r="F502" i="9"/>
  <c r="F523" i="9"/>
  <c r="F545" i="9"/>
  <c r="F566" i="9"/>
  <c r="F587" i="9"/>
  <c r="F609" i="9"/>
  <c r="F630" i="9"/>
  <c r="F651" i="9"/>
  <c r="F673" i="9"/>
  <c r="F694" i="9"/>
  <c r="F715" i="9"/>
  <c r="F737" i="9"/>
  <c r="F758" i="9"/>
  <c r="F779" i="9"/>
  <c r="F801" i="9"/>
  <c r="F822" i="9"/>
  <c r="F843" i="9"/>
  <c r="F865" i="9"/>
  <c r="F885" i="9"/>
  <c r="F901" i="9"/>
  <c r="F917" i="9"/>
  <c r="F933" i="9"/>
  <c r="F949" i="9"/>
  <c r="F965" i="9"/>
  <c r="F981" i="9"/>
  <c r="F997" i="9"/>
  <c r="F1013" i="9"/>
  <c r="F1029" i="9"/>
  <c r="F1045" i="9"/>
  <c r="F1061" i="9"/>
  <c r="F1077" i="9"/>
  <c r="F1093" i="9"/>
  <c r="F1109" i="9"/>
  <c r="F1125" i="9"/>
  <c r="F1141" i="9"/>
  <c r="F1157" i="9"/>
  <c r="L574" i="9"/>
  <c r="L745" i="9"/>
  <c r="L863" i="9"/>
  <c r="L510" i="9"/>
  <c r="L681" i="9"/>
  <c r="L827" i="9"/>
  <c r="L670" i="9"/>
  <c r="F586" i="9"/>
  <c r="F658" i="9"/>
  <c r="F714" i="9"/>
  <c r="F778" i="9"/>
  <c r="F850" i="9"/>
  <c r="L787" i="9"/>
  <c r="F429" i="9"/>
  <c r="F457" i="9"/>
  <c r="F485" i="9"/>
  <c r="F514" i="9"/>
  <c r="F542" i="9"/>
  <c r="F570" i="9"/>
  <c r="F599" i="9"/>
  <c r="F627" i="9"/>
  <c r="F655" i="9"/>
  <c r="F685" i="9"/>
  <c r="F713" i="9"/>
  <c r="F741" i="9"/>
  <c r="F770" i="9"/>
  <c r="F798" i="9"/>
  <c r="F826" i="9"/>
  <c r="F855" i="9"/>
  <c r="F883" i="9"/>
  <c r="F904" i="9"/>
  <c r="F926" i="9"/>
  <c r="F947" i="9"/>
  <c r="F968" i="9"/>
  <c r="F990" i="9"/>
  <c r="F1011" i="9"/>
  <c r="F1032" i="9"/>
  <c r="F1054" i="9"/>
  <c r="F1075" i="9"/>
  <c r="F1096" i="9"/>
  <c r="F1118" i="9"/>
  <c r="F1139" i="9"/>
  <c r="F1160" i="9"/>
  <c r="F1176" i="9"/>
  <c r="F1192" i="9"/>
  <c r="F1208" i="9"/>
  <c r="F1224" i="9"/>
  <c r="F1240" i="9"/>
  <c r="F1256" i="9"/>
  <c r="F1272" i="9"/>
  <c r="F1288" i="9"/>
  <c r="F1304" i="9"/>
  <c r="F1320" i="9"/>
  <c r="F1336" i="9"/>
  <c r="F1352" i="9"/>
  <c r="F1368" i="9"/>
  <c r="F1384" i="9"/>
  <c r="F1400" i="9"/>
  <c r="F1416" i="9"/>
  <c r="F1432" i="9"/>
  <c r="F1448" i="9"/>
  <c r="F1464" i="9"/>
  <c r="F1480" i="9"/>
  <c r="F1496" i="9"/>
  <c r="F1512" i="9"/>
  <c r="F1528" i="9"/>
  <c r="F1544" i="9"/>
  <c r="F1560" i="9"/>
  <c r="F1576" i="9"/>
  <c r="F1592" i="9"/>
  <c r="F1608" i="9"/>
  <c r="F1624" i="9"/>
  <c r="F1640" i="9"/>
  <c r="F1656" i="9"/>
  <c r="F1672" i="9"/>
  <c r="F1688" i="9"/>
  <c r="F1704" i="9"/>
  <c r="F1720" i="9"/>
  <c r="F1736" i="9"/>
  <c r="F1752" i="9"/>
  <c r="F1768" i="9"/>
  <c r="F1784" i="9"/>
  <c r="F1800" i="9"/>
  <c r="F1816" i="9"/>
  <c r="F1832" i="9"/>
  <c r="F1848" i="9"/>
  <c r="F430" i="9"/>
  <c r="F458" i="9"/>
  <c r="F487" i="9"/>
  <c r="F522" i="9"/>
  <c r="F558" i="9"/>
  <c r="F594" i="9"/>
  <c r="F637" i="9"/>
  <c r="F693" i="9"/>
  <c r="F743" i="9"/>
  <c r="F793" i="9"/>
  <c r="F842" i="9"/>
  <c r="L869" i="9"/>
  <c r="F461" i="9"/>
  <c r="F517" i="9"/>
  <c r="F574" i="9"/>
  <c r="F631" i="9"/>
  <c r="F687" i="9"/>
  <c r="F745" i="9"/>
  <c r="F802" i="9"/>
  <c r="F858" i="9"/>
  <c r="F896" i="9"/>
  <c r="F924" i="9"/>
  <c r="F954" i="9"/>
  <c r="F982" i="9"/>
  <c r="F1010" i="9"/>
  <c r="F1039" i="9"/>
  <c r="F1067" i="9"/>
  <c r="F1095" i="9"/>
  <c r="F1124" i="9"/>
  <c r="F1152" i="9"/>
  <c r="F1175" i="9"/>
  <c r="F1197" i="9"/>
  <c r="F1218" i="9"/>
  <c r="F419" i="9"/>
  <c r="F477" i="9"/>
  <c r="F533" i="9"/>
  <c r="F590" i="9"/>
  <c r="F647" i="9"/>
  <c r="F703" i="9"/>
  <c r="F761" i="9"/>
  <c r="F818" i="9"/>
  <c r="F874" i="9"/>
  <c r="F906" i="9"/>
  <c r="F934" i="9"/>
  <c r="F962" i="9"/>
  <c r="F991" i="9"/>
  <c r="F1019" i="9"/>
  <c r="F1047" i="9"/>
  <c r="F1076" i="9"/>
  <c r="F1104" i="9"/>
  <c r="F1132" i="9"/>
  <c r="F1161" i="9"/>
  <c r="F1182" i="9"/>
  <c r="F1203" i="9"/>
  <c r="L542" i="9"/>
  <c r="F483" i="9"/>
  <c r="F597" i="9"/>
  <c r="F711" i="9"/>
  <c r="F825" i="9"/>
  <c r="F908" i="9"/>
  <c r="F966" i="9"/>
  <c r="F1023" i="9"/>
  <c r="F1079" i="9"/>
  <c r="F1136" i="9"/>
  <c r="F1185" i="9"/>
  <c r="F1226" i="9"/>
  <c r="F1249" i="9"/>
  <c r="F1270" i="9"/>
  <c r="F1291" i="9"/>
  <c r="F1313" i="9"/>
  <c r="F1334" i="9"/>
  <c r="F1355" i="9"/>
  <c r="F1377" i="9"/>
  <c r="F1398" i="9"/>
  <c r="F1419" i="9"/>
  <c r="F1441" i="9"/>
  <c r="F1462" i="9"/>
  <c r="F1483" i="9"/>
  <c r="F1505" i="9"/>
  <c r="F1526" i="9"/>
  <c r="F1547" i="9"/>
  <c r="F1569" i="9"/>
  <c r="F1590" i="9"/>
  <c r="F1611" i="9"/>
  <c r="F1633" i="9"/>
  <c r="F1654" i="9"/>
  <c r="F1697" i="9"/>
  <c r="F1755" i="9"/>
  <c r="F1814" i="9"/>
  <c r="F1725" i="9"/>
  <c r="F1805" i="9"/>
  <c r="F441" i="9"/>
  <c r="F554" i="9"/>
  <c r="F754" i="9"/>
  <c r="F959" i="9"/>
  <c r="F1100" i="9"/>
  <c r="F1235" i="9"/>
  <c r="F1294" i="9"/>
  <c r="F1363" i="9"/>
  <c r="F1427" i="9"/>
  <c r="F1513" i="9"/>
  <c r="F1593" i="9"/>
  <c r="F1657" i="9"/>
  <c r="F1726" i="9"/>
  <c r="F1806" i="9"/>
  <c r="F467" i="9"/>
  <c r="F581" i="9"/>
  <c r="F695" i="9"/>
  <c r="F809" i="9"/>
  <c r="F900" i="9"/>
  <c r="F956" i="9"/>
  <c r="F1014" i="9"/>
  <c r="F1071" i="9"/>
  <c r="F1127" i="9"/>
  <c r="F1178" i="9"/>
  <c r="F1221" i="9"/>
  <c r="F1245" i="9"/>
  <c r="F1266" i="9"/>
  <c r="F1287" i="9"/>
  <c r="F1309" i="9"/>
  <c r="F1330" i="9"/>
  <c r="F1351" i="9"/>
  <c r="F1373" i="9"/>
  <c r="F1394" i="9"/>
  <c r="F1415" i="9"/>
  <c r="F1437" i="9"/>
  <c r="F1458" i="9"/>
  <c r="F1479" i="9"/>
  <c r="F1501" i="9"/>
  <c r="F1522" i="9"/>
  <c r="F1543" i="9"/>
  <c r="F1565" i="9"/>
  <c r="F1586" i="9"/>
  <c r="F1607" i="9"/>
  <c r="F1629" i="9"/>
  <c r="F1650" i="9"/>
  <c r="F1671" i="9"/>
  <c r="F1714" i="9"/>
  <c r="F1789" i="9"/>
  <c r="F1847" i="9"/>
  <c r="F1438" i="9"/>
  <c r="F1523" i="9"/>
  <c r="F1609" i="9"/>
  <c r="F1689" i="9"/>
  <c r="F1742" i="9"/>
  <c r="F1817" i="9"/>
  <c r="F453" i="9"/>
  <c r="F567" i="9"/>
  <c r="F681" i="9"/>
  <c r="F794" i="9"/>
  <c r="F892" i="9"/>
  <c r="F950" i="9"/>
  <c r="F1007" i="9"/>
  <c r="F1063" i="9"/>
  <c r="F1120" i="9"/>
  <c r="F1173" i="9"/>
  <c r="F1215" i="9"/>
  <c r="F1242" i="9"/>
  <c r="F1263" i="9"/>
  <c r="F1285" i="9"/>
  <c r="F1306" i="9"/>
  <c r="F1327" i="9"/>
  <c r="F1349" i="9"/>
  <c r="F1370" i="9"/>
  <c r="F1391" i="9"/>
  <c r="F1413" i="9"/>
  <c r="F1434" i="9"/>
  <c r="F1455" i="9"/>
  <c r="F1477" i="9"/>
  <c r="F1498" i="9"/>
  <c r="F1519" i="9"/>
  <c r="F1541" i="9"/>
  <c r="F1562" i="9"/>
  <c r="F1583" i="9"/>
  <c r="F1605" i="9"/>
  <c r="F1626" i="9"/>
  <c r="F1647" i="9"/>
  <c r="F1669" i="9"/>
  <c r="F1690" i="9"/>
  <c r="F1711" i="9"/>
  <c r="F1733" i="9"/>
  <c r="F1754" i="9"/>
  <c r="F1775" i="9"/>
  <c r="F1797" i="9"/>
  <c r="F1818" i="9"/>
  <c r="F1839" i="9"/>
  <c r="F1675" i="9"/>
  <c r="F1707" i="9"/>
  <c r="F1739" i="9"/>
  <c r="F1777" i="9"/>
  <c r="F1809" i="9"/>
  <c r="F1841" i="9"/>
  <c r="F1709" i="9"/>
  <c r="F1751" i="9"/>
  <c r="F1815" i="9"/>
  <c r="F669" i="9"/>
  <c r="F867" i="9"/>
  <c r="F972" i="9"/>
  <c r="F1058" i="9"/>
  <c r="F1158" i="9"/>
  <c r="F1222" i="9"/>
  <c r="F1257" i="9"/>
  <c r="F1289" i="9"/>
  <c r="F1321" i="9"/>
  <c r="F1358" i="9"/>
  <c r="F1390" i="9"/>
  <c r="F1433" i="9"/>
  <c r="F1475" i="9"/>
  <c r="F1518" i="9"/>
  <c r="F1561" i="9"/>
  <c r="F1614" i="9"/>
  <c r="F1662" i="9"/>
  <c r="F1721" i="9"/>
  <c r="F1774" i="9"/>
  <c r="F1827" i="9"/>
  <c r="F1036" i="9"/>
  <c r="F1254" i="9"/>
  <c r="F1275" i="9"/>
  <c r="F1318" i="9"/>
  <c r="F1339" i="9"/>
  <c r="F1382" i="9"/>
  <c r="F1403" i="9"/>
  <c r="F1446" i="9"/>
  <c r="F1489" i="9"/>
  <c r="F1510" i="9"/>
  <c r="F1553" i="9"/>
  <c r="F1574" i="9"/>
  <c r="F1617" i="9"/>
  <c r="F1659" i="9"/>
  <c r="F1718" i="9"/>
  <c r="F1825" i="9"/>
  <c r="F1730" i="9"/>
  <c r="F469" i="9"/>
  <c r="F839" i="9"/>
  <c r="F1143" i="9"/>
  <c r="F1251" i="9"/>
  <c r="L435" i="9"/>
  <c r="L467" i="9"/>
  <c r="L499" i="9"/>
  <c r="L531" i="9"/>
  <c r="L563" i="9"/>
  <c r="L595" i="9"/>
  <c r="L627" i="9"/>
  <c r="L659" i="9"/>
  <c r="L691" i="9"/>
  <c r="L723" i="9"/>
  <c r="L417" i="9"/>
  <c r="L460" i="9"/>
  <c r="L502" i="9"/>
  <c r="L545" i="9"/>
  <c r="L588" i="9"/>
  <c r="L630" i="9"/>
  <c r="L673" i="9"/>
  <c r="L716" i="9"/>
  <c r="L757" i="9"/>
  <c r="L789" i="9"/>
  <c r="L821" i="9"/>
  <c r="L432" i="9"/>
  <c r="L474" i="9"/>
  <c r="L517" i="9"/>
  <c r="L560" i="9"/>
  <c r="L602" i="9"/>
  <c r="L645" i="9"/>
  <c r="L688" i="9"/>
  <c r="L730" i="9"/>
  <c r="L768" i="9"/>
  <c r="L800" i="9"/>
  <c r="L832" i="9"/>
  <c r="L864" i="9"/>
  <c r="L420" i="9"/>
  <c r="L505" i="9"/>
  <c r="L590" i="9"/>
  <c r="L676" i="9"/>
  <c r="L759" i="9"/>
  <c r="L823" i="9"/>
  <c r="L871" i="9"/>
  <c r="L456" i="9"/>
  <c r="L541" i="9"/>
  <c r="L626" i="9"/>
  <c r="L712" i="9"/>
  <c r="L786" i="9"/>
  <c r="L846" i="9"/>
  <c r="L889" i="9"/>
  <c r="L482" i="9"/>
  <c r="L568" i="9"/>
  <c r="L653" i="9"/>
  <c r="L738" i="9"/>
  <c r="L806" i="9"/>
  <c r="L859" i="9"/>
  <c r="F420" i="9"/>
  <c r="F452" i="9"/>
  <c r="F484" i="9"/>
  <c r="F516" i="9"/>
  <c r="F548" i="9"/>
  <c r="F580" i="9"/>
  <c r="F612" i="9"/>
  <c r="F644" i="9"/>
  <c r="F676" i="9"/>
  <c r="F708" i="9"/>
  <c r="F740" i="9"/>
  <c r="F772" i="9"/>
  <c r="F804" i="9"/>
  <c r="F836" i="9"/>
  <c r="F868" i="9"/>
  <c r="L606" i="9"/>
  <c r="L879" i="9"/>
  <c r="F454" i="9"/>
  <c r="F497" i="9"/>
  <c r="F539" i="9"/>
  <c r="F582" i="9"/>
  <c r="F625" i="9"/>
  <c r="F667" i="9"/>
  <c r="F710" i="9"/>
  <c r="F753" i="9"/>
  <c r="F795" i="9"/>
  <c r="F838" i="9"/>
  <c r="F881" i="9"/>
  <c r="F913" i="9"/>
  <c r="F945" i="9"/>
  <c r="F977" i="9"/>
  <c r="F1009" i="9"/>
  <c r="F1041" i="9"/>
  <c r="F1073" i="9"/>
  <c r="F1105" i="9"/>
  <c r="F1137" i="9"/>
  <c r="L532" i="9"/>
  <c r="L842" i="9"/>
  <c r="L638" i="9"/>
  <c r="L500" i="9"/>
  <c r="F650" i="9"/>
  <c r="F757" i="9"/>
  <c r="L628" i="9"/>
  <c r="F450" i="9"/>
  <c r="F506" i="9"/>
  <c r="F563" i="9"/>
  <c r="F621" i="9"/>
  <c r="F677" i="9"/>
  <c r="F734" i="9"/>
  <c r="F791" i="9"/>
  <c r="F847" i="9"/>
  <c r="F899" i="9"/>
  <c r="F942" i="9"/>
  <c r="F984" i="9"/>
  <c r="F1027" i="9"/>
  <c r="F1070" i="9"/>
  <c r="F1112" i="9"/>
  <c r="F1155" i="9"/>
  <c r="F1188" i="9"/>
  <c r="F1220" i="9"/>
  <c r="F1252" i="9"/>
  <c r="F1284" i="9"/>
  <c r="F1316" i="9"/>
  <c r="F1348" i="9"/>
  <c r="F1380" i="9"/>
  <c r="F1412" i="9"/>
  <c r="F1444" i="9"/>
  <c r="F1476" i="9"/>
  <c r="F1508" i="9"/>
  <c r="F1540" i="9"/>
  <c r="F1572" i="9"/>
  <c r="F1604" i="9"/>
  <c r="F1636" i="9"/>
  <c r="F1668" i="9"/>
  <c r="F1700" i="9"/>
  <c r="F1732" i="9"/>
  <c r="F1764" i="9"/>
  <c r="F1796" i="9"/>
  <c r="F1828" i="9"/>
  <c r="L415" i="9"/>
  <c r="L447" i="9"/>
  <c r="L479" i="9"/>
  <c r="L511" i="9"/>
  <c r="L543" i="9"/>
  <c r="L575" i="9"/>
  <c r="L607" i="9"/>
  <c r="L639" i="9"/>
  <c r="L671" i="9"/>
  <c r="L703" i="9"/>
  <c r="L735" i="9"/>
  <c r="L433" i="9"/>
  <c r="L476" i="9"/>
  <c r="L518" i="9"/>
  <c r="L561" i="9"/>
  <c r="L604" i="9"/>
  <c r="L646" i="9"/>
  <c r="L689" i="9"/>
  <c r="L732" i="9"/>
  <c r="L769" i="9"/>
  <c r="L801" i="9"/>
  <c r="L833" i="9"/>
  <c r="L448" i="9"/>
  <c r="L490" i="9"/>
  <c r="L533" i="9"/>
  <c r="L576" i="9"/>
  <c r="L618" i="9"/>
  <c r="L661" i="9"/>
  <c r="L704" i="9"/>
  <c r="L746" i="9"/>
  <c r="L780" i="9"/>
  <c r="L812" i="9"/>
  <c r="L844" i="9"/>
  <c r="L876" i="9"/>
  <c r="L452" i="9"/>
  <c r="L537" i="9"/>
  <c r="L622" i="9"/>
  <c r="L708" i="9"/>
  <c r="L783" i="9"/>
  <c r="L845" i="9"/>
  <c r="L887" i="9"/>
  <c r="L488" i="9"/>
  <c r="L573" i="9"/>
  <c r="L658" i="9"/>
  <c r="L744" i="9"/>
  <c r="L810" i="9"/>
  <c r="L862" i="9"/>
  <c r="L429" i="9"/>
  <c r="L514" i="9"/>
  <c r="L600" i="9"/>
  <c r="L685" i="9"/>
  <c r="L766" i="9"/>
  <c r="L830" i="9"/>
  <c r="L875" i="9"/>
  <c r="F432" i="9"/>
  <c r="F464" i="9"/>
  <c r="F496" i="9"/>
  <c r="F528" i="9"/>
  <c r="F560" i="9"/>
  <c r="F592" i="9"/>
  <c r="F624" i="9"/>
  <c r="F656" i="9"/>
  <c r="F688" i="9"/>
  <c r="F720" i="9"/>
  <c r="F752" i="9"/>
  <c r="F784" i="9"/>
  <c r="F816" i="9"/>
  <c r="F848" i="9"/>
  <c r="F880" i="9"/>
  <c r="L734" i="9"/>
  <c r="F427" i="9"/>
  <c r="F470" i="9"/>
  <c r="F513" i="9"/>
  <c r="F555" i="9"/>
  <c r="F598" i="9"/>
  <c r="F641" i="9"/>
  <c r="F683" i="9"/>
  <c r="F726" i="9"/>
  <c r="F769" i="9"/>
  <c r="F811" i="9"/>
  <c r="F854" i="9"/>
  <c r="F893" i="9"/>
  <c r="F925" i="9"/>
  <c r="F957" i="9"/>
  <c r="F989" i="9"/>
  <c r="F1021" i="9"/>
  <c r="L419" i="9"/>
  <c r="L451" i="9"/>
  <c r="L483" i="9"/>
  <c r="L515" i="9"/>
  <c r="L547" i="9"/>
  <c r="L579" i="9"/>
  <c r="L611" i="9"/>
  <c r="L643" i="9"/>
  <c r="L675" i="9"/>
  <c r="L707" i="9"/>
  <c r="L739" i="9"/>
  <c r="L438" i="9"/>
  <c r="L481" i="9"/>
  <c r="L524" i="9"/>
  <c r="L566" i="9"/>
  <c r="L609" i="9"/>
  <c r="L652" i="9"/>
  <c r="L694" i="9"/>
  <c r="L737" i="9"/>
  <c r="L773" i="9"/>
  <c r="L805" i="9"/>
  <c r="L837" i="9"/>
  <c r="L453" i="9"/>
  <c r="L496" i="9"/>
  <c r="L538" i="9"/>
  <c r="L581" i="9"/>
  <c r="L624" i="9"/>
  <c r="L666" i="9"/>
  <c r="L709" i="9"/>
  <c r="L752" i="9"/>
  <c r="L784" i="9"/>
  <c r="L816" i="9"/>
  <c r="L848" i="9"/>
  <c r="L880" i="9"/>
  <c r="L462" i="9"/>
  <c r="L548" i="9"/>
  <c r="L633" i="9"/>
  <c r="L718" i="9"/>
  <c r="L791" i="9"/>
  <c r="L850" i="9"/>
  <c r="L413" i="9"/>
  <c r="L498" i="9"/>
  <c r="L584" i="9"/>
  <c r="L669" i="9"/>
  <c r="L754" i="9"/>
  <c r="L818" i="9"/>
  <c r="L867" i="9"/>
  <c r="L440" i="9"/>
  <c r="L525" i="9"/>
  <c r="L610" i="9"/>
  <c r="L696" i="9"/>
  <c r="L774" i="9"/>
  <c r="L838" i="9"/>
  <c r="L881" i="9"/>
  <c r="F436" i="9"/>
  <c r="F468" i="9"/>
  <c r="F500" i="9"/>
  <c r="F532" i="9"/>
  <c r="F564" i="9"/>
  <c r="F596" i="9"/>
  <c r="F628" i="9"/>
  <c r="F660" i="9"/>
  <c r="F692" i="9"/>
  <c r="F724" i="9"/>
  <c r="F756" i="9"/>
  <c r="F788" i="9"/>
  <c r="F820" i="9"/>
  <c r="F852" i="9"/>
  <c r="L436" i="9"/>
  <c r="L771" i="9"/>
  <c r="F433" i="9"/>
  <c r="F475" i="9"/>
  <c r="F518" i="9"/>
  <c r="F561" i="9"/>
  <c r="F603" i="9"/>
  <c r="F646" i="9"/>
  <c r="F689" i="9"/>
  <c r="F731" i="9"/>
  <c r="F774" i="9"/>
  <c r="F817" i="9"/>
  <c r="F859" i="9"/>
  <c r="F897" i="9"/>
  <c r="F929" i="9"/>
  <c r="F961" i="9"/>
  <c r="F993" i="9"/>
  <c r="L527" i="9"/>
  <c r="L655" i="9"/>
  <c r="L454" i="9"/>
  <c r="L625" i="9"/>
  <c r="L785" i="9"/>
  <c r="L512" i="9"/>
  <c r="L682" i="9"/>
  <c r="L828" i="9"/>
  <c r="L580" i="9"/>
  <c r="L866" i="9"/>
  <c r="L701" i="9"/>
  <c r="L472" i="9"/>
  <c r="L798" i="9"/>
  <c r="F480" i="9"/>
  <c r="F608" i="9"/>
  <c r="F736" i="9"/>
  <c r="F864" i="9"/>
  <c r="F491" i="9"/>
  <c r="F662" i="9"/>
  <c r="F833" i="9"/>
  <c r="F973" i="9"/>
  <c r="F1053" i="9"/>
  <c r="F1089" i="9"/>
  <c r="F1133" i="9"/>
  <c r="L660" i="9"/>
  <c r="L468" i="9"/>
  <c r="L874" i="9"/>
  <c r="F686" i="9"/>
  <c r="F829" i="9"/>
  <c r="F442" i="9"/>
  <c r="F527" i="9"/>
  <c r="F591" i="9"/>
  <c r="F670" i="9"/>
  <c r="F755" i="9"/>
  <c r="F819" i="9"/>
  <c r="F894" i="9"/>
  <c r="F958" i="9"/>
  <c r="F1006" i="9"/>
  <c r="F1064" i="9"/>
  <c r="F1128" i="9"/>
  <c r="F1172" i="9"/>
  <c r="F1216" i="9"/>
  <c r="F1264" i="9"/>
  <c r="F1300" i="9"/>
  <c r="F1344" i="9"/>
  <c r="F1392" i="9"/>
  <c r="F1428" i="9"/>
  <c r="F1472" i="9"/>
  <c r="F1520" i="9"/>
  <c r="F1556" i="9"/>
  <c r="F1600" i="9"/>
  <c r="F1648" i="9"/>
  <c r="F1684" i="9"/>
  <c r="F1728" i="9"/>
  <c r="F1776" i="9"/>
  <c r="F1812" i="9"/>
  <c r="F415" i="9"/>
  <c r="F473" i="9"/>
  <c r="F537" i="9"/>
  <c r="F615" i="9"/>
  <c r="F722" i="9"/>
  <c r="F814" i="9"/>
  <c r="F431" i="9"/>
  <c r="F546" i="9"/>
  <c r="F659" i="9"/>
  <c r="F773" i="9"/>
  <c r="F882" i="9"/>
  <c r="F939" i="9"/>
  <c r="F996" i="9"/>
  <c r="F1052" i="9"/>
  <c r="F1110" i="9"/>
  <c r="F1165" i="9"/>
  <c r="F1207" i="9"/>
  <c r="F447" i="9"/>
  <c r="F562" i="9"/>
  <c r="F675" i="9"/>
  <c r="F789" i="9"/>
  <c r="F891" i="9"/>
  <c r="F948" i="9"/>
  <c r="F1004" i="9"/>
  <c r="F1062" i="9"/>
  <c r="F1119" i="9"/>
  <c r="F1171" i="9"/>
  <c r="F1214" i="9"/>
  <c r="F541" i="9"/>
  <c r="F767" i="9"/>
  <c r="F938" i="9"/>
  <c r="F1051" i="9"/>
  <c r="F1163" i="9"/>
  <c r="F1238" i="9"/>
  <c r="F1281" i="9"/>
  <c r="F1323" i="9"/>
  <c r="F1366" i="9"/>
  <c r="F1409" i="9"/>
  <c r="F1451" i="9"/>
  <c r="F1494" i="9"/>
  <c r="F1537" i="9"/>
  <c r="F1579" i="9"/>
  <c r="F1622" i="9"/>
  <c r="F1665" i="9"/>
  <c r="F1787" i="9"/>
  <c r="F1762" i="9"/>
  <c r="F498" i="9"/>
  <c r="F887" i="9"/>
  <c r="F1179" i="9"/>
  <c r="F1310" i="9"/>
  <c r="F1395" i="9"/>
  <c r="F1491" i="9"/>
  <c r="F1603" i="9"/>
  <c r="F1699" i="9"/>
  <c r="F1785" i="9"/>
  <c r="F495" i="9"/>
  <c r="F638" i="9"/>
  <c r="F781" i="9"/>
  <c r="F914" i="9"/>
  <c r="F986" i="9"/>
  <c r="F1056" i="9"/>
  <c r="F1142" i="9"/>
  <c r="F1199" i="9"/>
  <c r="F1239" i="9"/>
  <c r="F1271" i="9"/>
  <c r="F1298" i="9"/>
  <c r="F1325" i="9"/>
  <c r="F1357" i="9"/>
  <c r="F1383" i="9"/>
  <c r="F1410" i="9"/>
  <c r="F1442" i="9"/>
  <c r="F1469" i="9"/>
  <c r="F1495" i="9"/>
  <c r="F1527" i="9"/>
  <c r="F1554" i="9"/>
  <c r="F1581" i="9"/>
  <c r="F1613" i="9"/>
  <c r="F1639" i="9"/>
  <c r="F1666" i="9"/>
  <c r="F1741" i="9"/>
  <c r="F1810" i="9"/>
  <c r="F1417" i="9"/>
  <c r="F1545" i="9"/>
  <c r="F1646" i="9"/>
  <c r="F1731" i="9"/>
  <c r="F1833" i="9"/>
  <c r="F510" i="9"/>
  <c r="F653" i="9"/>
  <c r="F823" i="9"/>
  <c r="F922" i="9"/>
  <c r="F992" i="9"/>
  <c r="F1078" i="9"/>
  <c r="F1148" i="9"/>
  <c r="F1205" i="9"/>
  <c r="F1247" i="9"/>
  <c r="F1274" i="9"/>
  <c r="F1301" i="9"/>
  <c r="F1333" i="9"/>
  <c r="F1359" i="9"/>
  <c r="F1386" i="9"/>
  <c r="F1418" i="9"/>
  <c r="F1445" i="9"/>
  <c r="F1471" i="9"/>
  <c r="F1503" i="9"/>
  <c r="F1530" i="9"/>
  <c r="F1557" i="9"/>
  <c r="F1589" i="9"/>
  <c r="F1615" i="9"/>
  <c r="F1642" i="9"/>
  <c r="F1674" i="9"/>
  <c r="F1701" i="9"/>
  <c r="F1727" i="9"/>
  <c r="F1759" i="9"/>
  <c r="F1786" i="9"/>
  <c r="F1813" i="9"/>
  <c r="F1845" i="9"/>
  <c r="F1691" i="9"/>
  <c r="F1734" i="9"/>
  <c r="F1782" i="9"/>
  <c r="F1830" i="9"/>
  <c r="F1703" i="9"/>
  <c r="F1767" i="9"/>
  <c r="F1837" i="9"/>
  <c r="F810" i="9"/>
  <c r="F987" i="9"/>
  <c r="F1115" i="9"/>
  <c r="F1201" i="9"/>
  <c r="F1262" i="9"/>
  <c r="F1305" i="9"/>
  <c r="F1347" i="9"/>
  <c r="F1401" i="9"/>
  <c r="F1454" i="9"/>
  <c r="F1507" i="9"/>
  <c r="F1577" i="9"/>
  <c r="F1635" i="9"/>
  <c r="F1694" i="9"/>
  <c r="F1790" i="9"/>
  <c r="F1849" i="9"/>
  <c r="F1335" i="9"/>
  <c r="F1389" i="9"/>
  <c r="F1447" i="9"/>
  <c r="F1506" i="9"/>
  <c r="F1533" i="9"/>
  <c r="F1591" i="9"/>
  <c r="F1618" i="9"/>
  <c r="F1677" i="9"/>
  <c r="F1757" i="9"/>
  <c r="F1465" i="9"/>
  <c r="F1566" i="9"/>
  <c r="F1769" i="9"/>
  <c r="L755" i="9"/>
  <c r="F709" i="9"/>
  <c r="F851" i="9"/>
  <c r="F1020" i="9"/>
  <c r="F1092" i="9"/>
  <c r="F1225" i="9"/>
  <c r="F1253" i="9"/>
  <c r="F1311" i="9"/>
  <c r="F1338" i="9"/>
  <c r="F1397" i="9"/>
  <c r="F1423" i="9"/>
  <c r="F1482" i="9"/>
  <c r="F1535" i="9"/>
  <c r="F1567" i="9"/>
  <c r="F1621" i="9"/>
  <c r="F1653" i="9"/>
  <c r="F1706" i="9"/>
  <c r="F1765" i="9"/>
  <c r="F1791" i="9"/>
  <c r="F1850" i="9"/>
  <c r="F1702" i="9"/>
  <c r="F1793" i="9"/>
  <c r="F1835" i="9"/>
  <c r="F1773" i="9"/>
  <c r="F611" i="9"/>
  <c r="F1015" i="9"/>
  <c r="F1230" i="9"/>
  <c r="F1273" i="9"/>
  <c r="F1369" i="9"/>
  <c r="F1406" i="9"/>
  <c r="F1529" i="9"/>
  <c r="F1587" i="9"/>
  <c r="F1737" i="9"/>
  <c r="F1801" i="9"/>
  <c r="F1317" i="9"/>
  <c r="F1402" i="9"/>
  <c r="F1429" i="9"/>
  <c r="F1487" i="9"/>
  <c r="F1546" i="9"/>
  <c r="F1573" i="9"/>
  <c r="F1631" i="9"/>
  <c r="F1717" i="9"/>
  <c r="F1743" i="9"/>
  <c r="F1802" i="9"/>
  <c r="F1670" i="9"/>
  <c r="F1761" i="9"/>
  <c r="F1735" i="9"/>
  <c r="F1799" i="9"/>
  <c r="F1030" i="9"/>
  <c r="F1241" i="9"/>
  <c r="F1331" i="9"/>
  <c r="F1486" i="9"/>
  <c r="F1539" i="9"/>
  <c r="F1753" i="9"/>
  <c r="L495" i="9"/>
  <c r="L582" i="9"/>
  <c r="L753" i="9"/>
  <c r="L469" i="9"/>
  <c r="L494" i="9"/>
  <c r="L815" i="9"/>
  <c r="L728" i="9"/>
  <c r="F448" i="9"/>
  <c r="F832" i="9"/>
  <c r="L431" i="9"/>
  <c r="L559" i="9"/>
  <c r="L687" i="9"/>
  <c r="L497" i="9"/>
  <c r="L668" i="9"/>
  <c r="L817" i="9"/>
  <c r="L554" i="9"/>
  <c r="L725" i="9"/>
  <c r="L860" i="9"/>
  <c r="L665" i="9"/>
  <c r="L445" i="9"/>
  <c r="L778" i="9"/>
  <c r="L557" i="9"/>
  <c r="L854" i="9"/>
  <c r="F512" i="9"/>
  <c r="F640" i="9"/>
  <c r="F768" i="9"/>
  <c r="L564" i="9"/>
  <c r="F534" i="9"/>
  <c r="F705" i="9"/>
  <c r="F875" i="9"/>
  <c r="F1005" i="9"/>
  <c r="F1057" i="9"/>
  <c r="F1101" i="9"/>
  <c r="F1149" i="9"/>
  <c r="L702" i="9"/>
  <c r="L596" i="9"/>
  <c r="F515" i="9"/>
  <c r="F701" i="9"/>
  <c r="L457" i="9"/>
  <c r="F471" i="9"/>
  <c r="F535" i="9"/>
  <c r="F613" i="9"/>
  <c r="F698" i="9"/>
  <c r="F762" i="9"/>
  <c r="F841" i="9"/>
  <c r="F915" i="9"/>
  <c r="F963" i="9"/>
  <c r="F1022" i="9"/>
  <c r="F1086" i="9"/>
  <c r="F1134" i="9"/>
  <c r="F1184" i="9"/>
  <c r="F1232" i="9"/>
  <c r="F1268" i="9"/>
  <c r="F1312" i="9"/>
  <c r="F1360" i="9"/>
  <c r="F1396" i="9"/>
  <c r="F1440" i="9"/>
  <c r="F1488" i="9"/>
  <c r="F1524" i="9"/>
  <c r="F1568" i="9"/>
  <c r="F1616" i="9"/>
  <c r="F1652" i="9"/>
  <c r="F1696" i="9"/>
  <c r="F1744" i="9"/>
  <c r="F1780" i="9"/>
  <c r="F1824" i="9"/>
  <c r="F423" i="9"/>
  <c r="F479" i="9"/>
  <c r="F551" i="9"/>
  <c r="F622" i="9"/>
  <c r="F729" i="9"/>
  <c r="F835" i="9"/>
  <c r="F446" i="9"/>
  <c r="F559" i="9"/>
  <c r="F674" i="9"/>
  <c r="F787" i="9"/>
  <c r="F890" i="9"/>
  <c r="F946" i="9"/>
  <c r="F1003" i="9"/>
  <c r="F1060" i="9"/>
  <c r="F1116" i="9"/>
  <c r="F1170" i="9"/>
  <c r="F1213" i="9"/>
  <c r="F462" i="9"/>
  <c r="F575" i="9"/>
  <c r="F690" i="9"/>
  <c r="F803" i="9"/>
  <c r="F898" i="9"/>
  <c r="F955" i="9"/>
  <c r="F1012" i="9"/>
  <c r="F1068" i="9"/>
  <c r="F1126" i="9"/>
  <c r="F1177" i="9"/>
  <c r="F1219" i="9"/>
  <c r="F569" i="9"/>
  <c r="F797" i="9"/>
  <c r="F951" i="9"/>
  <c r="F1066" i="9"/>
  <c r="F1174" i="9"/>
  <c r="F1243" i="9"/>
  <c r="F1286" i="9"/>
  <c r="F1329" i="9"/>
  <c r="F1371" i="9"/>
  <c r="F1414" i="9"/>
  <c r="F1457" i="9"/>
  <c r="F1499" i="9"/>
  <c r="F1542" i="9"/>
  <c r="F1585" i="9"/>
  <c r="F1627" i="9"/>
  <c r="F1681" i="9"/>
  <c r="F1798" i="9"/>
  <c r="F1778" i="9"/>
  <c r="F526" i="9"/>
  <c r="F930" i="9"/>
  <c r="F1211" i="9"/>
  <c r="F1326" i="9"/>
  <c r="F1411" i="9"/>
  <c r="F1534" i="9"/>
  <c r="F1619" i="9"/>
  <c r="F1710" i="9"/>
  <c r="F1822" i="9"/>
  <c r="F525" i="9"/>
  <c r="F666" i="9"/>
  <c r="F837" i="9"/>
  <c r="F928" i="9"/>
  <c r="F999" i="9"/>
  <c r="F1084" i="9"/>
  <c r="F1156" i="9"/>
  <c r="F1210" i="9"/>
  <c r="F1250" i="9"/>
  <c r="F1277" i="9"/>
  <c r="F1303" i="9"/>
  <c r="F1362" i="9"/>
  <c r="F1421" i="9"/>
  <c r="F1474" i="9"/>
  <c r="F1559" i="9"/>
  <c r="F1645" i="9"/>
  <c r="F1826" i="9"/>
  <c r="F1667" i="9"/>
  <c r="F538" i="9"/>
  <c r="F935" i="9"/>
  <c r="F1162" i="9"/>
  <c r="F1279" i="9"/>
  <c r="F1365" i="9"/>
  <c r="F1450" i="9"/>
  <c r="F1509" i="9"/>
  <c r="F1594" i="9"/>
  <c r="F1679" i="9"/>
  <c r="F1738" i="9"/>
  <c r="F1823" i="9"/>
  <c r="F1745" i="9"/>
  <c r="F1719" i="9"/>
  <c r="F902" i="9"/>
  <c r="F1130" i="9"/>
  <c r="F1315" i="9"/>
  <c r="F1459" i="9"/>
  <c r="F1651" i="9"/>
  <c r="F1658" i="9"/>
  <c r="F1829" i="9"/>
  <c r="F1803" i="9"/>
  <c r="F725" i="9"/>
  <c r="F1169" i="9"/>
  <c r="F1374" i="9"/>
  <c r="F1598" i="9"/>
  <c r="F1811" i="9"/>
  <c r="L751" i="9"/>
  <c r="L796" i="9"/>
  <c r="L616" i="9"/>
  <c r="F704" i="9"/>
  <c r="F449" i="9"/>
  <c r="L463" i="9"/>
  <c r="L591" i="9"/>
  <c r="L719" i="9"/>
  <c r="L540" i="9"/>
  <c r="L710" i="9"/>
  <c r="L426" i="9"/>
  <c r="L597" i="9"/>
  <c r="L764" i="9"/>
  <c r="L892" i="9"/>
  <c r="L750" i="9"/>
  <c r="L530" i="9"/>
  <c r="L841" i="9"/>
  <c r="L642" i="9"/>
  <c r="F416" i="9"/>
  <c r="F544" i="9"/>
  <c r="F672" i="9"/>
  <c r="F800" i="9"/>
  <c r="L858" i="9"/>
  <c r="F577" i="9"/>
  <c r="F747" i="9"/>
  <c r="F909" i="9"/>
  <c r="F1025" i="9"/>
  <c r="F1069" i="9"/>
  <c r="F1117" i="9"/>
  <c r="F1153" i="9"/>
  <c r="L811" i="9"/>
  <c r="L763" i="9"/>
  <c r="F543" i="9"/>
  <c r="F750" i="9"/>
  <c r="F414" i="9"/>
  <c r="F478" i="9"/>
  <c r="F557" i="9"/>
  <c r="F642" i="9"/>
  <c r="F706" i="9"/>
  <c r="F783" i="9"/>
  <c r="F869" i="9"/>
  <c r="F920" i="9"/>
  <c r="F979" i="9"/>
  <c r="F1043" i="9"/>
  <c r="F1091" i="9"/>
  <c r="F1150" i="9"/>
  <c r="F1200" i="9"/>
  <c r="F1236" i="9"/>
  <c r="F1280" i="9"/>
  <c r="F1328" i="9"/>
  <c r="F1364" i="9"/>
  <c r="F1408" i="9"/>
  <c r="F1456" i="9"/>
  <c r="F1492" i="9"/>
  <c r="F1536" i="9"/>
  <c r="F1584" i="9"/>
  <c r="F1620" i="9"/>
  <c r="F1664" i="9"/>
  <c r="F1712" i="9"/>
  <c r="F1748" i="9"/>
  <c r="F1792" i="9"/>
  <c r="F1840" i="9"/>
  <c r="F445" i="9"/>
  <c r="F501" i="9"/>
  <c r="F573" i="9"/>
  <c r="F665" i="9"/>
  <c r="F771" i="9"/>
  <c r="F863" i="9"/>
  <c r="F489" i="9"/>
  <c r="F602" i="9"/>
  <c r="F717" i="9"/>
  <c r="F830" i="9"/>
  <c r="F911" i="9"/>
  <c r="F967" i="9"/>
  <c r="F1024" i="9"/>
  <c r="F1082" i="9"/>
  <c r="F1138" i="9"/>
  <c r="F1186" i="9"/>
  <c r="F1229" i="9"/>
  <c r="F505" i="9"/>
  <c r="F618" i="9"/>
  <c r="F733" i="9"/>
  <c r="F846" i="9"/>
  <c r="F919" i="9"/>
  <c r="F976" i="9"/>
  <c r="F1034" i="9"/>
  <c r="F1090" i="9"/>
  <c r="F1147" i="9"/>
  <c r="F1193" i="9"/>
  <c r="F426" i="9"/>
  <c r="F654" i="9"/>
  <c r="F879" i="9"/>
  <c r="F994" i="9"/>
  <c r="F1108" i="9"/>
  <c r="F1206" i="9"/>
  <c r="F1259" i="9"/>
  <c r="F1302" i="9"/>
  <c r="F1345" i="9"/>
  <c r="F1387" i="9"/>
  <c r="F1430" i="9"/>
  <c r="F1473" i="9"/>
  <c r="F1515" i="9"/>
  <c r="F1558" i="9"/>
  <c r="F1601" i="9"/>
  <c r="F1643" i="9"/>
  <c r="F1729" i="9"/>
  <c r="F1846" i="9"/>
  <c r="F1842" i="9"/>
  <c r="F639" i="9"/>
  <c r="F1044" i="9"/>
  <c r="F1267" i="9"/>
  <c r="F1342" i="9"/>
  <c r="F1449" i="9"/>
  <c r="F1550" i="9"/>
  <c r="F1641" i="9"/>
  <c r="F1747" i="9"/>
  <c r="F1843" i="9"/>
  <c r="F553" i="9"/>
  <c r="F723" i="9"/>
  <c r="F866" i="9"/>
  <c r="F943" i="9"/>
  <c r="F1028" i="9"/>
  <c r="F1099" i="9"/>
  <c r="F1167" i="9"/>
  <c r="F1227" i="9"/>
  <c r="F1255" i="9"/>
  <c r="F1282" i="9"/>
  <c r="F1314" i="9"/>
  <c r="F1341" i="9"/>
  <c r="F1367" i="9"/>
  <c r="F1399" i="9"/>
  <c r="F1426" i="9"/>
  <c r="F1453" i="9"/>
  <c r="F1485" i="9"/>
  <c r="F1511" i="9"/>
  <c r="F1538" i="9"/>
  <c r="F1570" i="9"/>
  <c r="F1597" i="9"/>
  <c r="F1623" i="9"/>
  <c r="F1655" i="9"/>
  <c r="F1682" i="9"/>
  <c r="F1783" i="9"/>
  <c r="F1853" i="9"/>
  <c r="F1481" i="9"/>
  <c r="F1582" i="9"/>
  <c r="F1705" i="9"/>
  <c r="F1779" i="9"/>
  <c r="F425" i="9"/>
  <c r="F595" i="9"/>
  <c r="F738" i="9"/>
  <c r="F878" i="9"/>
  <c r="F964" i="9"/>
  <c r="F1035" i="9"/>
  <c r="F1106" i="9"/>
  <c r="F1183" i="9"/>
  <c r="F1231" i="9"/>
  <c r="F1258" i="9"/>
  <c r="F1290" i="9"/>
  <c r="F1343" i="9"/>
  <c r="F1375" i="9"/>
  <c r="F1461" i="9"/>
  <c r="F1514" i="9"/>
  <c r="F1599" i="9"/>
  <c r="F1685" i="9"/>
  <c r="F1770" i="9"/>
  <c r="F1713" i="9"/>
  <c r="F1851" i="9"/>
  <c r="F916" i="9"/>
  <c r="F1283" i="9"/>
  <c r="F1422" i="9"/>
  <c r="F1673" i="9"/>
  <c r="L623" i="9"/>
  <c r="L640" i="9"/>
  <c r="L883" i="9"/>
  <c r="F576" i="9"/>
  <c r="F1037" i="9"/>
  <c r="L425" i="9"/>
  <c r="F421" i="9"/>
  <c r="F727" i="9"/>
  <c r="F1000" i="9"/>
  <c r="F1204" i="9"/>
  <c r="F1376" i="9"/>
  <c r="F1552" i="9"/>
  <c r="F1716" i="9"/>
  <c r="F451" i="9"/>
  <c r="F786" i="9"/>
  <c r="F1031" i="9"/>
  <c r="F1098" i="9"/>
  <c r="F1393" i="9"/>
  <c r="F1278" i="9"/>
  <c r="F1293" i="9"/>
  <c r="F1634" i="9"/>
  <c r="F907" i="9"/>
  <c r="F1439" i="9"/>
  <c r="F1781" i="9"/>
  <c r="F1087" i="9"/>
  <c r="F1838" i="9"/>
  <c r="F1661" i="9"/>
  <c r="F1237" i="9"/>
  <c r="F1466" i="9"/>
  <c r="F1695" i="9"/>
  <c r="F1821" i="9"/>
  <c r="F1121" i="9"/>
  <c r="F1107" i="9"/>
  <c r="F579" i="9"/>
  <c r="F918" i="9"/>
  <c r="F1008" i="9"/>
  <c r="F697" i="9"/>
  <c r="F439" i="9"/>
  <c r="F1575" i="9"/>
  <c r="F1050" i="9"/>
  <c r="F1610" i="9"/>
  <c r="F782" i="9"/>
  <c r="F619" i="9"/>
  <c r="F1085" i="9"/>
  <c r="L795" i="9"/>
  <c r="F499" i="9"/>
  <c r="F813" i="9"/>
  <c r="F1048" i="9"/>
  <c r="F1248" i="9"/>
  <c r="F1424" i="9"/>
  <c r="F1588" i="9"/>
  <c r="F1760" i="9"/>
  <c r="F509" i="9"/>
  <c r="L585" i="9"/>
  <c r="F845" i="9"/>
  <c r="F1088" i="9"/>
  <c r="F519" i="9"/>
  <c r="F927" i="9"/>
  <c r="F1154" i="9"/>
  <c r="F895" i="9"/>
  <c r="F1265" i="9"/>
  <c r="F1435" i="9"/>
  <c r="F1606" i="9"/>
  <c r="L414" i="9"/>
  <c r="F1379" i="9"/>
  <c r="F1763" i="9"/>
  <c r="F886" i="9"/>
  <c r="F1319" i="9"/>
  <c r="F1549" i="9"/>
  <c r="F978" i="9"/>
  <c r="F1807" i="9"/>
  <c r="F1385" i="9"/>
  <c r="F629" i="9"/>
  <c r="F1296" i="9"/>
  <c r="F1808" i="9"/>
  <c r="F1146" i="9"/>
  <c r="F1198" i="9"/>
  <c r="F1478" i="9"/>
  <c r="F971" i="9"/>
  <c r="F1463" i="9"/>
  <c r="F623" i="9"/>
  <c r="F1381" i="9"/>
  <c r="F1834" i="9"/>
  <c r="F1443" i="9"/>
  <c r="F941" i="9"/>
  <c r="L489" i="9"/>
  <c r="F821" i="9"/>
  <c r="F649" i="9"/>
  <c r="F936" i="9"/>
  <c r="F1168" i="9"/>
  <c r="F1332" i="9"/>
  <c r="F1504" i="9"/>
  <c r="F1680" i="9"/>
  <c r="F1844" i="9"/>
  <c r="F679" i="9"/>
  <c r="F617" i="9"/>
  <c r="F975" i="9"/>
  <c r="F1191" i="9"/>
  <c r="F746" i="9"/>
  <c r="F1040" i="9"/>
  <c r="F455" i="9"/>
  <c r="F1122" i="9"/>
  <c r="F1350" i="9"/>
  <c r="F1521" i="9"/>
  <c r="F1750" i="9"/>
  <c r="F1072" i="9"/>
  <c r="F1571" i="9"/>
  <c r="F610" i="9"/>
  <c r="F1042" i="9"/>
  <c r="F1261" i="9"/>
  <c r="F1378" i="9"/>
  <c r="F1490" i="9"/>
  <c r="F1602" i="9"/>
  <c r="F1794" i="9"/>
  <c r="F1715" i="9"/>
  <c r="F766" i="9"/>
  <c r="F1135" i="9"/>
  <c r="F1295" i="9"/>
  <c r="F1407" i="9"/>
  <c r="F1525" i="9"/>
  <c r="F1637" i="9"/>
  <c r="F1749" i="9"/>
  <c r="F1686" i="9"/>
  <c r="F1687" i="9"/>
  <c r="F944" i="9"/>
  <c r="F1299" i="9"/>
  <c r="F1497" i="9"/>
  <c r="F1758" i="9"/>
  <c r="F730" i="9"/>
  <c r="L713" i="9"/>
  <c r="F861" i="9"/>
  <c r="F682" i="9"/>
  <c r="F1217" i="9"/>
  <c r="F1563" i="9"/>
  <c r="F1693" i="9"/>
  <c r="F1678" i="9"/>
  <c r="F751" i="9"/>
  <c r="F1114" i="9"/>
  <c r="F1405" i="9"/>
  <c r="F1517" i="9"/>
  <c r="F1353" i="9"/>
  <c r="F1795" i="9"/>
  <c r="F1194" i="9"/>
  <c r="F1322" i="9"/>
  <c r="F1551" i="9"/>
  <c r="F1663" i="9"/>
  <c r="F1723" i="9"/>
  <c r="F1746" i="9"/>
  <c r="F1337" i="9"/>
  <c r="F1555" i="9"/>
  <c r="F1189" i="9"/>
  <c r="F1431" i="9"/>
  <c r="F1502" i="9"/>
  <c r="F482" i="9"/>
  <c r="F1354" i="9"/>
  <c r="F1578" i="9"/>
  <c r="F1766" i="9"/>
  <c r="F1190" i="9"/>
  <c r="F1630" i="9"/>
  <c r="F790" i="9"/>
  <c r="F585" i="9"/>
  <c r="F877" i="9"/>
  <c r="F1460" i="9"/>
  <c r="F1632" i="9"/>
  <c r="F503" i="9"/>
  <c r="F633" i="9"/>
  <c r="F983" i="9"/>
  <c r="F1307" i="9"/>
  <c r="F1649" i="9"/>
  <c r="F1470" i="9"/>
  <c r="F1234" i="9"/>
  <c r="F1346" i="9"/>
  <c r="F1698" i="9"/>
  <c r="F1625" i="9"/>
  <c r="F1269" i="9"/>
  <c r="F1493" i="9"/>
  <c r="F1722" i="9"/>
  <c r="F1819" i="9"/>
  <c r="F1246" i="9"/>
  <c r="F1683" i="9"/>
  <c r="K33" i="9"/>
  <c r="BB13" i="19" s="1"/>
  <c r="G33" i="9"/>
  <c r="BB9" i="19" s="1"/>
  <c r="N33" i="9"/>
  <c r="BB16" i="19" s="1"/>
  <c r="J33" i="9"/>
  <c r="BB12" i="19" s="1"/>
  <c r="F33" i="9"/>
  <c r="BB8" i="19" s="1"/>
  <c r="O33" i="9"/>
  <c r="BB17" i="19" s="1"/>
  <c r="Q33" i="9"/>
  <c r="BB19" i="19" s="1"/>
  <c r="M33" i="9"/>
  <c r="BB15" i="19" s="1"/>
  <c r="I33" i="9"/>
  <c r="BB11" i="19" s="1"/>
  <c r="P33" i="9"/>
  <c r="BB18" i="19" s="1"/>
  <c r="L33" i="9"/>
  <c r="BB14" i="19" s="1"/>
  <c r="H33" i="9"/>
  <c r="BB10" i="19" s="1"/>
  <c r="Y72" i="9"/>
  <c r="Y73" i="9" s="1"/>
  <c r="D69" i="9"/>
  <c r="D72" i="9" s="1"/>
  <c r="D73" i="9" s="1"/>
  <c r="I69" i="9"/>
  <c r="I72" i="9" s="1"/>
  <c r="I73" i="9" s="1"/>
  <c r="E69" i="9"/>
  <c r="E72" i="9" s="1"/>
  <c r="E73" i="9" s="1"/>
  <c r="G69" i="9"/>
  <c r="G72" i="9" s="1"/>
  <c r="G73" i="9" s="1"/>
  <c r="D95" i="9"/>
  <c r="D98" i="9" s="1"/>
  <c r="D99" i="9" s="1"/>
  <c r="J69" i="9"/>
  <c r="J72" i="9" s="1"/>
  <c r="J73" i="9" s="1"/>
  <c r="F69" i="9"/>
  <c r="F72" i="9" s="1"/>
  <c r="F73" i="9" s="1"/>
  <c r="H69" i="9"/>
  <c r="H72" i="9" s="1"/>
  <c r="H73" i="9" s="1"/>
  <c r="E95" i="9"/>
  <c r="E98" i="9" s="1"/>
  <c r="E99" i="9" s="1"/>
  <c r="AD72" i="9"/>
  <c r="AD73" i="9" s="1"/>
  <c r="AG72" i="9"/>
  <c r="AG73" i="9" s="1"/>
  <c r="Z72" i="9"/>
  <c r="Z73" i="9" s="1"/>
  <c r="V72" i="9"/>
  <c r="V73" i="9" s="1"/>
  <c r="AC72" i="9"/>
  <c r="AC73" i="9" s="1"/>
  <c r="U72" i="9"/>
  <c r="U73" i="9" s="1"/>
  <c r="AF72" i="9"/>
  <c r="AF73" i="9" s="1"/>
  <c r="P72" i="9"/>
  <c r="P73" i="9" s="1"/>
  <c r="AA72" i="9"/>
  <c r="AA73" i="9" s="1"/>
  <c r="AE72" i="9"/>
  <c r="AE73" i="9" s="1"/>
  <c r="W72" i="9"/>
  <c r="W73" i="9" s="1"/>
  <c r="B17" i="21"/>
  <c r="D140" i="9" l="1"/>
  <c r="D151" i="9"/>
  <c r="D152" i="9"/>
  <c r="D181" i="9"/>
  <c r="D180" i="9"/>
  <c r="D132" i="9"/>
  <c r="D17" i="21"/>
  <c r="D22" i="8"/>
  <c r="C72" i="21" l="1"/>
  <c r="C73" i="21" s="1"/>
  <c r="C71" i="21"/>
  <c r="C79" i="21"/>
  <c r="C80" i="21" s="1"/>
  <c r="C27" i="21"/>
  <c r="C23" i="21"/>
  <c r="C84" i="21"/>
  <c r="P46" i="8"/>
  <c r="O46" i="8"/>
  <c r="L46" i="8"/>
  <c r="K46" i="8"/>
  <c r="H46" i="8"/>
  <c r="G46" i="8"/>
  <c r="Q40" i="8"/>
  <c r="P40" i="8"/>
  <c r="O40" i="8"/>
  <c r="N40" i="8"/>
  <c r="M40" i="8"/>
  <c r="L40" i="8"/>
  <c r="K40" i="8"/>
  <c r="J40" i="8"/>
  <c r="I40" i="8"/>
  <c r="H40" i="8"/>
  <c r="G40" i="8"/>
  <c r="C75" i="21" l="1"/>
  <c r="C74" i="21"/>
  <c r="C28" i="21"/>
  <c r="C30" i="21"/>
  <c r="C29" i="21"/>
  <c r="C34" i="21"/>
  <c r="C36" i="21"/>
  <c r="C40" i="21"/>
  <c r="C41" i="21" s="1"/>
  <c r="C37" i="21"/>
  <c r="C86" i="21" a="1"/>
  <c r="C86" i="21" s="1"/>
  <c r="C85" i="21" a="1"/>
  <c r="C85" i="21" s="1"/>
  <c r="I46" i="8"/>
  <c r="M46" i="8"/>
  <c r="Q46" i="8"/>
  <c r="F46" i="8"/>
  <c r="J46" i="8"/>
  <c r="N46" i="8"/>
  <c r="E46" i="8"/>
  <c r="D46" i="8"/>
  <c r="C38" i="21" l="1"/>
  <c r="C87" i="21"/>
  <c r="G97" i="7"/>
  <c r="G96" i="7"/>
  <c r="G90" i="7"/>
  <c r="G91" i="7"/>
  <c r="B87" i="7"/>
  <c r="B93" i="7"/>
  <c r="G73" i="7"/>
  <c r="G72" i="7"/>
  <c r="G67" i="7"/>
  <c r="G66" i="7"/>
  <c r="B60" i="7"/>
  <c r="G59" i="7"/>
  <c r="B46" i="7"/>
  <c r="E53" i="7"/>
  <c r="G53" i="7"/>
  <c r="B31" i="7"/>
  <c r="G45" i="7"/>
  <c r="G44" i="7"/>
  <c r="G38" i="7"/>
  <c r="G37" i="7"/>
  <c r="C89" i="21" l="1"/>
  <c r="E96" i="7"/>
  <c r="E90" i="7"/>
  <c r="E97" i="7"/>
  <c r="E91" i="7"/>
  <c r="E44" i="7"/>
  <c r="E73" i="7"/>
  <c r="E59" i="7"/>
  <c r="E67" i="7"/>
  <c r="E52" i="7"/>
  <c r="E58" i="7"/>
  <c r="E37" i="7"/>
  <c r="E45" i="7"/>
  <c r="E66" i="7"/>
  <c r="E38" i="7"/>
  <c r="E72" i="7"/>
  <c r="C76" i="7" l="1"/>
  <c r="B34" i="21"/>
  <c r="G29" i="7" l="1"/>
  <c r="F12" i="3" l="1"/>
  <c r="D110" i="9" l="1"/>
  <c r="D113" i="9" s="1"/>
  <c r="C106" i="9"/>
  <c r="C104" i="9"/>
  <c r="C107" i="9"/>
  <c r="C105" i="9"/>
  <c r="F15" i="3"/>
  <c r="F13" i="3"/>
  <c r="D76" i="9" s="1"/>
  <c r="F79" i="18" l="1"/>
  <c r="H79" i="18" s="1"/>
  <c r="F17" i="3"/>
  <c r="F16" i="3"/>
  <c r="D114" i="9"/>
  <c r="C111" i="9"/>
  <c r="C114" i="9"/>
  <c r="C110" i="9"/>
  <c r="C113" i="9"/>
  <c r="C112" i="9"/>
  <c r="C116" i="9"/>
  <c r="C137" i="9"/>
  <c r="C133" i="9"/>
  <c r="C129" i="9"/>
  <c r="C124" i="9"/>
  <c r="C144" i="9"/>
  <c r="C153" i="9"/>
  <c r="C180" i="9"/>
  <c r="C176" i="9"/>
  <c r="C134" i="9"/>
  <c r="C136" i="9"/>
  <c r="C132" i="9"/>
  <c r="C128" i="9"/>
  <c r="C123" i="9"/>
  <c r="C143" i="9"/>
  <c r="C152" i="9"/>
  <c r="C179" i="9"/>
  <c r="C175" i="9"/>
  <c r="C135" i="9"/>
  <c r="C131" i="9"/>
  <c r="C127" i="9"/>
  <c r="C122" i="9"/>
  <c r="C142" i="9"/>
  <c r="C151" i="9"/>
  <c r="C178" i="9"/>
  <c r="C130" i="9"/>
  <c r="C126" i="9"/>
  <c r="C141" i="9"/>
  <c r="C181" i="9"/>
  <c r="C177" i="9"/>
  <c r="C102" i="9"/>
  <c r="B79" i="7"/>
  <c r="B80" i="7"/>
  <c r="C411" i="9"/>
  <c r="C45" i="9"/>
  <c r="H81" i="7"/>
  <c r="H80" i="7"/>
  <c r="C21" i="8"/>
  <c r="B15" i="7"/>
  <c r="B21" i="7"/>
  <c r="B28" i="7"/>
  <c r="B96" i="7"/>
  <c r="B90" i="7"/>
  <c r="B72" i="7"/>
  <c r="B52" i="7"/>
  <c r="B66" i="7"/>
  <c r="B58" i="7"/>
  <c r="G17" i="3"/>
  <c r="B44" i="7"/>
  <c r="B37" i="7"/>
  <c r="F14" i="3"/>
  <c r="E17" i="3"/>
  <c r="B34" i="3"/>
  <c r="B33" i="3"/>
  <c r="C5" i="20" l="1"/>
  <c r="BH24" i="19" l="1"/>
  <c r="BK24" i="19" s="1"/>
  <c r="BH25" i="19"/>
  <c r="BK25" i="19" s="1"/>
  <c r="BH26" i="19"/>
  <c r="BK26" i="19" s="1"/>
  <c r="BG27" i="19"/>
  <c r="BJ27" i="19" s="1"/>
  <c r="BH32" i="19"/>
  <c r="BK32" i="19" s="1"/>
  <c r="BH28" i="19"/>
  <c r="BK28" i="19" s="1"/>
  <c r="BD29" i="19"/>
  <c r="BD27" i="19"/>
  <c r="BH18" i="19"/>
  <c r="BK18" i="19" s="1"/>
  <c r="BG15" i="19"/>
  <c r="BJ15" i="19" s="1"/>
  <c r="BH14" i="19"/>
  <c r="BK14" i="19" s="1"/>
  <c r="BF12" i="19"/>
  <c r="BF11" i="19"/>
  <c r="BF10" i="19"/>
  <c r="BH10" i="19" s="1"/>
  <c r="BK10" i="19" s="1"/>
  <c r="BF9" i="19"/>
  <c r="BF8" i="19"/>
  <c r="BH8" i="19" s="1"/>
  <c r="BK8" i="19" s="1"/>
  <c r="BF7" i="19"/>
  <c r="BH7" i="19" s="1"/>
  <c r="BK7" i="19" s="1"/>
  <c r="BF6" i="19"/>
  <c r="BG6" i="19" s="1"/>
  <c r="AY41" i="19"/>
  <c r="AY40" i="19"/>
  <c r="AY39" i="19"/>
  <c r="AY38" i="19"/>
  <c r="D133" i="9"/>
  <c r="D143" i="9"/>
  <c r="D141" i="9" s="1"/>
  <c r="H171" i="9"/>
  <c r="BB29" i="19" l="1"/>
  <c r="AZ46" i="19"/>
  <c r="BB30" i="19"/>
  <c r="AZ39" i="19" s="1"/>
  <c r="AZ45" i="19"/>
  <c r="BH6" i="19"/>
  <c r="BK6" i="19" s="1"/>
  <c r="D142" i="9"/>
  <c r="BG25" i="19"/>
  <c r="BG33" i="19"/>
  <c r="BJ33" i="19" s="1"/>
  <c r="BH29" i="19"/>
  <c r="BK29" i="19" s="1"/>
  <c r="BH30" i="19"/>
  <c r="BK30" i="19" s="1"/>
  <c r="BG26" i="19"/>
  <c r="BG24" i="19"/>
  <c r="BB27" i="19"/>
  <c r="BG28" i="19"/>
  <c r="BH22" i="19"/>
  <c r="BK22" i="19" s="1"/>
  <c r="BG29" i="19"/>
  <c r="BJ29" i="19" s="1"/>
  <c r="BH33" i="19"/>
  <c r="BK33" i="19" s="1"/>
  <c r="BB28" i="19"/>
  <c r="AZ41" i="19" s="1"/>
  <c r="BG32" i="19"/>
  <c r="BH34" i="19"/>
  <c r="BK34" i="19" s="1"/>
  <c r="BG22" i="19"/>
  <c r="BJ22" i="19" s="1"/>
  <c r="BG30" i="19"/>
  <c r="BJ30" i="19" s="1"/>
  <c r="BG34" i="19"/>
  <c r="BJ34" i="19" s="1"/>
  <c r="BH23" i="19"/>
  <c r="BK23" i="19" s="1"/>
  <c r="BH27" i="19"/>
  <c r="BK27" i="19" s="1"/>
  <c r="BH31" i="19"/>
  <c r="BK31" i="19" s="1"/>
  <c r="BH35" i="19"/>
  <c r="BK35" i="19" s="1"/>
  <c r="BH21" i="19"/>
  <c r="BK21" i="19" s="1"/>
  <c r="BH15" i="19"/>
  <c r="BK15" i="19" s="1"/>
  <c r="BG21" i="19"/>
  <c r="BJ21" i="19" s="1"/>
  <c r="BG23" i="19"/>
  <c r="BJ23" i="19" s="1"/>
  <c r="BG31" i="19"/>
  <c r="BJ31" i="19" s="1"/>
  <c r="BG35" i="19"/>
  <c r="BJ35" i="19" s="1"/>
  <c r="BG7" i="19"/>
  <c r="BG10" i="19"/>
  <c r="BJ10" i="19" s="1"/>
  <c r="BG11" i="19"/>
  <c r="BJ11" i="19" s="1"/>
  <c r="BH16" i="19"/>
  <c r="BK16" i="19" s="1"/>
  <c r="BG18" i="19"/>
  <c r="BH11" i="19"/>
  <c r="BK11" i="19" s="1"/>
  <c r="BH12" i="19"/>
  <c r="BK12" i="19" s="1"/>
  <c r="BG19" i="19"/>
  <c r="BJ19" i="19" s="1"/>
  <c r="BG14" i="19"/>
  <c r="BH13" i="19"/>
  <c r="BK13" i="19" s="1"/>
  <c r="BG13" i="19"/>
  <c r="BJ13" i="19" s="1"/>
  <c r="BH20" i="19"/>
  <c r="BK20" i="19" s="1"/>
  <c r="BG20" i="19"/>
  <c r="BJ20" i="19" s="1"/>
  <c r="BJ6" i="19"/>
  <c r="BH9" i="19"/>
  <c r="BK9" i="19" s="1"/>
  <c r="BG9" i="19"/>
  <c r="BJ9" i="19" s="1"/>
  <c r="BH17" i="19"/>
  <c r="BK17" i="19" s="1"/>
  <c r="BG17" i="19"/>
  <c r="BJ17" i="19" s="1"/>
  <c r="BH19" i="19"/>
  <c r="BK19" i="19" s="1"/>
  <c r="BG8" i="19"/>
  <c r="BG12" i="19"/>
  <c r="BJ12" i="19" s="1"/>
  <c r="BG16" i="19"/>
  <c r="BJ16" i="19" s="1"/>
  <c r="BI24" i="19" l="1"/>
  <c r="BJ24" i="19"/>
  <c r="BI32" i="19"/>
  <c r="BJ32" i="19"/>
  <c r="BI26" i="19"/>
  <c r="BJ26" i="19"/>
  <c r="BI25" i="19"/>
  <c r="BJ25" i="19"/>
  <c r="BI18" i="19"/>
  <c r="BJ18" i="19"/>
  <c r="BI28" i="19"/>
  <c r="BJ28" i="19"/>
  <c r="AZ40" i="19"/>
  <c r="BI14" i="19"/>
  <c r="BJ14" i="19"/>
  <c r="BI8" i="19"/>
  <c r="BJ8" i="19"/>
  <c r="BI7" i="19"/>
  <c r="BJ7" i="19"/>
  <c r="BI29" i="19"/>
  <c r="BI15" i="19"/>
  <c r="BI34" i="19"/>
  <c r="BI30" i="19"/>
  <c r="BI35" i="19"/>
  <c r="BI33" i="19"/>
  <c r="BI22" i="19"/>
  <c r="AZ38" i="19"/>
  <c r="BI21" i="19"/>
  <c r="BI23" i="19"/>
  <c r="BI13" i="19"/>
  <c r="BI20" i="19"/>
  <c r="BI31" i="19"/>
  <c r="BI10" i="19"/>
  <c r="BI27" i="19"/>
  <c r="BI19" i="19"/>
  <c r="BI11" i="19"/>
  <c r="BI16" i="19"/>
  <c r="BI12" i="19"/>
  <c r="BI6" i="19"/>
  <c r="BI17" i="19"/>
  <c r="BI9" i="19"/>
  <c r="C83" i="7" l="1"/>
  <c r="C79" i="7"/>
  <c r="G28" i="7"/>
  <c r="G22" i="7"/>
  <c r="G21" i="7"/>
  <c r="G16" i="7"/>
  <c r="G15" i="7"/>
  <c r="G81" i="7" l="1"/>
  <c r="G80" i="7"/>
  <c r="E22" i="7"/>
  <c r="E21" i="7"/>
  <c r="E15" i="7"/>
  <c r="E16" i="7"/>
  <c r="E28" i="7"/>
  <c r="E29" i="7"/>
  <c r="E80" i="7" l="1"/>
  <c r="R19" i="9" l="1"/>
  <c r="C16" i="5" l="1"/>
  <c r="B16" i="5" l="1"/>
  <c r="D184" i="9" l="1"/>
  <c r="D183" i="9"/>
  <c r="D185" i="9" l="1"/>
  <c r="B60" i="8"/>
  <c r="C185" i="9"/>
  <c r="C168" i="9"/>
  <c r="Q172" i="9" l="1"/>
  <c r="P172" i="9"/>
  <c r="O172" i="9"/>
  <c r="N172" i="9"/>
  <c r="M172" i="9"/>
  <c r="L172" i="9"/>
  <c r="K172" i="9"/>
  <c r="J172" i="9"/>
  <c r="I172" i="9"/>
  <c r="H172" i="9"/>
  <c r="G172" i="9"/>
  <c r="F172" i="9"/>
  <c r="E172" i="9"/>
  <c r="Q171" i="9"/>
  <c r="P171" i="9"/>
  <c r="O171" i="9"/>
  <c r="N171" i="9"/>
  <c r="M171" i="9"/>
  <c r="L171" i="9"/>
  <c r="K171" i="9"/>
  <c r="J171" i="9"/>
  <c r="I171" i="9"/>
  <c r="G171" i="9"/>
  <c r="F171" i="9"/>
  <c r="E171" i="9"/>
  <c r="D171" i="9"/>
  <c r="Q167" i="9"/>
  <c r="Q166" i="9"/>
  <c r="P167" i="9"/>
  <c r="P166" i="9"/>
  <c r="O167" i="9"/>
  <c r="O166" i="9"/>
  <c r="N167" i="9"/>
  <c r="N166" i="9"/>
  <c r="M167" i="9"/>
  <c r="M166" i="9"/>
  <c r="L167" i="9"/>
  <c r="L166" i="9"/>
  <c r="K167" i="9"/>
  <c r="K166" i="9"/>
  <c r="J167" i="9"/>
  <c r="J166" i="9"/>
  <c r="I167" i="9"/>
  <c r="I166" i="9"/>
  <c r="H167" i="9"/>
  <c r="H166" i="9"/>
  <c r="G167" i="9"/>
  <c r="G166" i="9"/>
  <c r="F167" i="9"/>
  <c r="F166" i="9"/>
  <c r="E167" i="9"/>
  <c r="E166" i="9"/>
  <c r="D167" i="9"/>
  <c r="D166" i="9"/>
  <c r="B29" i="17"/>
  <c r="Q168" i="9" l="1"/>
  <c r="P168" i="9"/>
  <c r="E168" i="9"/>
  <c r="G168" i="9"/>
  <c r="I168" i="9"/>
  <c r="K168" i="9"/>
  <c r="M168" i="9"/>
  <c r="O168" i="9"/>
  <c r="F168" i="9"/>
  <c r="J168" i="9"/>
  <c r="N168" i="9"/>
  <c r="D168" i="9"/>
  <c r="H168" i="9"/>
  <c r="L168" i="9"/>
  <c r="C35" i="17"/>
  <c r="C34" i="17"/>
  <c r="C36" i="17" l="1"/>
  <c r="D39" i="17" l="1"/>
  <c r="C28" i="17"/>
  <c r="C27" i="17"/>
  <c r="C29" i="17" l="1"/>
  <c r="B104" i="18"/>
  <c r="B103" i="18"/>
  <c r="B102" i="18"/>
  <c r="B101" i="18"/>
  <c r="B96" i="18"/>
  <c r="B95" i="18"/>
  <c r="B94" i="18"/>
  <c r="B93" i="18"/>
  <c r="I31" i="17"/>
  <c r="J31" i="17"/>
  <c r="I32" i="17"/>
  <c r="J32" i="17"/>
  <c r="I33" i="17"/>
  <c r="J33" i="17"/>
  <c r="J30" i="17"/>
  <c r="I30" i="17"/>
  <c r="H33" i="17"/>
  <c r="H32" i="17"/>
  <c r="H31" i="17"/>
  <c r="H30" i="17"/>
  <c r="G16" i="8"/>
  <c r="H16" i="8"/>
  <c r="G17" i="8"/>
  <c r="H17" i="8"/>
  <c r="G18" i="8"/>
  <c r="E53" i="8" s="1"/>
  <c r="H15" i="8"/>
  <c r="G15" i="8"/>
  <c r="F18" i="8"/>
  <c r="F17" i="8"/>
  <c r="F16" i="8"/>
  <c r="F15" i="8"/>
  <c r="B102" i="15"/>
  <c r="B101" i="15"/>
  <c r="B100" i="15"/>
  <c r="B99" i="15"/>
  <c r="L15" i="4" l="1"/>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13" i="4"/>
  <c r="O25" i="4"/>
  <c r="O26" i="4"/>
  <c r="O27" i="4"/>
  <c r="O28" i="4"/>
  <c r="O29" i="4"/>
  <c r="O30" i="4"/>
  <c r="O31" i="4"/>
  <c r="O32" i="4"/>
  <c r="O33" i="4"/>
  <c r="O34" i="4"/>
  <c r="O35" i="4"/>
  <c r="O36" i="4"/>
  <c r="O37" i="4"/>
  <c r="O38" i="4"/>
  <c r="O39" i="4"/>
  <c r="O40" i="4"/>
  <c r="O41" i="4"/>
  <c r="O42" i="4"/>
  <c r="O43" i="4"/>
  <c r="O44" i="4"/>
  <c r="O45" i="4"/>
  <c r="O46" i="4"/>
  <c r="O47" i="4"/>
  <c r="O48" i="4"/>
  <c r="O49" i="4"/>
  <c r="O50" i="4"/>
  <c r="O51" i="4"/>
  <c r="O52" i="4"/>
  <c r="M13" i="4"/>
  <c r="O13" i="4" s="1"/>
  <c r="M14" i="4"/>
  <c r="O14" i="4" s="1"/>
  <c r="N14" i="4"/>
  <c r="M15" i="4"/>
  <c r="O15" i="4" s="1"/>
  <c r="N15" i="4"/>
  <c r="M16" i="4"/>
  <c r="O16" i="4" s="1"/>
  <c r="N16" i="4"/>
  <c r="M17" i="4"/>
  <c r="O17" i="4" s="1"/>
  <c r="N17" i="4"/>
  <c r="M18" i="4"/>
  <c r="O18" i="4" s="1"/>
  <c r="N18" i="4"/>
  <c r="M19" i="4"/>
  <c r="O19" i="4" s="1"/>
  <c r="N19" i="4"/>
  <c r="M20" i="4"/>
  <c r="O20" i="4" s="1"/>
  <c r="N20" i="4"/>
  <c r="M21" i="4"/>
  <c r="O21" i="4" s="1"/>
  <c r="N21" i="4"/>
  <c r="M22" i="4"/>
  <c r="O22" i="4" s="1"/>
  <c r="N22" i="4"/>
  <c r="M23" i="4"/>
  <c r="O23" i="4" s="1"/>
  <c r="N23" i="4"/>
  <c r="M24" i="4"/>
  <c r="O24" i="4" s="1"/>
  <c r="N24" i="4"/>
  <c r="M25" i="4"/>
  <c r="N25" i="4"/>
  <c r="M26" i="4"/>
  <c r="N26" i="4"/>
  <c r="M27" i="4"/>
  <c r="N27" i="4"/>
  <c r="M28" i="4"/>
  <c r="N28" i="4"/>
  <c r="M29" i="4"/>
  <c r="N29" i="4"/>
  <c r="M30" i="4"/>
  <c r="N30" i="4"/>
  <c r="M31" i="4"/>
  <c r="N31" i="4"/>
  <c r="M32" i="4"/>
  <c r="N32" i="4"/>
  <c r="M33" i="4"/>
  <c r="N33" i="4"/>
  <c r="M34" i="4"/>
  <c r="N34" i="4"/>
  <c r="M35" i="4"/>
  <c r="N35" i="4"/>
  <c r="M36" i="4"/>
  <c r="N36" i="4"/>
  <c r="M37" i="4"/>
  <c r="N37" i="4"/>
  <c r="M38" i="4"/>
  <c r="N38" i="4"/>
  <c r="M39" i="4"/>
  <c r="N39" i="4"/>
  <c r="M40" i="4"/>
  <c r="N40" i="4"/>
  <c r="M41" i="4"/>
  <c r="N41" i="4"/>
  <c r="M42" i="4"/>
  <c r="N42" i="4"/>
  <c r="M43" i="4"/>
  <c r="N43" i="4"/>
  <c r="M44" i="4"/>
  <c r="N44" i="4"/>
  <c r="M45" i="4"/>
  <c r="N45" i="4"/>
  <c r="M46" i="4"/>
  <c r="N46" i="4"/>
  <c r="M47" i="4"/>
  <c r="N47" i="4"/>
  <c r="M48" i="4"/>
  <c r="N48" i="4"/>
  <c r="M49" i="4"/>
  <c r="N49" i="4"/>
  <c r="M50" i="4"/>
  <c r="N50" i="4"/>
  <c r="M51" i="4"/>
  <c r="N51" i="4"/>
  <c r="M52" i="4"/>
  <c r="N52" i="4"/>
  <c r="N13" i="4"/>
  <c r="I13" i="4"/>
  <c r="G13" i="4"/>
  <c r="G14" i="4"/>
  <c r="I14" i="4"/>
  <c r="G15" i="4"/>
  <c r="I15" i="4"/>
  <c r="G16" i="4"/>
  <c r="I16" i="4"/>
  <c r="G17" i="4"/>
  <c r="I17" i="4"/>
  <c r="G18" i="4"/>
  <c r="I18" i="4"/>
  <c r="G19" i="4"/>
  <c r="I19" i="4"/>
  <c r="G20" i="4"/>
  <c r="I20" i="4"/>
  <c r="G21" i="4"/>
  <c r="I21" i="4"/>
  <c r="G22" i="4"/>
  <c r="I22" i="4"/>
  <c r="G23" i="4"/>
  <c r="I23" i="4"/>
  <c r="G24" i="4"/>
  <c r="I24" i="4"/>
  <c r="G25" i="4"/>
  <c r="I25" i="4"/>
  <c r="G26" i="4"/>
  <c r="I26" i="4"/>
  <c r="G27" i="4"/>
  <c r="I27" i="4"/>
  <c r="G28" i="4"/>
  <c r="I28" i="4"/>
  <c r="G29" i="4"/>
  <c r="I29" i="4"/>
  <c r="G30" i="4"/>
  <c r="I30" i="4"/>
  <c r="G31" i="4"/>
  <c r="I31" i="4"/>
  <c r="G32" i="4"/>
  <c r="I32" i="4"/>
  <c r="G33" i="4"/>
  <c r="I33" i="4"/>
  <c r="G34" i="4"/>
  <c r="I34" i="4"/>
  <c r="G35" i="4"/>
  <c r="I35" i="4"/>
  <c r="G36" i="4"/>
  <c r="I36" i="4"/>
  <c r="G37" i="4"/>
  <c r="I37" i="4"/>
  <c r="G38" i="4"/>
  <c r="I38" i="4"/>
  <c r="G39" i="4"/>
  <c r="I39" i="4"/>
  <c r="G40" i="4"/>
  <c r="I40" i="4"/>
  <c r="G41" i="4"/>
  <c r="I41" i="4"/>
  <c r="G42" i="4"/>
  <c r="I42" i="4"/>
  <c r="G43" i="4"/>
  <c r="I43" i="4"/>
  <c r="G44" i="4"/>
  <c r="I44" i="4"/>
  <c r="G45" i="4"/>
  <c r="I45" i="4"/>
  <c r="G46" i="4"/>
  <c r="I46" i="4"/>
  <c r="G47" i="4"/>
  <c r="I47" i="4"/>
  <c r="G48" i="4"/>
  <c r="I48" i="4"/>
  <c r="G49" i="4"/>
  <c r="I49" i="4"/>
  <c r="G50" i="4"/>
  <c r="I50" i="4"/>
  <c r="G51" i="4"/>
  <c r="I51" i="4"/>
  <c r="G52" i="4"/>
  <c r="I52" i="4"/>
  <c r="H37" i="9" l="1"/>
  <c r="H39" i="9" s="1"/>
  <c r="Q37" i="9"/>
  <c r="Q39" i="9" s="1"/>
  <c r="P37" i="9"/>
  <c r="P39" i="9" s="1"/>
  <c r="O37" i="9"/>
  <c r="O39" i="9" s="1"/>
  <c r="N37" i="9"/>
  <c r="N39" i="9" s="1"/>
  <c r="M37" i="9"/>
  <c r="M39" i="9" s="1"/>
  <c r="L37" i="9"/>
  <c r="L39" i="9" s="1"/>
  <c r="K37" i="9"/>
  <c r="K39" i="9" s="1"/>
  <c r="J37" i="9"/>
  <c r="J39" i="9" s="1"/>
  <c r="I37" i="9"/>
  <c r="I39" i="9" s="1"/>
  <c r="G37" i="9"/>
  <c r="G39" i="9" s="1"/>
  <c r="F37" i="9"/>
  <c r="F39" i="9" s="1"/>
  <c r="E37" i="9"/>
  <c r="E39" i="9" s="1"/>
  <c r="G36" i="9"/>
  <c r="Q36" i="9"/>
  <c r="P36" i="9"/>
  <c r="O36" i="9"/>
  <c r="N36" i="9"/>
  <c r="M36" i="9"/>
  <c r="L36" i="9"/>
  <c r="K36" i="9"/>
  <c r="J36" i="9"/>
  <c r="I36" i="9"/>
  <c r="H36" i="9"/>
  <c r="F36" i="9"/>
  <c r="E36" i="9"/>
  <c r="L40" i="9" l="1"/>
  <c r="L38" i="9"/>
  <c r="L18" i="9" s="1"/>
  <c r="I40" i="9"/>
  <c r="I38" i="9"/>
  <c r="I18" i="9" s="1"/>
  <c r="M40" i="9"/>
  <c r="M38" i="9"/>
  <c r="M18" i="9" s="1"/>
  <c r="Q40" i="9"/>
  <c r="Q38" i="9"/>
  <c r="Q18" i="9" s="1"/>
  <c r="H40" i="9"/>
  <c r="H38" i="9"/>
  <c r="H18" i="9" s="1"/>
  <c r="P40" i="9"/>
  <c r="P38" i="9"/>
  <c r="P18" i="9" s="1"/>
  <c r="E40" i="9"/>
  <c r="E38" i="9"/>
  <c r="E18" i="9" s="1"/>
  <c r="J38" i="9"/>
  <c r="J18" i="9" s="1"/>
  <c r="J40" i="9"/>
  <c r="N38" i="9"/>
  <c r="N18" i="9" s="1"/>
  <c r="N40" i="9"/>
  <c r="G38" i="9"/>
  <c r="G18" i="9" s="1"/>
  <c r="G40" i="9"/>
  <c r="F38" i="9"/>
  <c r="F18" i="9" s="1"/>
  <c r="F40" i="9"/>
  <c r="K38" i="9"/>
  <c r="K18" i="9" s="1"/>
  <c r="K40" i="9"/>
  <c r="O38" i="9"/>
  <c r="O18" i="9" s="1"/>
  <c r="O40" i="9"/>
  <c r="C31" i="17"/>
  <c r="C24" i="17"/>
  <c r="C23" i="17"/>
  <c r="C25" i="17" s="1"/>
  <c r="C21" i="17" s="1"/>
  <c r="C39" i="17" s="1"/>
  <c r="C41" i="17" l="1"/>
  <c r="Q41" i="9" l="1"/>
  <c r="P41" i="9"/>
  <c r="E41" i="9"/>
  <c r="C32" i="17"/>
  <c r="M41" i="9" l="1"/>
  <c r="F41" i="9"/>
  <c r="H41" i="9"/>
  <c r="L41" i="9"/>
  <c r="G41" i="9"/>
  <c r="I41" i="9"/>
  <c r="O41" i="9"/>
  <c r="J41" i="9"/>
  <c r="K41" i="9"/>
  <c r="N41" i="9"/>
  <c r="P42" i="9"/>
  <c r="Q42" i="9"/>
  <c r="K42" i="9"/>
  <c r="L42" i="9"/>
  <c r="G42" i="9"/>
  <c r="E42" i="9"/>
  <c r="I42" i="9"/>
  <c r="H42" i="9"/>
  <c r="J42" i="9"/>
  <c r="F42" i="9"/>
  <c r="M42" i="9"/>
  <c r="O42" i="9"/>
  <c r="N42" i="9"/>
  <c r="E45" i="17"/>
  <c r="D23" i="18" l="1"/>
  <c r="D19" i="18"/>
  <c r="D15" i="18"/>
  <c r="D11" i="18"/>
  <c r="O23" i="18"/>
  <c r="N19" i="18"/>
  <c r="N15" i="18" l="1"/>
  <c r="C34" i="8" l="1"/>
  <c r="C35" i="8"/>
  <c r="B40" i="8"/>
  <c r="C40" i="8" l="1"/>
  <c r="F40" i="8"/>
  <c r="D40" i="8"/>
  <c r="E40" i="8"/>
  <c r="D14" i="13" l="1"/>
  <c r="G33" i="3" l="1"/>
  <c r="H33" i="3"/>
  <c r="G34" i="3"/>
  <c r="H34" i="3"/>
  <c r="G35" i="3"/>
  <c r="H35" i="3"/>
  <c r="H32" i="3"/>
  <c r="G32" i="3"/>
  <c r="C3" i="21"/>
  <c r="C7" i="20" l="1"/>
  <c r="C3" i="18"/>
  <c r="C3" i="20"/>
  <c r="C3" i="17"/>
  <c r="C3" i="9"/>
  <c r="C3" i="7"/>
  <c r="C3" i="8"/>
  <c r="C3" i="10"/>
  <c r="C3" i="15"/>
  <c r="C3" i="4"/>
  <c r="C3" i="5"/>
  <c r="C3" i="2"/>
  <c r="C3" i="13"/>
  <c r="C3" i="3"/>
  <c r="F18" i="3" l="1"/>
  <c r="H20" i="9" l="1"/>
  <c r="L20" i="9"/>
  <c r="P20" i="9"/>
  <c r="E20" i="9"/>
  <c r="I20" i="9"/>
  <c r="M20" i="9"/>
  <c r="Q20" i="9"/>
  <c r="F20" i="9"/>
  <c r="J20" i="9"/>
  <c r="N20" i="9"/>
  <c r="G20" i="9"/>
  <c r="K20" i="9"/>
  <c r="O20" i="9"/>
  <c r="C34" i="9"/>
  <c r="D20" i="9"/>
  <c r="C20" i="9"/>
  <c r="C26" i="9"/>
  <c r="D34" i="9"/>
  <c r="E34" i="9"/>
  <c r="I34" i="9"/>
  <c r="M34" i="9"/>
  <c r="Q34" i="9"/>
  <c r="F34" i="9"/>
  <c r="J34" i="9"/>
  <c r="N34" i="9"/>
  <c r="G34" i="9"/>
  <c r="K34" i="9"/>
  <c r="O34" i="9"/>
  <c r="H34" i="9"/>
  <c r="L34" i="9"/>
  <c r="P34" i="9"/>
  <c r="E31" i="9"/>
  <c r="I31" i="9"/>
  <c r="M31" i="9"/>
  <c r="Q31" i="9"/>
  <c r="F31" i="9"/>
  <c r="J31" i="9"/>
  <c r="N31" i="9"/>
  <c r="G31" i="9"/>
  <c r="K31" i="9"/>
  <c r="O31" i="9"/>
  <c r="H31" i="9"/>
  <c r="L31" i="9"/>
  <c r="P31" i="9"/>
  <c r="D27" i="9"/>
  <c r="D31" i="9"/>
  <c r="E27" i="9"/>
  <c r="E28" i="9" s="1"/>
  <c r="I27" i="9"/>
  <c r="I28" i="9" s="1"/>
  <c r="M27" i="9"/>
  <c r="M28" i="9" s="1"/>
  <c r="F27" i="9"/>
  <c r="F28" i="9" s="1"/>
  <c r="J27" i="9"/>
  <c r="J28" i="9" s="1"/>
  <c r="N27" i="9"/>
  <c r="N28" i="9" s="1"/>
  <c r="G27" i="9"/>
  <c r="G28" i="9" s="1"/>
  <c r="K27" i="9"/>
  <c r="K28" i="9" s="1"/>
  <c r="O27" i="9"/>
  <c r="O28" i="9" s="1"/>
  <c r="H27" i="9"/>
  <c r="H28" i="9" s="1"/>
  <c r="L27" i="9"/>
  <c r="L28" i="9" s="1"/>
  <c r="D102" i="9" l="1"/>
  <c r="D104" i="9" s="1"/>
  <c r="P27" i="9"/>
  <c r="P28" i="9" s="1"/>
  <c r="Q27" i="9"/>
  <c r="Q28" i="9" s="1"/>
  <c r="AZ22" i="19"/>
  <c r="BB22" i="19" s="1"/>
  <c r="Q21" i="9"/>
  <c r="Q22" i="9" s="1"/>
  <c r="P21" i="9"/>
  <c r="P22" i="9" s="1"/>
  <c r="BB7" i="19"/>
  <c r="G21" i="9"/>
  <c r="G22" i="9" s="1"/>
  <c r="K21" i="9"/>
  <c r="K22" i="9" s="1"/>
  <c r="F21" i="9"/>
  <c r="F22" i="9" s="1"/>
  <c r="E21" i="9"/>
  <c r="E22" i="9" s="1"/>
  <c r="N21" i="9"/>
  <c r="N22" i="9" s="1"/>
  <c r="M21" i="9"/>
  <c r="M22" i="9" s="1"/>
  <c r="L21" i="9"/>
  <c r="L22" i="9" s="1"/>
  <c r="O21" i="9"/>
  <c r="O22" i="9" s="1"/>
  <c r="J21" i="9"/>
  <c r="J22" i="9" s="1"/>
  <c r="I21" i="9"/>
  <c r="I22" i="9" s="1"/>
  <c r="H21" i="9"/>
  <c r="H22" i="9" s="1"/>
  <c r="D28" i="9"/>
  <c r="R20" i="9"/>
  <c r="AZ24" i="19"/>
  <c r="AZ23" i="19"/>
  <c r="BB6" i="19" l="1"/>
  <c r="AZ6" i="19" s="1"/>
  <c r="R21" i="9"/>
  <c r="R22" i="9" s="1"/>
  <c r="BA23" i="19"/>
  <c r="D119" i="9" l="1"/>
  <c r="D134" i="9" s="1"/>
  <c r="D137" i="9" s="1"/>
  <c r="BB23" i="19"/>
  <c r="BA6" i="19"/>
  <c r="BD6" i="19" s="1"/>
  <c r="BC22" i="19"/>
  <c r="AZ8" i="19"/>
  <c r="BC8" i="19" s="1"/>
  <c r="AZ7" i="19"/>
  <c r="BC7" i="19" s="1"/>
  <c r="AZ17" i="19"/>
  <c r="BC17" i="19" s="1"/>
  <c r="AZ19" i="19"/>
  <c r="BC19" i="19" s="1"/>
  <c r="AZ18" i="19"/>
  <c r="BC18" i="19" s="1"/>
  <c r="AZ13" i="19"/>
  <c r="BC13" i="19" s="1"/>
  <c r="AZ16" i="19"/>
  <c r="BC16" i="19" s="1"/>
  <c r="AZ15" i="19"/>
  <c r="BC15" i="19" s="1"/>
  <c r="AZ14" i="19"/>
  <c r="BC14" i="19" s="1"/>
  <c r="AZ9" i="19"/>
  <c r="BC9" i="19" s="1"/>
  <c r="AZ12" i="19"/>
  <c r="BC12" i="19" s="1"/>
  <c r="AZ11" i="19"/>
  <c r="BC11" i="19" s="1"/>
  <c r="AZ10" i="19"/>
  <c r="BC10" i="19" s="1"/>
  <c r="BC6" i="19"/>
  <c r="D147" i="9" l="1"/>
  <c r="D145" i="9"/>
  <c r="D153" i="9" s="1"/>
  <c r="D149" i="9"/>
  <c r="BA24" i="19"/>
  <c r="BB24" i="19" s="1"/>
  <c r="BC23" i="19"/>
  <c r="AZ27" i="19" s="1"/>
  <c r="BA11" i="19"/>
  <c r="BD11" i="19" s="1"/>
  <c r="BA15" i="19"/>
  <c r="BD15" i="19" s="1"/>
  <c r="BA7" i="19"/>
  <c r="BD7" i="19" s="1"/>
  <c r="BA9" i="19"/>
  <c r="BA19" i="19"/>
  <c r="BD19" i="19" s="1"/>
  <c r="BA13" i="19"/>
  <c r="BA10" i="19"/>
  <c r="BD10" i="19" s="1"/>
  <c r="BA12" i="19"/>
  <c r="BD12" i="19" s="1"/>
  <c r="BA14" i="19"/>
  <c r="BD14" i="19" s="1"/>
  <c r="BA16" i="19"/>
  <c r="BD16" i="19" s="1"/>
  <c r="BA18" i="19"/>
  <c r="BD18" i="19" s="1"/>
  <c r="BA17" i="19"/>
  <c r="BD17" i="19" s="1"/>
  <c r="BA8" i="19"/>
  <c r="AY28" i="19"/>
  <c r="AY27" i="19"/>
  <c r="D154" i="9" l="1"/>
  <c r="D157" i="9" s="1"/>
  <c r="E157" i="9" s="1"/>
  <c r="F20" i="3" s="1"/>
  <c r="BD22" i="19"/>
  <c r="AY30" i="19" s="1"/>
  <c r="BD23" i="19"/>
  <c r="BC24" i="19"/>
  <c r="BA27" i="19" s="1"/>
  <c r="BD24" i="19"/>
  <c r="BD9" i="19"/>
  <c r="AZ28" i="19"/>
  <c r="BD13" i="19"/>
  <c r="BD8" i="19"/>
  <c r="D159" i="9" l="1"/>
  <c r="D160" i="9" s="1"/>
  <c r="F22" i="3" s="1"/>
  <c r="AY29" i="19"/>
  <c r="BA28" i="19"/>
  <c r="F21" i="3" l="1"/>
  <c r="D161" i="9"/>
  <c r="F23" i="3" s="1"/>
  <c r="AZ29" i="19"/>
  <c r="BA29" i="19"/>
  <c r="AZ30" i="19" l="1"/>
  <c r="BA30" i="19"/>
</calcChain>
</file>

<file path=xl/sharedStrings.xml><?xml version="1.0" encoding="utf-8"?>
<sst xmlns="http://schemas.openxmlformats.org/spreadsheetml/2006/main" count="1246" uniqueCount="638">
  <si>
    <t>Instructions</t>
  </si>
  <si>
    <t>General Info &amp; Test Results</t>
  </si>
  <si>
    <t>Setup &amp; Instrumentation</t>
  </si>
  <si>
    <t>Storage Tank Volume</t>
  </si>
  <si>
    <t>Test Conditions</t>
  </si>
  <si>
    <t>1st-Hr Rating Test</t>
  </si>
  <si>
    <t>24-Hr Simulated Use Test</t>
  </si>
  <si>
    <t>Photos</t>
  </si>
  <si>
    <t>Comments</t>
  </si>
  <si>
    <t>Report Sign-Off Block</t>
  </si>
  <si>
    <t>Drop-Downs</t>
  </si>
  <si>
    <t>Version Control</t>
  </si>
  <si>
    <t>Title Block</t>
  </si>
  <si>
    <t>File Name:</t>
  </si>
  <si>
    <t>Tab Name:</t>
  </si>
  <si>
    <t>Version Number:</t>
  </si>
  <si>
    <t>Reference Test Procedure</t>
  </si>
  <si>
    <t>Table of Contents</t>
  </si>
  <si>
    <t xml:space="preserve">Tab </t>
  </si>
  <si>
    <t>Contents</t>
  </si>
  <si>
    <t>Instructions and Table of Contents</t>
  </si>
  <si>
    <t>Lab Information, Product Information, and Test Results</t>
  </si>
  <si>
    <t>Instrumentation Used to Conduct Test Measurements</t>
  </si>
  <si>
    <t>Measurement Inputs and Calculations</t>
  </si>
  <si>
    <t>Table of Test Condition Requirements for Each Test</t>
  </si>
  <si>
    <t>Photographs Taken during Test</t>
  </si>
  <si>
    <t>Inputs for Report Template User to Provide Comments</t>
  </si>
  <si>
    <t>Report Review History</t>
  </si>
  <si>
    <t>Used for Drop-down Lists; Summary of Drop-down options</t>
  </si>
  <si>
    <t>Report Template Revision History</t>
  </si>
  <si>
    <t>LEGEND</t>
  </si>
  <si>
    <t>Input cell</t>
  </si>
  <si>
    <t>NOT USED</t>
  </si>
  <si>
    <t>Instructions for Completing this Template</t>
  </si>
  <si>
    <t>Follow the steps below, filling in all input cells (shaded light blue) in each tab you are instructed to complete. Using TAB to "hop" from input cell to input cell is useful, but does not ensure that all input cells are reached. To guarantee that you enter all required information, you must visually scan for light blue cells in the entire area bounded by yellow-shaded cells.</t>
  </si>
  <si>
    <r>
      <rPr>
        <b/>
        <sz val="11"/>
        <rFont val="Palatino Linotype"/>
        <family val="1"/>
      </rPr>
      <t xml:space="preserve">Important: </t>
    </r>
    <r>
      <rPr>
        <sz val="11"/>
        <rFont val="Palatino Linotype"/>
        <family val="1"/>
      </rPr>
      <t>Start with a clean (unused) template copy for each new report. Enter only data and information that are unique to the unit tested and the current test of that unit. All abbreviations and variable names should be consistent with the reference test procedure.</t>
    </r>
  </si>
  <si>
    <t>STEP:</t>
  </si>
  <si>
    <t>FILL IN INPUT CELLS IN THE CORRESPONDING TAB:</t>
  </si>
  <si>
    <t>Step 1</t>
  </si>
  <si>
    <t>Step 2</t>
  </si>
  <si>
    <t>Step 3</t>
  </si>
  <si>
    <t>Step 4</t>
  </si>
  <si>
    <t>Step 5</t>
  </si>
  <si>
    <t>Step 6</t>
  </si>
  <si>
    <t>Step 7</t>
  </si>
  <si>
    <t>Step 8</t>
  </si>
  <si>
    <t>Step 9</t>
  </si>
  <si>
    <t>Step 10</t>
  </si>
  <si>
    <t>Revisions List</t>
  </si>
  <si>
    <t>Version</t>
  </si>
  <si>
    <t>Date</t>
  </si>
  <si>
    <t>Back to Instructions tab</t>
  </si>
  <si>
    <t>Lab Information</t>
  </si>
  <si>
    <t>Lab Name:</t>
  </si>
  <si>
    <t>Variable</t>
  </si>
  <si>
    <t>Measurement</t>
  </si>
  <si>
    <t>Units</t>
  </si>
  <si>
    <r>
      <t>Storage Capacity, V</t>
    </r>
    <r>
      <rPr>
        <vertAlign val="subscript"/>
        <sz val="11"/>
        <color theme="1"/>
        <rFont val="Palatino Linotype"/>
        <family val="1"/>
      </rPr>
      <t>st</t>
    </r>
  </si>
  <si>
    <t>gal</t>
  </si>
  <si>
    <t>Product Information</t>
  </si>
  <si>
    <t xml:space="preserve">Manufacturer: </t>
  </si>
  <si>
    <t>Brand:</t>
  </si>
  <si>
    <t xml:space="preserve">Manufacturer Model Number: </t>
  </si>
  <si>
    <t>NOTE: Copy only; sign off is done in the Report Sign-Off Block tab</t>
  </si>
  <si>
    <t>Serial Number:</t>
  </si>
  <si>
    <t xml:space="preserve">Test Report Sign-Off Block </t>
  </si>
  <si>
    <t>Date Manufactured:</t>
  </si>
  <si>
    <t xml:space="preserve">We certify that the information and data in this report: (1) were obtained from the specific test unit under test; (2) were obtained during the specific test being reported; (3) were not copied from any other source, except where instructed to do so; and (4) were not altered or modified in any way. </t>
  </si>
  <si>
    <t xml:space="preserve">Date Product Received: </t>
  </si>
  <si>
    <t>Condition as Received:</t>
  </si>
  <si>
    <t>Role</t>
  </si>
  <si>
    <t>Entity</t>
  </si>
  <si>
    <t>Test Completion</t>
  </si>
  <si>
    <t>Test Information</t>
  </si>
  <si>
    <t>Template Completion</t>
  </si>
  <si>
    <t>Date Test Started:</t>
  </si>
  <si>
    <t>Report Reviewed by Test Lab</t>
  </si>
  <si>
    <t>Date Test Finished:</t>
  </si>
  <si>
    <t>Draw Pattern</t>
  </si>
  <si>
    <t xml:space="preserve">By signing in the space below, we certify that the information and data in this report: (1) were obtained from the specific test unit under test; (2) were obtained during the specific test being reported; (3) were not copied from any other source, except where instructed to do so; and (4) were not altered or modified in any way. </t>
  </si>
  <si>
    <t>[Test Lab Name]</t>
  </si>
  <si>
    <t>[MM/DD/YYYY]</t>
  </si>
  <si>
    <t>Setup (this table should include instrumentation, sensors, and all equipment used during testing)</t>
  </si>
  <si>
    <t>Instrument Type</t>
  </si>
  <si>
    <t xml:space="preserve">Brand </t>
  </si>
  <si>
    <t>Model #</t>
  </si>
  <si>
    <t>Sensor Location</t>
  </si>
  <si>
    <t>Accuracy</t>
  </si>
  <si>
    <t>Date of Last Calibration</t>
  </si>
  <si>
    <t>Deadline for Next Calibration</t>
  </si>
  <si>
    <t>Please describe the test setup</t>
  </si>
  <si>
    <t>Test Start Date:</t>
  </si>
  <si>
    <t>lbs</t>
  </si>
  <si>
    <t>°F</t>
  </si>
  <si>
    <t>1. Namplate showing model number and serial number.</t>
  </si>
  <si>
    <t>2. FTC EnergyGuide label (if present)</t>
  </si>
  <si>
    <t>3. ENERGY-STAR Sticker or label if not part of EnergyGuide label (if applicable)</t>
  </si>
  <si>
    <t>4. Overall view of unit installed</t>
  </si>
  <si>
    <t>5. User-operable controls</t>
  </si>
  <si>
    <t>6. Exact placement of all visible sensors on, in, or around the device</t>
  </si>
  <si>
    <t>7. View of water inlet and outlet plumbing (including thermocouples and any insulation) and vent pipes and terminal</t>
  </si>
  <si>
    <t>8. Additional photos (if necessary)</t>
  </si>
  <si>
    <t>Basis</t>
  </si>
  <si>
    <t>n</t>
  </si>
  <si>
    <t>Mass</t>
  </si>
  <si>
    <t>Volume</t>
  </si>
  <si>
    <t>Yes</t>
  </si>
  <si>
    <t>No</t>
  </si>
  <si>
    <t>Yes_No</t>
  </si>
  <si>
    <t>Gas-fired Storage</t>
  </si>
  <si>
    <t>Oil-fired Storage</t>
  </si>
  <si>
    <t>Electric Storage</t>
  </si>
  <si>
    <t>Gas-fired Instantaneous</t>
  </si>
  <si>
    <t>Oil-fired Instantaneous</t>
  </si>
  <si>
    <t>Electric Instantaneous</t>
  </si>
  <si>
    <t>The ambient air temperature shall be maintained between 65.0 °F and 70.0 °F (18.3 °C and 21.1 °C) on a continuous basis.</t>
  </si>
  <si>
    <t>Min</t>
  </si>
  <si>
    <t>Max</t>
  </si>
  <si>
    <t>The temperature of the water being supplied to the water heater shall be maintained at 58 °F ±2°F (14.4 °C ±1.1 °C) throughout the test.</t>
  </si>
  <si>
    <t>During the test when water is not being withdrawn, the supply pressure shall be maintained between 40 psig (275 kPa) and the maximum allowable pressure specified by the water heater manufacturer.</t>
  </si>
  <si>
    <t>in. WC</t>
  </si>
  <si>
    <t>Oil Pump Pressure</t>
  </si>
  <si>
    <t>Max GPM Test</t>
  </si>
  <si>
    <t>2. Supply Water Temperature (in accordance with Section 2.3).</t>
  </si>
  <si>
    <t>Relative Humidity</t>
  </si>
  <si>
    <t>For each draw, record the temperature delivered over time and the total mass or volume of water drawn.  Be sure to select as basis and answer the prompts.</t>
  </si>
  <si>
    <t>Select mass or volume basis for data acquisition:</t>
  </si>
  <si>
    <t>(This selection will not affect final results.)</t>
  </si>
  <si>
    <t>Was the final draw already initiated at 1hr?</t>
  </si>
  <si>
    <t>Draw</t>
  </si>
  <si>
    <t>Min Flow Rate (GPM)</t>
  </si>
  <si>
    <t>Max Flow Rate (GPM)</t>
  </si>
  <si>
    <t>Temperature Data</t>
  </si>
  <si>
    <t>Select Input Control:</t>
  </si>
  <si>
    <t>From Section 5.3.1:</t>
  </si>
  <si>
    <t>From Section 5.3.2:</t>
  </si>
  <si>
    <t>Test Data (10 Minute Run)</t>
  </si>
  <si>
    <t xml:space="preserve">Draw Pattern </t>
  </si>
  <si>
    <t>Time (secs)</t>
  </si>
  <si>
    <t>Temperature (deg F)</t>
  </si>
  <si>
    <t>Inlet Temperature</t>
  </si>
  <si>
    <t>Delivery Temperature</t>
  </si>
  <si>
    <t>Total</t>
  </si>
  <si>
    <t>Draw Pattern Guidelines</t>
  </si>
  <si>
    <t>≥</t>
  </si>
  <si>
    <t>&lt;</t>
  </si>
  <si>
    <t>No limit</t>
  </si>
  <si>
    <t>gallons</t>
  </si>
  <si>
    <t>Storage or Instantaneous</t>
  </si>
  <si>
    <t>Input Control</t>
  </si>
  <si>
    <t>Fixed</t>
  </si>
  <si>
    <t>GPM</t>
  </si>
  <si>
    <t>Fuel Type</t>
  </si>
  <si>
    <t>Draw Information</t>
  </si>
  <si>
    <t>(Select Mass or Volume Basis above.)</t>
  </si>
  <si>
    <t>Energy Consumption During Burner ON time</t>
  </si>
  <si>
    <t>Cut-in Occurrence</t>
  </si>
  <si>
    <t>(Cut-in to cut-out)</t>
  </si>
  <si>
    <t>The first recovery must end before the standby portion of the test can begin after the first draw cluster.</t>
  </si>
  <si>
    <t>Standby Heat Loss Coefficient, UA</t>
  </si>
  <si>
    <t>Energy Calculations</t>
  </si>
  <si>
    <t>Draw 1</t>
  </si>
  <si>
    <t>Draw 2</t>
  </si>
  <si>
    <t>Draw 3</t>
  </si>
  <si>
    <t>Draw 4</t>
  </si>
  <si>
    <t>Draw 5</t>
  </si>
  <si>
    <t>Draw 6</t>
  </si>
  <si>
    <t>Draw 7</t>
  </si>
  <si>
    <t>Draw 8</t>
  </si>
  <si>
    <t>Draw 9</t>
  </si>
  <si>
    <t>Draw 10</t>
  </si>
  <si>
    <t>Draw 11</t>
  </si>
  <si>
    <t>Draw 12</t>
  </si>
  <si>
    <t>Draw 13</t>
  </si>
  <si>
    <t>Draw 14</t>
  </si>
  <si>
    <t>Time (sec)</t>
  </si>
  <si>
    <t>Drawing Temperature Data</t>
  </si>
  <si>
    <t>Tin (°F)</t>
  </si>
  <si>
    <t>Tdel (°F)</t>
  </si>
  <si>
    <t>Interim Temperature Data</t>
  </si>
  <si>
    <t>Time (min)</t>
  </si>
  <si>
    <t>Ambient Temperature (°F)</t>
  </si>
  <si>
    <t>Flow Rate, GPM</t>
  </si>
  <si>
    <t>Volume, gal</t>
  </si>
  <si>
    <t>Time During Test, Minutes</t>
  </si>
  <si>
    <t>Low</t>
  </si>
  <si>
    <t>Medium</t>
  </si>
  <si>
    <t>High</t>
  </si>
  <si>
    <t>Flow Rate, GPM, lesser of 1 or max gpm</t>
  </si>
  <si>
    <t>Number of Draws</t>
  </si>
  <si>
    <t>Volume Delivered</t>
  </si>
  <si>
    <t>Tolerance</t>
  </si>
  <si>
    <t>Value</t>
  </si>
  <si>
    <t>gpm</t>
  </si>
  <si>
    <t>±</t>
  </si>
  <si>
    <t>N/A</t>
  </si>
  <si>
    <t>Within Flow Rate Tolerance?</t>
  </si>
  <si>
    <t>Within Volume Drawn Tolerance?</t>
  </si>
  <si>
    <t>Minimum Delivery Temp</t>
  </si>
  <si>
    <t>Maximum Delivery Temp</t>
  </si>
  <si>
    <t>≤</t>
  </si>
  <si>
    <t>Delivery Temperature Drop</t>
  </si>
  <si>
    <t>Draw Pattern Determination?</t>
  </si>
  <si>
    <t>Draw Pattern Determination</t>
  </si>
  <si>
    <t>Found Experimentally</t>
  </si>
  <si>
    <t>Q_r,n</t>
  </si>
  <si>
    <t>η_r</t>
  </si>
  <si>
    <t>Q</t>
  </si>
  <si>
    <t>Q_d</t>
  </si>
  <si>
    <t>Q_HW</t>
  </si>
  <si>
    <t>Q_HW,67F</t>
  </si>
  <si>
    <t>E_annual</t>
  </si>
  <si>
    <t>Q_dm</t>
  </si>
  <si>
    <t>Q_da</t>
  </si>
  <si>
    <t>Recovery Efficiency</t>
  </si>
  <si>
    <t>Inlet Water Temperature</t>
  </si>
  <si>
    <t>Flow Rate Tolerance</t>
  </si>
  <si>
    <t>Venting Options</t>
  </si>
  <si>
    <t>Atmospheric</t>
  </si>
  <si>
    <t>Direct Vent</t>
  </si>
  <si>
    <t xml:space="preserve">Power Vent </t>
  </si>
  <si>
    <t>Power Direct Vent</t>
  </si>
  <si>
    <t>Ignition Options</t>
  </si>
  <si>
    <t>Standing Pilot</t>
  </si>
  <si>
    <t>Non-Condensing</t>
  </si>
  <si>
    <t>Condensing</t>
  </si>
  <si>
    <t>Condensing?</t>
  </si>
  <si>
    <t>Condensing/ Non-Condensing</t>
  </si>
  <si>
    <r>
      <t>Annual Energy Consumption, E</t>
    </r>
    <r>
      <rPr>
        <vertAlign val="subscript"/>
        <sz val="11"/>
        <rFont val="Palatino Linotype"/>
        <family val="1"/>
      </rPr>
      <t>annual</t>
    </r>
  </si>
  <si>
    <t>Describe placement of sensor used to measure ambient temperature:</t>
  </si>
  <si>
    <t>Describe placement of sensors used to measure supply water temperature:</t>
  </si>
  <si>
    <t>Describe placement of sensors used to measure supply water pressure:</t>
  </si>
  <si>
    <t>Mobile/Manufactured Home Approved?</t>
  </si>
  <si>
    <t>Instrumentation Accuracy</t>
  </si>
  <si>
    <t>Gas Pressure</t>
  </si>
  <si>
    <t>Atmospheric Pressure</t>
  </si>
  <si>
    <t>in. Hg</t>
  </si>
  <si>
    <t>Water Pressure</t>
  </si>
  <si>
    <t>psig</t>
  </si>
  <si>
    <t>Air Temperature</t>
  </si>
  <si>
    <t>Inlet/Outlet Water Temperature</t>
  </si>
  <si>
    <t>Storage Tank Temperature</t>
  </si>
  <si>
    <t>Liquid Flow Rate</t>
  </si>
  <si>
    <t>% of reading</t>
  </si>
  <si>
    <t>Electrical Energy</t>
  </si>
  <si>
    <t>Scale, &lt;10 lbs</t>
  </si>
  <si>
    <t>Heating Value</t>
  </si>
  <si>
    <t>Time</t>
  </si>
  <si>
    <t>seconds/hr</t>
  </si>
  <si>
    <t>% RH</t>
  </si>
  <si>
    <t>Other</t>
  </si>
  <si>
    <t>Measurements</t>
  </si>
  <si>
    <t>Measurement Descriptions</t>
  </si>
  <si>
    <t>BSL</t>
  </si>
  <si>
    <t>FS</t>
  </si>
  <si>
    <t>Interchangeability</t>
  </si>
  <si>
    <t>of range</t>
  </si>
  <si>
    <t>of reading</t>
  </si>
  <si>
    <t>%</t>
  </si>
  <si>
    <t>Btu</t>
  </si>
  <si>
    <t>kWh</t>
  </si>
  <si>
    <t>Further Description</t>
  </si>
  <si>
    <t>TP required units for specified measurements</t>
  </si>
  <si>
    <t>Units for measurements other than specified by TP</t>
  </si>
  <si>
    <t>Fossil Fuel Quantity</t>
  </si>
  <si>
    <t>Test Procedure required Accuracy</t>
  </si>
  <si>
    <t>Meets required Accuracy?</t>
  </si>
  <si>
    <t>Within Tolerance?</t>
  </si>
  <si>
    <t>Heat Pump - Dry Bulb Temperature</t>
  </si>
  <si>
    <t>Heat Pump - Relative Humidity</t>
  </si>
  <si>
    <t>Ambient Air Temperature</t>
  </si>
  <si>
    <t>Min. Supply Water Pressure</t>
  </si>
  <si>
    <t>Manufacturer</t>
  </si>
  <si>
    <t>Max. Supply Water Pressure</t>
  </si>
  <si>
    <t>Electrical Supply Voltage</t>
  </si>
  <si>
    <t>% Voltage</t>
  </si>
  <si>
    <t>Natural Gas</t>
  </si>
  <si>
    <t>Min. Natural Gas Supply (Not Manufacturer)</t>
  </si>
  <si>
    <t>Max. Natural Gas Supply (Not Manufacturer)</t>
  </si>
  <si>
    <t>Natural Gas Supply with Pressure Regulator</t>
  </si>
  <si>
    <t>% manifold pressure</t>
  </si>
  <si>
    <t>Min. Propane Gas Supply (Not Manufacturer)</t>
  </si>
  <si>
    <t>Max. Propane Gas Supply (Not Manufacturer)</t>
  </si>
  <si>
    <t>Natural Gas Heating Value</t>
  </si>
  <si>
    <t>Btu/ft^3</t>
  </si>
  <si>
    <t>Propane Gas Heating Value</t>
  </si>
  <si>
    <t>Oil Heating Value</t>
  </si>
  <si>
    <t>Btu/gal</t>
  </si>
  <si>
    <t>Oil Supply</t>
  </si>
  <si>
    <t>Uninterrupted</t>
  </si>
  <si>
    <t>Manufacturer Recommended Max Supply Water Pressure</t>
  </si>
  <si>
    <t>Natural or Propane Gas</t>
  </si>
  <si>
    <t>Propane Gas</t>
  </si>
  <si>
    <t>Propane Supply with Pressure Regulator</t>
  </si>
  <si>
    <t>Delivery/Set Point Water Temperature</t>
  </si>
  <si>
    <r>
      <t>Manufacturer Recommended CO</t>
    </r>
    <r>
      <rPr>
        <vertAlign val="subscript"/>
        <sz val="11"/>
        <rFont val="Palatino Linotype"/>
        <family val="1"/>
      </rPr>
      <t>2</t>
    </r>
    <r>
      <rPr>
        <sz val="11"/>
        <rFont val="Palatino Linotype"/>
        <family val="1"/>
      </rPr>
      <t xml:space="preserve"> Reading</t>
    </r>
  </si>
  <si>
    <t>% specified</t>
  </si>
  <si>
    <t xml:space="preserve">Burner Input </t>
  </si>
  <si>
    <t>Verification - Storage Volume</t>
  </si>
  <si>
    <t>Verification - FHR or Max GPM</t>
  </si>
  <si>
    <t>Test Tolerances</t>
  </si>
  <si>
    <t>24 hr SUT - Flow Rate</t>
  </si>
  <si>
    <t>FHR - Flow Rate, volume cut off</t>
  </si>
  <si>
    <t>FHR - Flow Rate, &lt;volume cut off</t>
  </si>
  <si>
    <t>24 hr SUT - Gallons Delivered, Flow Rate</t>
  </si>
  <si>
    <t>Very Small</t>
  </si>
  <si>
    <t>Draw Pattern Guidelines - 1st-Hr Rating Test</t>
  </si>
  <si>
    <t>Total Volume Drawn</t>
  </si>
  <si>
    <t>NOx Emission Rating</t>
  </si>
  <si>
    <t>Standard</t>
  </si>
  <si>
    <t>NOx Emissions</t>
  </si>
  <si>
    <t>Low NOx</t>
  </si>
  <si>
    <t>Ultra Low NOx</t>
  </si>
  <si>
    <t>Water Heater Type:</t>
  </si>
  <si>
    <t>Ambient Temperature Data</t>
  </si>
  <si>
    <t>Temperature (°F)</t>
  </si>
  <si>
    <t>Tolerance Range</t>
  </si>
  <si>
    <t>Draw Cluster</t>
  </si>
  <si>
    <t>Temperature Calculations and Tolerance Checks</t>
  </si>
  <si>
    <t>Extra Data If a Recovery Occurs Continuously from the End of the Last Draw of the First Draw Cluster to the Subsequent Draw</t>
  </si>
  <si>
    <t>Extra space to record the mean tank temperature and ambient temperature for 8 hours after the end of the first recovery after the last draw of the test</t>
  </si>
  <si>
    <t>Recovery</t>
  </si>
  <si>
    <t>Draw Start</t>
  </si>
  <si>
    <t>Recovery Start</t>
  </si>
  <si>
    <t>Draw End</t>
  </si>
  <si>
    <t>Recovery End</t>
  </si>
  <si>
    <t>Last Draw</t>
  </si>
  <si>
    <t>X</t>
  </si>
  <si>
    <t>Y</t>
  </si>
  <si>
    <t>Draw Cluster 1 X Data</t>
  </si>
  <si>
    <t>Draw Cluster 2 X Data</t>
  </si>
  <si>
    <t>Draw Cluster 3 X Data</t>
  </si>
  <si>
    <t>Draw Cluster Y Data</t>
  </si>
  <si>
    <t>First Draw</t>
  </si>
  <si>
    <t>Temp Draw Start</t>
  </si>
  <si>
    <t>Temp Draw End</t>
  </si>
  <si>
    <t>Temp Recovery Start</t>
  </si>
  <si>
    <t>Temp Recovery End</t>
  </si>
  <si>
    <t>Used for Mean Tank Temperature Plot</t>
  </si>
  <si>
    <t>M_1</t>
  </si>
  <si>
    <t>T_del,1</t>
  </si>
  <si>
    <t>T_in,1</t>
  </si>
  <si>
    <t>Rated Recovery Efficiency, %</t>
  </si>
  <si>
    <t>Rated Standby Loss</t>
  </si>
  <si>
    <t>Rated Thermal Efficiency, %</t>
  </si>
  <si>
    <t>Q_r</t>
  </si>
  <si>
    <t>Start</t>
  </si>
  <si>
    <t>End</t>
  </si>
  <si>
    <t>Duration, sec</t>
  </si>
  <si>
    <t>Tmean,max</t>
  </si>
  <si>
    <t>Tmean,min</t>
  </si>
  <si>
    <t>Only for Storage Water Heaters</t>
  </si>
  <si>
    <t>Draw 15</t>
  </si>
  <si>
    <t>Number of Recoveries</t>
  </si>
  <si>
    <t>minutes</t>
  </si>
  <si>
    <t>3. Supply Water Pressure (in accordance with Section 2.6).</t>
  </si>
  <si>
    <t xml:space="preserve"> 1. Ambient Temperature (in accordance with Section 2.2).</t>
  </si>
  <si>
    <t>First-Hour Rating Test (according to Sections 5.3.3)</t>
  </si>
  <si>
    <t>Determination of Storage Tank Volume (according to Sections 5.2.1)</t>
  </si>
  <si>
    <t>Maximum GPM Rating Test (in accordance with Section 5.3.2)</t>
  </si>
  <si>
    <t>Electric Heat Pump</t>
  </si>
  <si>
    <t>Gas-fired Heat Pump</t>
  </si>
  <si>
    <t>Rated Storage Volume, gal</t>
  </si>
  <si>
    <t>Consumer or Residential-Duty Commercial?</t>
  </si>
  <si>
    <t>Residential-Duty Commercial</t>
  </si>
  <si>
    <t>Consumer</t>
  </si>
  <si>
    <t>Grid Enabled Storage</t>
  </si>
  <si>
    <t>Water Heater Type</t>
  </si>
  <si>
    <t>Information of Merit for Tested Unit</t>
  </si>
  <si>
    <t>Uniform Energy Factor, UEF</t>
  </si>
  <si>
    <t>Rated Uniform Energy Factor, UEF</t>
  </si>
  <si>
    <t>Condition as Received?</t>
  </si>
  <si>
    <t>Good</t>
  </si>
  <si>
    <t>Damaged</t>
  </si>
  <si>
    <t>Outdoor</t>
  </si>
  <si>
    <t>No Standing Pilot (Explain in Comments)</t>
  </si>
  <si>
    <t>Dates Valid?</t>
  </si>
  <si>
    <t>Temperature (F)</t>
  </si>
  <si>
    <t>Density (lbm/gal)</t>
  </si>
  <si>
    <t>Cp (BTU/lbm*R)</t>
  </si>
  <si>
    <t>Lab Location (City, State):</t>
  </si>
  <si>
    <t>Water Properties</t>
  </si>
  <si>
    <t>7. Dry Bulb Temperature - Heat Pump Water Heaters Only (in accordance with section 2.2)</t>
  </si>
  <si>
    <t>8. Humidity - Heat Pump Water Heaters Only (in accordance with section 2.2)</t>
  </si>
  <si>
    <t>Natural Gas or Propane Gas?</t>
  </si>
  <si>
    <t>EPCA - Storage or Instantaneous</t>
  </si>
  <si>
    <t>4. Electrical and/or Fossil Fuel Supply (in accordance with Sections 2.7)</t>
  </si>
  <si>
    <t>Oil Used?</t>
  </si>
  <si>
    <t>Electricity Used?</t>
  </si>
  <si>
    <t>Did the Manufacturer Recommend a Gas Line Pressure Range?</t>
  </si>
  <si>
    <t>Manufacturer Recommended Gas Line Pressure Range, in. WC</t>
  </si>
  <si>
    <t>Is water heater equipped with a pressure regulator?</t>
  </si>
  <si>
    <t>Manufacturer Recommended Manifold Pressure, in. WC</t>
  </si>
  <si>
    <t>Did the Manufacturer Recommend an Oil Pump Pressure Range?</t>
  </si>
  <si>
    <t>Manufacturer Recommended Oil Pump Pressure Range, in. WC</t>
  </si>
  <si>
    <t>Did the Manufacturer Recommend a Voltage Range?</t>
  </si>
  <si>
    <t>Manufacturer Recommended Voltage Range, V</t>
  </si>
  <si>
    <t>Did the Manufacturer Recommend a Single Voltage?</t>
  </si>
  <si>
    <t>Did the Manufacturer Recommend a Single Oil Pump Pressure?</t>
  </si>
  <si>
    <t>Manufacturer Recommended Oil Pump Pressure, in. WC</t>
  </si>
  <si>
    <t>Manufacturer Recommended CO2 Reading</t>
  </si>
  <si>
    <t>Tested CO2 Reading</t>
  </si>
  <si>
    <t>Smoke in Flue Does Not Exceed No. 1 Smoke</t>
  </si>
  <si>
    <t>Oil-fired Only</t>
  </si>
  <si>
    <t>Relative Humidity, %</t>
  </si>
  <si>
    <t>Manufacturer Recommended Voltage, V</t>
  </si>
  <si>
    <t>Setting the Outlet Discharge Temperature (in accordance with section 5.2.2)</t>
  </si>
  <si>
    <t>Does the water heater have a single temperature controller?</t>
  </si>
  <si>
    <t>Is the water heater flow-activated?</t>
  </si>
  <si>
    <t>Outlet Discharge Temperature</t>
  </si>
  <si>
    <t>Initiate normal operation of the water heater at the full input rating for electric water heaters and at the maximum firing rate specified by the manufacturer for gas or oil water heaters. Monitor the discharge water temperature and set to a value of 125°F ± 5°F (51.7°C ± 2.8°C) in accordance with the manufacturer’s instructions. If the water heater is not capable of providing this discharge temperature when the flow rate is 1.7 gallons ± 0.25 gallons per minute (6.4 liters ± 0.95 liters per minute), then adjust the flow rate as necessary to achieve the specified discharge water temperature. Once the proper temperature control setting is achieved, the setting must remain fixed for the duration of the maximum GPM test and the simulated-use test.</t>
  </si>
  <si>
    <t>Flow-Activated Water Heaters (in accordance with section 5.2.2.1)</t>
  </si>
  <si>
    <t>Starting with a tank at the supply water temperature, initiate normal operation of the water heater. After cut-out, initiate a draw from the water heater at the flow rate shown below for duration shown below. Starting 15 seconds after commencement of draw, record the outlet temperature at 15-second intervals until the end of the specified period. Determine whether the maximum outlet temperature is within the range of 125°F ± 5°F (51.7°C ± 2.8°C).  If not, turn off the water heater, adjust the temperature controller, and then drain and refill the tank with supply water. Then, once again, initiate normal operation of the water heater, and repeat the outlet temperature test following cut-out. Repeat this sequence until the maximum outlet temperature during the test is within 125°F ± 5°F (51.7°C ± 2.8°C). Once the proper temperature control setting is achieved, the setting must remain fixed for the duration of the first-hour rating test and the simulated-use test.</t>
  </si>
  <si>
    <t>Flow Rate Tolerance, gpm</t>
  </si>
  <si>
    <t>Duration of Test, minutes</t>
  </si>
  <si>
    <t>Time, sec</t>
  </si>
  <si>
    <t>Min Flow Rate, gpm</t>
  </si>
  <si>
    <t>Max Flow Rate, gpm</t>
  </si>
  <si>
    <t>Within Tolerance of 125 °F ± 5 °F</t>
  </si>
  <si>
    <t>Not Flow-Activated Water Heaters with a Single Temperature Controller (in accordance with section 5.2.2.2.1)</t>
  </si>
  <si>
    <t>Verify the temperature controller set-point while removing water in accordance with the procedure set forth for the first-hour rating test. The criteria stated below must be met to ensure that all temperature controllers are set to deliver water at 125°F ± 5°F (51.7°C ± 2.8°C):
If these conditions are not met, turn off the water heater, adjust the temperature controllers, and then drain and refill the tank with supply water. Repeat the procedure until the criteria for setting the temperature controllers is met.
If the conditions stated above are met, the data obtained during the process of verifying the temperature control set-points may be used in determining the first-hour rating.</t>
  </si>
  <si>
    <t>(a) At least 50 percent of the water drawn during the first draw of the first-hour rating test procedure shall be delivered at a temperature of 125 °F ± 5 °F.</t>
  </si>
  <si>
    <t>Average Flow Rate of Draw 1, gps</t>
  </si>
  <si>
    <t>Is this at least 50%?</t>
  </si>
  <si>
    <t>(b) No water is delivered above 130 °F during first-hour rating test.</t>
  </si>
  <si>
    <t>(c) The delivery temperature measured 15 seconds after commencement of each draw begun prior to an elapsed time of 60 minutes from the start of the test shall be at 125 °F ± 5 °F.</t>
  </si>
  <si>
    <t>Number of Draws initiated before 1 hr</t>
  </si>
  <si>
    <t>Are all conditions met?</t>
  </si>
  <si>
    <t>Average Flow Rate of Draw 1, gpm</t>
  </si>
  <si>
    <t>Ratio Applied to the Last Draw</t>
  </si>
  <si>
    <r>
      <t>T</t>
    </r>
    <r>
      <rPr>
        <b/>
        <vertAlign val="subscript"/>
        <sz val="14"/>
        <color theme="1"/>
        <rFont val="Palatino Linotype"/>
        <family val="1"/>
      </rPr>
      <t>in</t>
    </r>
    <r>
      <rPr>
        <b/>
        <sz val="14"/>
        <color theme="1"/>
        <rFont val="Palatino Linotype"/>
        <family val="1"/>
      </rPr>
      <t xml:space="preserve"> (°F)</t>
    </r>
  </si>
  <si>
    <t>Time, s</t>
  </si>
  <si>
    <r>
      <t>T</t>
    </r>
    <r>
      <rPr>
        <b/>
        <vertAlign val="subscript"/>
        <sz val="14"/>
        <color theme="1"/>
        <rFont val="Palatino Linotype"/>
        <family val="1"/>
      </rPr>
      <t xml:space="preserve">del </t>
    </r>
    <r>
      <rPr>
        <b/>
        <sz val="14"/>
        <color theme="1"/>
        <rFont val="Palatino Linotype"/>
        <family val="1"/>
      </rPr>
      <t>(°F)</t>
    </r>
  </si>
  <si>
    <t>Within tolerance of 58 °F ± 2 °F?</t>
  </si>
  <si>
    <t>Desired Flow Rate, gpm</t>
  </si>
  <si>
    <t>Draw Start Time, seconds</t>
  </si>
  <si>
    <t>Recovery Start Time, seconds</t>
  </si>
  <si>
    <t>Recovery End Time, seconds</t>
  </si>
  <si>
    <t>Min Inlet Temperature, °F</t>
  </si>
  <si>
    <t>Max Inlet Temperature, °F</t>
  </si>
  <si>
    <t>Draw End Time, seconds</t>
  </si>
  <si>
    <t>Minimum Ambient Temperature, °F</t>
  </si>
  <si>
    <t>Maximum Ambient Temperature, °F</t>
  </si>
  <si>
    <t>Draw Pattern of Simulated Use Test</t>
  </si>
  <si>
    <t>Target Flow Rate, gpm</t>
  </si>
  <si>
    <t>Not Flow-Activated Water Heaters with Two or More Temperature Controllers (in accordance with section 5.2.2.2.2)</t>
  </si>
  <si>
    <t>Procedure to Use:</t>
  </si>
  <si>
    <t>i.e. Box</t>
  </si>
  <si>
    <t>Time at or above 120F, seconds</t>
  </si>
  <si>
    <t>6. Power Input Determination (according to Sections 2.7 and 5.2.3)</t>
  </si>
  <si>
    <t>5. Setting the Outlet Discharge Temperature (in accordance with section 5.2.2)</t>
  </si>
  <si>
    <t>Follow instructions in the "Outlet Temperature" tab</t>
  </si>
  <si>
    <r>
      <t xml:space="preserve">Dry Bulb Temperature, </t>
    </r>
    <r>
      <rPr>
        <sz val="11"/>
        <color theme="1"/>
        <rFont val="Calibri"/>
        <family val="2"/>
      </rPr>
      <t>°</t>
    </r>
    <r>
      <rPr>
        <sz val="11"/>
        <color theme="1"/>
        <rFont val="Palatino Linotype"/>
        <family val="1"/>
      </rPr>
      <t>F</t>
    </r>
  </si>
  <si>
    <t>Electrical Supply Voltage, V</t>
  </si>
  <si>
    <t>Oil Pump Pressure, in. WC</t>
  </si>
  <si>
    <t>Manifold Pressure, in. WC</t>
  </si>
  <si>
    <t>Gas Line Pressure, in. WC</t>
  </si>
  <si>
    <t>Supply Water Pressure, psig</t>
  </si>
  <si>
    <t>Supply Water Temperature, °F</t>
  </si>
  <si>
    <t>Ambient Temperature, °F</t>
  </si>
  <si>
    <t>Is the Outlet Discharge Temperature set appropriately?</t>
  </si>
  <si>
    <t xml:space="preserve">Initiate normal operation of the water heater at the maximum firing rate specified by the manufacturer. Monitor the discharge temperature and set to a value of 125 ± 5 °F in accordance with the manufacturer's instructions. If the water heater is not capable of providing this discharge temperature when the flow rate is 1.7 gallons ± 0.25 gallons per minute, then adjust the flow rate as necessary to achieve the specified discharge water temperature. </t>
  </si>
  <si>
    <r>
      <t>Initiate water flow throughout the water heater, record the inlet and outlet temperatures beginning 15 seconds after the start of the test and at subsequent 5-second intervals throughout the duration of the test. At the end of 10 minutes, turn off the water. Determine the mass of water collected, M</t>
    </r>
    <r>
      <rPr>
        <vertAlign val="subscript"/>
        <sz val="11"/>
        <color theme="1"/>
        <rFont val="Palatino Linotype"/>
        <family val="1"/>
      </rPr>
      <t>10m</t>
    </r>
    <r>
      <rPr>
        <sz val="11"/>
        <color theme="1"/>
        <rFont val="Palatino Linotype"/>
        <family val="1"/>
      </rPr>
      <t>, in pounds, or the volume of water, V</t>
    </r>
    <r>
      <rPr>
        <vertAlign val="subscript"/>
        <sz val="11"/>
        <color theme="1"/>
        <rFont val="Palatino Linotype"/>
        <family val="1"/>
      </rPr>
      <t>10m</t>
    </r>
    <r>
      <rPr>
        <sz val="11"/>
        <color theme="1"/>
        <rFont val="Palatino Linotype"/>
        <family val="1"/>
      </rPr>
      <t>, in gallons.</t>
    </r>
  </si>
  <si>
    <t>Draw End Time, minutes</t>
  </si>
  <si>
    <t>Draw Start Time, minutes</t>
  </si>
  <si>
    <t>Desired Volume Tolerance, gal</t>
  </si>
  <si>
    <t>Average Inlet Water Temperature, °F</t>
  </si>
  <si>
    <t>Recovery Start Time, minutes</t>
  </si>
  <si>
    <t>Recovery End Time, minutes</t>
  </si>
  <si>
    <t>Recovery Duration, minutes</t>
  </si>
  <si>
    <t>Gas Used Information</t>
  </si>
  <si>
    <t>Uncorrected Gas Used, ft^3</t>
  </si>
  <si>
    <t>Uncorrected HV, Btu/ft3 @ 60 °F, 30 in. Hg, saturated</t>
  </si>
  <si>
    <t>Meter Correction Factor (saturated to dry)</t>
  </si>
  <si>
    <t>HHV, Btu/ft3 @ 60 °F, 30 in. Hg, dry</t>
  </si>
  <si>
    <t>Average Atmospheric Pressure, in. Hg</t>
  </si>
  <si>
    <t>Average Gas Supply Pressure, in. WC</t>
  </si>
  <si>
    <t>Average Gas Supply Temperature, °F</t>
  </si>
  <si>
    <t>Corrected Gas Used, Btu ft3 @ 60 °F, 30 in. Hg, dry</t>
  </si>
  <si>
    <t>Oil Used Information</t>
  </si>
  <si>
    <t>Oil Used, gal</t>
  </si>
  <si>
    <t>HV, Btu/gal</t>
  </si>
  <si>
    <t>Electricity Used Information</t>
  </si>
  <si>
    <t>Gas Consumption, Btu</t>
  </si>
  <si>
    <t>Energy Consumption Summarized</t>
  </si>
  <si>
    <t>Oil Consumption, Btu</t>
  </si>
  <si>
    <t>Electricity Consumption, Btu</t>
  </si>
  <si>
    <t>Total Consumption, Btu</t>
  </si>
  <si>
    <t>Electricity Used, Wh</t>
  </si>
  <si>
    <t>Average Input Rate, Btu/h</t>
  </si>
  <si>
    <t>During all burner OFF periods (do not include energy while burner is ON)</t>
  </si>
  <si>
    <t>Draw Duration, minutes</t>
  </si>
  <si>
    <t>Desired Start Time, minutes</t>
  </si>
  <si>
    <t>C_p,1</t>
  </si>
  <si>
    <t>T_in,i</t>
  </si>
  <si>
    <t>T_del,i</t>
  </si>
  <si>
    <t>M_i</t>
  </si>
  <si>
    <t>V_i</t>
  </si>
  <si>
    <t>ρ_i</t>
  </si>
  <si>
    <t>C_p,i</t>
  </si>
  <si>
    <t>M_i*C_p,i*(T_del,i-T_in,i)</t>
  </si>
  <si>
    <t>T_0</t>
  </si>
  <si>
    <t>T_max,1</t>
  </si>
  <si>
    <t>ρ_2</t>
  </si>
  <si>
    <t>C_p,2</t>
  </si>
  <si>
    <r>
      <t>Mass of Water Drawn</t>
    </r>
    <r>
      <rPr>
        <vertAlign val="subscript"/>
        <sz val="11"/>
        <rFont val="Palatino Linotype"/>
        <family val="1"/>
      </rPr>
      <t xml:space="preserve">, </t>
    </r>
    <r>
      <rPr>
        <sz val="11"/>
        <rFont val="Palatino Linotype"/>
        <family val="1"/>
      </rPr>
      <t>lbs</t>
    </r>
  </si>
  <si>
    <t>Average Outlet Water Temperature, °F</t>
  </si>
  <si>
    <t>Specific Heat of Water Drawn, Btu/lb-°F</t>
  </si>
  <si>
    <t>M_i*C_p,i*(125°F-58°F)</t>
  </si>
  <si>
    <r>
      <t>Recovery Efficiency, η</t>
    </r>
    <r>
      <rPr>
        <b/>
        <vertAlign val="subscript"/>
        <sz val="11"/>
        <color indexed="8"/>
        <rFont val="Palatino Linotype"/>
        <family val="1"/>
      </rPr>
      <t>r</t>
    </r>
  </si>
  <si>
    <t>T_su,0</t>
  </si>
  <si>
    <t>T_su,f</t>
  </si>
  <si>
    <t>ρ</t>
  </si>
  <si>
    <t>C_p</t>
  </si>
  <si>
    <t>Q_stby</t>
  </si>
  <si>
    <t>τ_stby,1</t>
  </si>
  <si>
    <t>Q_hr</t>
  </si>
  <si>
    <t>T_t,stby,1</t>
  </si>
  <si>
    <t>T_a,stby,1</t>
  </si>
  <si>
    <t>UA</t>
  </si>
  <si>
    <t>Total Energy Consumed during 24-Hr Test, Btu</t>
  </si>
  <si>
    <t>T_24</t>
  </si>
  <si>
    <t>T_a,stby,2</t>
  </si>
  <si>
    <t>τ_stby,2</t>
  </si>
  <si>
    <t>UEF</t>
  </si>
  <si>
    <t>Evaluated at (T_del,1+T_in,1)/2</t>
  </si>
  <si>
    <t>Evaluated at (T_max,1+T_0)/2</t>
  </si>
  <si>
    <t>Evaluated at (T_su,f+T_su,0)/2</t>
  </si>
  <si>
    <t>Evaluated at (T_24+T_0)/2</t>
  </si>
  <si>
    <t>Modified Daily Water Heating Energy Consumption, Btu/day</t>
  </si>
  <si>
    <t>Daily Water Heating Energy Consumption, Btu/day</t>
  </si>
  <si>
    <t>Energy Used to Heat Water, Btu/day</t>
  </si>
  <si>
    <t>Energy for Same Quantity with 67 °F Rise, Btu/day</t>
  </si>
  <si>
    <t>Annual Energy Consumption, Btu</t>
  </si>
  <si>
    <t>E_annual,e</t>
  </si>
  <si>
    <t>E_annual,f</t>
  </si>
  <si>
    <t>Annual Fossil Fuel Energy Consumption, Btu</t>
  </si>
  <si>
    <t>Annual Electrical Energy Consumption, kWh</t>
  </si>
  <si>
    <t>Minimum Inlet Water Temperature, °F</t>
  </si>
  <si>
    <t>Maximum Inlet Water Temperature, °F</t>
  </si>
  <si>
    <t>Minimum Delivery Water Temperature, °F</t>
  </si>
  <si>
    <t>Maximum Delivery Water Temperature, °F</t>
  </si>
  <si>
    <t>Complete each draw to meet target for gallons used.</t>
  </si>
  <si>
    <t>Evaluated at (T_del,i+T_in,i)/2</t>
  </si>
  <si>
    <t>Uniform Energy Factor</t>
  </si>
  <si>
    <t>Draw ON/OFF</t>
  </si>
  <si>
    <t>Burner ON/OFF</t>
  </si>
  <si>
    <t>Mean Tank Temperature (°F)</t>
  </si>
  <si>
    <r>
      <t>Mean Tank Temperature (</t>
    </r>
    <r>
      <rPr>
        <b/>
        <sz val="11"/>
        <color theme="1"/>
        <rFont val="Calibri"/>
        <family val="2"/>
      </rPr>
      <t>°</t>
    </r>
    <r>
      <rPr>
        <b/>
        <sz val="11"/>
        <color theme="1"/>
        <rFont val="Palatino Linotype"/>
        <family val="1"/>
      </rPr>
      <t>F)</t>
    </r>
  </si>
  <si>
    <r>
      <t>Ambient Temperature (</t>
    </r>
    <r>
      <rPr>
        <b/>
        <sz val="11"/>
        <color theme="1"/>
        <rFont val="Calibri"/>
        <family val="2"/>
      </rPr>
      <t>°</t>
    </r>
    <r>
      <rPr>
        <b/>
        <sz val="11"/>
        <color theme="1"/>
        <rFont val="Palatino Linotype"/>
        <family val="1"/>
      </rPr>
      <t>F)</t>
    </r>
  </si>
  <si>
    <t>T_su,0 and T_su,f</t>
  </si>
  <si>
    <t>T_su,0 to T_su,f</t>
  </si>
  <si>
    <t>24-hrs</t>
  </si>
  <si>
    <t>Tabletop</t>
  </si>
  <si>
    <t>Max Outlet Temperature, °F</t>
  </si>
  <si>
    <t>Is the max delivery temperature at or below 130 °F?</t>
  </si>
  <si>
    <t>Min Delivery Temperature at second 15, °F</t>
  </si>
  <si>
    <t>Max Delivery Temperature at second 15, °F</t>
  </si>
  <si>
    <t>Total Water Delivered During Draw 1, gal</t>
  </si>
  <si>
    <t>For all water heaters except electric types, initiate normal operation (as described in section 5.1) and determine the power input, P, to the main burners (including pilot light power, if any) after 15 minutes of operation.  Adjust all burners to achieve an hourly Btu (kJ) rating that is within ±2% of the value specified by the manufacturer.  For an oil-fired water heater, adjust the burner to give a CO2 reading recommended by the manufacturer. Smoke in the flue may not exceed No. 1 smoke as measured by the procedure in ASTM D2156.</t>
  </si>
  <si>
    <t>Average Delivery Temperature, °F</t>
  </si>
  <si>
    <t>Average Inlet Temperature, °F</t>
  </si>
  <si>
    <t>Minimum Inlet Temperature, °F</t>
  </si>
  <si>
    <t>Maximum Inlet Temperature, °F</t>
  </si>
  <si>
    <t>Minimum Delivery Temperature, °F</t>
  </si>
  <si>
    <t>Maximum Delivery Temperature, °F</t>
  </si>
  <si>
    <t>Mass of Water, lbs - M_10m</t>
  </si>
  <si>
    <t>Volume of Water, gal - V_10m</t>
  </si>
  <si>
    <t>Density of water based on average delivery temperature, lbs/gal</t>
  </si>
  <si>
    <t>No Limit</t>
  </si>
  <si>
    <t>Filled Weight, lbs - W_f</t>
  </si>
  <si>
    <t>Tare Weight, lbs - W_t</t>
  </si>
  <si>
    <t>Density of Water, lbs/gal - ρ</t>
  </si>
  <si>
    <t>1 Hour</t>
  </si>
  <si>
    <t>Rated First-Hour Rating, F_hr</t>
  </si>
  <si>
    <t>Measured First-Hour Rating, F_hr</t>
  </si>
  <si>
    <r>
      <t>Recovery Efficiency, η</t>
    </r>
    <r>
      <rPr>
        <vertAlign val="subscript"/>
        <sz val="11"/>
        <color theme="1"/>
        <rFont val="Palatino Linotype"/>
        <family val="1"/>
      </rPr>
      <t>r</t>
    </r>
  </si>
  <si>
    <t>For the plot to the left</t>
  </si>
  <si>
    <r>
      <t>Annual Electrical Energy Consumption, E</t>
    </r>
    <r>
      <rPr>
        <vertAlign val="subscript"/>
        <sz val="11"/>
        <rFont val="Palatino Linotype"/>
        <family val="1"/>
      </rPr>
      <t>annual,e</t>
    </r>
  </si>
  <si>
    <r>
      <t>Annual Fossil-Fuel Energy Consumption, E</t>
    </r>
    <r>
      <rPr>
        <vertAlign val="subscript"/>
        <sz val="11"/>
        <rFont val="Palatino Linotype"/>
        <family val="1"/>
      </rPr>
      <t>annual,f</t>
    </r>
  </si>
  <si>
    <t>Within Tolerance of 58 °F ± 2 °F</t>
  </si>
  <si>
    <t>Inlet Temperature, °F</t>
  </si>
  <si>
    <t>Outlet Temperature, °F</t>
  </si>
  <si>
    <t>Water Delivered Above 120 °F, gal</t>
  </si>
  <si>
    <t>FHR - Flow Rate, ≥volume cut off</t>
  </si>
  <si>
    <t>Scale, ≥10 lbs</t>
  </si>
  <si>
    <t>Total Average Inlet Water Temperature, °F</t>
  </si>
  <si>
    <r>
      <t xml:space="preserve">Total Average Delivered Water Temperature, </t>
    </r>
    <r>
      <rPr>
        <sz val="11"/>
        <color theme="1"/>
        <rFont val="Calibri"/>
        <family val="2"/>
      </rPr>
      <t>°</t>
    </r>
    <r>
      <rPr>
        <sz val="11"/>
        <color theme="1"/>
        <rFont val="Palatino Linotype"/>
        <family val="1"/>
      </rPr>
      <t>F</t>
    </r>
  </si>
  <si>
    <t>Needed in Test?</t>
  </si>
  <si>
    <t>Used in Test?</t>
  </si>
  <si>
    <t>Clarification Needed?</t>
  </si>
  <si>
    <t>Average Water Inlet Temperature, °F - T_in</t>
  </si>
  <si>
    <t>Other Energy Consumption Periods</t>
  </si>
  <si>
    <t>Note: Always include last draw below, even if credit is not to be given.</t>
  </si>
  <si>
    <t>Calculated Result
(unrounded)</t>
  </si>
  <si>
    <t>Calculated Result
(rounded per significant figures conventions and instrumentation resolution)</t>
  </si>
  <si>
    <t>Measured Storage Volume</t>
  </si>
  <si>
    <t>Tolerance Check Cell</t>
  </si>
  <si>
    <t>Measured First-Hour Rating</t>
  </si>
  <si>
    <t>Measured Max GPM Rating</t>
  </si>
  <si>
    <t>Calculated Result
(rounded per reference test procedure)</t>
  </si>
  <si>
    <t>Test Report Template Name:</t>
  </si>
  <si>
    <t xml:space="preserve">Latest Template Revision: </t>
  </si>
  <si>
    <t>Outlet Temperature</t>
  </si>
  <si>
    <t>Mean Tank Temp Plot</t>
  </si>
  <si>
    <t>Automated Plot of Mean Tank Temperature</t>
  </si>
  <si>
    <t>Constants</t>
  </si>
  <si>
    <t>Table of Constants used</t>
  </si>
  <si>
    <t>Step 11</t>
  </si>
  <si>
    <t>Tabs</t>
  </si>
  <si>
    <t>Tabs with input cells</t>
  </si>
  <si>
    <t>Cells</t>
  </si>
  <si>
    <t>Auto-populated cell</t>
  </si>
  <si>
    <t>Provided data</t>
  </si>
  <si>
    <r>
      <rPr>
        <sz val="11"/>
        <color theme="1"/>
        <rFont val="Calibri"/>
        <family val="2"/>
      </rPr>
      <t>°</t>
    </r>
    <r>
      <rPr>
        <sz val="11"/>
        <color theme="1"/>
        <rFont val="Palatino Linotype"/>
        <family val="1"/>
      </rPr>
      <t>F</t>
    </r>
  </si>
  <si>
    <t>Final Ambient Temperature, °F</t>
  </si>
  <si>
    <t>Final Inlet Temperature, °F</t>
  </si>
  <si>
    <t>T*min, °F</t>
  </si>
  <si>
    <t>T*max, °F</t>
  </si>
  <si>
    <t>Average T*del, °F</t>
  </si>
  <si>
    <t>Final T*del, °F</t>
  </si>
  <si>
    <t>V*, gallons</t>
  </si>
  <si>
    <t>Table of Water Properties used</t>
  </si>
  <si>
    <t>For water at atmospheric pressure</t>
  </si>
  <si>
    <t>v1.0</t>
  </si>
  <si>
    <t>10 CFR 430 Subpart B Appendix E: Uniform Test Method for Measuring the Energy Consumption of Water Heaters</t>
  </si>
  <si>
    <t>v1.1</t>
  </si>
  <si>
    <t>Inlet or Outlet</t>
  </si>
  <si>
    <t>Inlet</t>
  </si>
  <si>
    <t>Outlet</t>
  </si>
  <si>
    <t>Density of Water at the Inlet, lbs/gal</t>
  </si>
  <si>
    <t>Density of Water at the Outlet, lbs/gal</t>
  </si>
  <si>
    <t>Average T*in, °F</t>
  </si>
  <si>
    <t>Density at the Inlet, ρ, lbs/gallon</t>
  </si>
  <si>
    <t>Density at the Outlet, ρ, lbs/gallon</t>
  </si>
  <si>
    <t>v1.2</t>
  </si>
  <si>
    <t>v1.3</t>
  </si>
  <si>
    <t>Volume of Water Drawn, 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</si>
</sst>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0"/>
    <numFmt numFmtId="167" formatCode="0.0%"/>
  </numFmts>
  <fonts count="43" x14ac:knownFonts="1">
    <font>
      <sz val="11"/>
      <color theme="1"/>
      <name val="Calibri"/>
      <family val="2"/>
      <scheme val="minor"/>
    </font>
    <font>
      <sz val="11"/>
      <color theme="1"/>
      <name val="Calibri"/>
      <family val="2"/>
      <scheme val="minor"/>
    </font>
    <font>
      <sz val="11"/>
      <color theme="0"/>
      <name val="Calibri"/>
      <family val="2"/>
      <scheme val="minor"/>
    </font>
    <font>
      <sz val="10"/>
      <name val="Arial"/>
      <family val="2"/>
    </font>
    <font>
      <b/>
      <sz val="11"/>
      <name val="Palatino Linotype"/>
      <family val="2"/>
    </font>
    <font>
      <sz val="11"/>
      <color theme="1"/>
      <name val="Palatino Linotype"/>
      <family val="2"/>
    </font>
    <font>
      <sz val="11"/>
      <color theme="1"/>
      <name val="Palatino Linotype"/>
      <family val="1"/>
    </font>
    <font>
      <sz val="11"/>
      <color rgb="FF000000"/>
      <name val="Palatino Linotype"/>
      <family val="1"/>
    </font>
    <font>
      <b/>
      <sz val="11"/>
      <color theme="1"/>
      <name val="Palatino Linotype"/>
      <family val="1"/>
    </font>
    <font>
      <sz val="11"/>
      <name val="Palatino Linotype"/>
      <family val="2"/>
    </font>
    <font>
      <u/>
      <sz val="11"/>
      <color theme="10"/>
      <name val="Palatino Linotype"/>
      <family val="2"/>
    </font>
    <font>
      <sz val="11"/>
      <name val="Palatino Linotype"/>
      <family val="1"/>
    </font>
    <font>
      <b/>
      <sz val="11"/>
      <name val="Palatino Linotype"/>
      <family val="1"/>
    </font>
    <font>
      <sz val="11"/>
      <color theme="0"/>
      <name val="Palatino Linotype"/>
      <family val="1"/>
    </font>
    <font>
      <sz val="14"/>
      <name val="Palatino Linotype"/>
      <family val="1"/>
    </font>
    <font>
      <b/>
      <sz val="11"/>
      <color indexed="8"/>
      <name val="Palatino Linotype"/>
      <family val="1"/>
    </font>
    <font>
      <vertAlign val="subscript"/>
      <sz val="11"/>
      <color theme="1"/>
      <name val="Palatino Linotype"/>
      <family val="1"/>
    </font>
    <font>
      <vertAlign val="subscript"/>
      <sz val="11"/>
      <name val="Palatino Linotype"/>
      <family val="1"/>
    </font>
    <font>
      <i/>
      <sz val="11"/>
      <color theme="1"/>
      <name val="Palatino Linotype"/>
      <family val="1"/>
    </font>
    <font>
      <b/>
      <sz val="14"/>
      <name val="Palatino Linotype"/>
      <family val="1"/>
    </font>
    <font>
      <b/>
      <sz val="14"/>
      <color theme="1"/>
      <name val="Palatino Linotype"/>
      <family val="1"/>
    </font>
    <font>
      <u/>
      <sz val="11"/>
      <color theme="10"/>
      <name val="Calibri"/>
      <family val="2"/>
    </font>
    <font>
      <i/>
      <sz val="11"/>
      <color theme="6" tint="-0.499984740745262"/>
      <name val="Palatino Linotype"/>
      <family val="2"/>
    </font>
    <font>
      <i/>
      <sz val="11"/>
      <color rgb="FF7F7F7F"/>
      <name val="Palatino Linotype"/>
      <family val="2"/>
    </font>
    <font>
      <sz val="11"/>
      <color rgb="FF3F3F76"/>
      <name val="Palatino Linotype"/>
      <family val="2"/>
    </font>
    <font>
      <b/>
      <sz val="11"/>
      <color theme="9" tint="-0.499984740745262"/>
      <name val="Palatino Linotype"/>
      <family val="2"/>
    </font>
    <font>
      <sz val="11"/>
      <color rgb="FFFF0000"/>
      <name val="Palatino Linotype"/>
      <family val="1"/>
    </font>
    <font>
      <sz val="11"/>
      <color theme="1"/>
      <name val="Calibri"/>
      <family val="2"/>
    </font>
    <font>
      <i/>
      <sz val="11"/>
      <name val="Palatino Linotype"/>
      <family val="1"/>
    </font>
    <font>
      <i/>
      <sz val="11"/>
      <color indexed="8"/>
      <name val="Palatino Linotype"/>
      <family val="1"/>
    </font>
    <font>
      <b/>
      <sz val="11"/>
      <color theme="0"/>
      <name val="Palatino Linotype"/>
      <family val="1"/>
    </font>
    <font>
      <b/>
      <vertAlign val="subscript"/>
      <sz val="14"/>
      <color theme="1"/>
      <name val="Palatino Linotype"/>
      <family val="1"/>
    </font>
    <font>
      <u/>
      <sz val="12"/>
      <color theme="10"/>
      <name val="Palatino Linotype"/>
      <family val="1"/>
    </font>
    <font>
      <sz val="11"/>
      <color theme="0"/>
      <name val="Palatino Linotype"/>
      <family val="2"/>
    </font>
    <font>
      <u/>
      <sz val="11"/>
      <name val="Palatino Linotype"/>
      <family val="1"/>
    </font>
    <font>
      <b/>
      <u/>
      <sz val="11"/>
      <name val="Palatino Linotype"/>
      <family val="1"/>
    </font>
    <font>
      <sz val="11"/>
      <color indexed="12"/>
      <name val="Palatino Linotype"/>
      <family val="1"/>
    </font>
    <font>
      <sz val="11"/>
      <color indexed="8"/>
      <name val="Palatino Linotype"/>
      <family val="1"/>
    </font>
    <font>
      <b/>
      <sz val="11"/>
      <color theme="1"/>
      <name val="Calibri"/>
      <family val="2"/>
    </font>
    <font>
      <u/>
      <sz val="11"/>
      <color theme="10"/>
      <name val="Palatino Linotype"/>
      <family val="1"/>
    </font>
    <font>
      <b/>
      <vertAlign val="subscript"/>
      <sz val="11"/>
      <color indexed="8"/>
      <name val="Palatino Linotype"/>
      <family val="1"/>
    </font>
    <font>
      <i/>
      <sz val="11"/>
      <color rgb="FFFF0000"/>
      <name val="Palatino Linotype"/>
      <family val="1"/>
    </font>
    <font>
      <b/>
      <sz val="36"/>
      <color rgb="FFFF0000"/>
      <name val="Palatino Linotype"/>
      <family val="1"/>
    </font>
  </fonts>
  <fills count="25">
    <fill>
      <patternFill patternType="none"/>
    </fill>
    <fill>
      <patternFill patternType="gray125"/>
    </fill>
    <fill>
      <patternFill patternType="solid">
        <fgColor theme="4" tint="0.59999389629810485"/>
        <bgColor indexed="65"/>
      </patternFill>
    </fill>
    <fill>
      <patternFill patternType="solid">
        <fgColor theme="5" tint="0.39997558519241921"/>
        <bgColor indexed="65"/>
      </patternFill>
    </fill>
    <fill>
      <patternFill patternType="solid">
        <fgColor theme="0" tint="-0.24994659260841701"/>
        <bgColor indexed="64"/>
      </patternFill>
    </fill>
    <fill>
      <patternFill patternType="solid">
        <fgColor theme="4" tint="0.59996337778862885"/>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rgb="FFCCFFCC"/>
        <bgColor indexed="64"/>
      </patternFill>
    </fill>
    <fill>
      <patternFill patternType="solid">
        <fgColor rgb="FF0066CC"/>
        <bgColor indexed="64"/>
      </patternFill>
    </fill>
    <fill>
      <patternFill patternType="solid">
        <fgColor rgb="FF99CCFF"/>
        <bgColor indexed="64"/>
      </patternFill>
    </fill>
    <fill>
      <patternFill patternType="solid">
        <fgColor rgb="FF800000"/>
        <bgColor indexed="64"/>
      </patternFill>
    </fill>
    <fill>
      <patternFill patternType="lightUp">
        <fgColor auto="1"/>
        <bgColor rgb="FFD8D8D8"/>
      </patternFill>
    </fill>
    <fill>
      <patternFill patternType="solid">
        <fgColor rgb="FFFFFFCC"/>
        <bgColor indexed="64"/>
      </patternFill>
    </fill>
    <fill>
      <patternFill patternType="solid">
        <fgColor theme="3" tint="-0.249977111117893"/>
        <bgColor indexed="64"/>
      </patternFill>
    </fill>
    <fill>
      <patternFill patternType="solid">
        <fgColor theme="0" tint="-0.14996795556505021"/>
        <bgColor indexed="64"/>
      </patternFill>
    </fill>
    <fill>
      <patternFill patternType="solid">
        <fgColor theme="6" tint="0.59996337778862885"/>
        <bgColor indexed="64"/>
      </patternFill>
    </fill>
    <fill>
      <patternFill patternType="solid">
        <fgColor theme="9" tint="0.79998168889431442"/>
        <bgColor auto="1"/>
      </patternFill>
    </fill>
    <fill>
      <patternFill patternType="solid">
        <fgColor theme="5" tint="0.79998168889431442"/>
        <bgColor indexed="65"/>
      </patternFill>
    </fill>
    <fill>
      <patternFill patternType="solid">
        <fgColor theme="0" tint="-0.14999847407452621"/>
        <bgColor indexed="64"/>
      </patternFill>
    </fill>
    <fill>
      <patternFill patternType="solid">
        <fgColor theme="0" tint="-0.34998626667073579"/>
        <bgColor indexed="64"/>
      </patternFill>
    </fill>
    <fill>
      <patternFill patternType="solid">
        <fgColor theme="5" tint="0.59996337778862885"/>
        <bgColor indexed="64"/>
      </patternFill>
    </fill>
    <fill>
      <patternFill patternType="solid">
        <fgColor theme="9" tint="-0.249977111117893"/>
        <bgColor indexed="64"/>
      </patternFill>
    </fill>
    <fill>
      <patternFill patternType="solid">
        <fgColor theme="9" tint="0.39997558519241921"/>
        <bgColor indexed="64"/>
      </patternFill>
    </fill>
  </fills>
  <borders count="179">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medium">
        <color indexed="64"/>
      </right>
      <top/>
      <bottom/>
      <diagonal/>
    </border>
    <border>
      <left style="medium">
        <color indexed="64"/>
      </left>
      <right/>
      <top style="medium">
        <color indexed="64"/>
      </top>
      <bottom style="thin">
        <color theme="0" tint="-0.24994659260841701"/>
      </bottom>
      <diagonal/>
    </border>
    <border>
      <left style="medium">
        <color indexed="64"/>
      </left>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medium">
        <color indexed="64"/>
      </left>
      <right style="thin">
        <color theme="0" tint="-0.24994659260841701"/>
      </right>
      <top style="thin">
        <color theme="0" tint="-0.24994659260841701"/>
      </top>
      <bottom/>
      <diagonal/>
    </border>
    <border>
      <left style="thin">
        <color theme="0" tint="-0.24994659260841701"/>
      </left>
      <right style="medium">
        <color indexed="64"/>
      </right>
      <top style="thin">
        <color theme="0" tint="-0.24994659260841701"/>
      </top>
      <bottom/>
      <diagonal/>
    </border>
    <border>
      <left style="medium">
        <color indexed="64"/>
      </left>
      <right style="thin">
        <color theme="0" tint="-0.24994659260841701"/>
      </right>
      <top/>
      <bottom style="medium">
        <color indexed="64"/>
      </bottom>
      <diagonal/>
    </border>
    <border>
      <left style="thin">
        <color theme="0" tint="-0.24994659260841701"/>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thin">
        <color theme="0" tint="-0.24994659260841701"/>
      </bottom>
      <diagonal/>
    </border>
    <border>
      <left style="medium">
        <color indexed="64"/>
      </left>
      <right style="thin">
        <color theme="0" tint="-0.24994659260841701"/>
      </right>
      <top/>
      <bottom style="thin">
        <color indexed="64"/>
      </bottom>
      <diagonal/>
    </border>
    <border>
      <left style="thin">
        <color theme="0" tint="-0.24994659260841701"/>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top style="thin">
        <color indexed="64"/>
      </top>
      <bottom style="thin">
        <color indexed="64"/>
      </bottom>
      <diagonal/>
    </border>
    <border>
      <left style="medium">
        <color indexed="64"/>
      </left>
      <right style="thin">
        <color indexed="64"/>
      </right>
      <top/>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auto="1"/>
      </top>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thin">
        <color theme="0" tint="-0.24994659260841701"/>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theme="0" tint="-0.24994659260841701"/>
      </top>
      <bottom style="thin">
        <color theme="0" tint="-0.24994659260841701"/>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style="thin">
        <color indexed="64"/>
      </left>
      <right style="thin">
        <color indexed="64"/>
      </right>
      <top style="thin">
        <color indexed="64"/>
      </top>
      <bottom/>
      <diagonal/>
    </border>
    <border>
      <left/>
      <right/>
      <top/>
      <bottom style="thin">
        <color theme="0" tint="-0.24994659260841701"/>
      </bottom>
      <diagonal/>
    </border>
    <border>
      <left/>
      <right style="thin">
        <color indexed="64"/>
      </right>
      <top style="medium">
        <color indexed="64"/>
      </top>
      <bottom style="thin">
        <color indexed="64"/>
      </bottom>
      <diagonal/>
    </border>
    <border>
      <left/>
      <right style="medium">
        <color indexed="64"/>
      </right>
      <top/>
      <bottom style="double">
        <color indexed="64"/>
      </bottom>
      <diagonal/>
    </border>
    <border>
      <left style="medium">
        <color indexed="64"/>
      </left>
      <right/>
      <top/>
      <bottom style="double">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hair">
        <color indexed="64"/>
      </top>
      <bottom style="medium">
        <color indexed="64"/>
      </bottom>
      <diagonal/>
    </border>
    <border>
      <left style="medium">
        <color indexed="64"/>
      </left>
      <right/>
      <top style="thin">
        <color theme="0" tint="-0.14999847407452621"/>
      </top>
      <bottom style="thin">
        <color theme="0" tint="-0.14999847407452621"/>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medium">
        <color indexed="64"/>
      </left>
      <right/>
      <top style="double">
        <color indexed="64"/>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theme="0" tint="-0.14999847407452621"/>
      </top>
      <bottom style="thin">
        <color theme="0" tint="-0.14996795556505021"/>
      </bottom>
      <diagonal/>
    </border>
    <border>
      <left/>
      <right style="medium">
        <color indexed="64"/>
      </right>
      <top style="thin">
        <color theme="0" tint="-0.14999847407452621"/>
      </top>
      <bottom style="thin">
        <color theme="0" tint="-0.14996795556505021"/>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right/>
      <top style="thin">
        <color theme="0" tint="-0.24994659260841701"/>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medium">
        <color indexed="64"/>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medium">
        <color indexed="64"/>
      </left>
      <right style="thin">
        <color theme="0" tint="-0.249977111117893"/>
      </right>
      <top/>
      <bottom style="thin">
        <color theme="0" tint="-0.249977111117893"/>
      </bottom>
      <diagonal/>
    </border>
    <border>
      <left style="thin">
        <color theme="0" tint="-0.249977111117893"/>
      </left>
      <right style="medium">
        <color indexed="64"/>
      </right>
      <top/>
      <bottom style="thin">
        <color theme="0" tint="-0.249977111117893"/>
      </bottom>
      <diagonal/>
    </border>
    <border>
      <left style="medium">
        <color indexed="64"/>
      </left>
      <right style="thin">
        <color theme="0" tint="-0.249977111117893"/>
      </right>
      <top style="thin">
        <color theme="0" tint="-0.249977111117893"/>
      </top>
      <bottom style="thin">
        <color theme="0" tint="-0.249977111117893"/>
      </bottom>
      <diagonal/>
    </border>
    <border>
      <left style="thin">
        <color theme="0" tint="-0.249977111117893"/>
      </left>
      <right style="medium">
        <color indexed="64"/>
      </right>
      <top style="thin">
        <color theme="0" tint="-0.249977111117893"/>
      </top>
      <bottom style="thin">
        <color theme="0" tint="-0.249977111117893"/>
      </bottom>
      <diagonal/>
    </border>
    <border>
      <left style="medium">
        <color indexed="64"/>
      </left>
      <right style="thin">
        <color theme="0" tint="-0.249977111117893"/>
      </right>
      <top style="thin">
        <color theme="0" tint="-0.249977111117893"/>
      </top>
      <bottom style="medium">
        <color indexed="64"/>
      </bottom>
      <diagonal/>
    </border>
    <border>
      <left style="thin">
        <color theme="0" tint="-0.249977111117893"/>
      </left>
      <right style="thin">
        <color theme="0" tint="-0.249977111117893"/>
      </right>
      <top style="thin">
        <color theme="0" tint="-0.249977111117893"/>
      </top>
      <bottom style="medium">
        <color indexed="64"/>
      </bottom>
      <diagonal/>
    </border>
    <border>
      <left style="thin">
        <color theme="0" tint="-0.249977111117893"/>
      </left>
      <right style="medium">
        <color indexed="64"/>
      </right>
      <top style="thin">
        <color theme="0" tint="-0.249977111117893"/>
      </top>
      <bottom style="medium">
        <color indexed="64"/>
      </bottom>
      <diagonal/>
    </border>
    <border>
      <left style="medium">
        <color indexed="64"/>
      </left>
      <right style="thin">
        <color theme="0" tint="-0.249977111117893"/>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
      <left style="thin">
        <color theme="0" tint="-0.249977111117893"/>
      </left>
      <right style="medium">
        <color indexed="64"/>
      </right>
      <top style="medium">
        <color indexed="64"/>
      </top>
      <bottom style="medium">
        <color indexed="64"/>
      </bottom>
      <diagonal/>
    </border>
    <border>
      <left style="medium">
        <color indexed="64"/>
      </left>
      <right/>
      <top/>
      <bottom style="thin">
        <color theme="0" tint="-0.14999847407452621"/>
      </bottom>
      <diagonal/>
    </border>
    <border>
      <left style="thin">
        <color indexed="64"/>
      </left>
      <right/>
      <top/>
      <bottom style="double">
        <color indexed="64"/>
      </bottom>
      <diagonal/>
    </border>
    <border>
      <left/>
      <right/>
      <top/>
      <bottom style="thin">
        <color theme="0" tint="-0.249977111117893"/>
      </bottom>
      <diagonal/>
    </border>
    <border>
      <left/>
      <right style="medium">
        <color indexed="64"/>
      </right>
      <top/>
      <bottom style="thin">
        <color theme="0" tint="-0.249977111117893"/>
      </bottom>
      <diagonal/>
    </border>
    <border>
      <left style="thin">
        <color indexed="64"/>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medium">
        <color indexed="64"/>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14996795556505021"/>
      </top>
      <bottom/>
      <diagonal/>
    </border>
    <border>
      <left style="medium">
        <color indexed="64"/>
      </left>
      <right/>
      <top/>
      <bottom style="thin">
        <color theme="0" tint="-0.14996795556505021"/>
      </bottom>
      <diagonal/>
    </border>
    <border>
      <left style="medium">
        <color indexed="64"/>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medium">
        <color indexed="64"/>
      </left>
      <right/>
      <top/>
      <bottom style="thin">
        <color theme="0" tint="-0.249977111117893"/>
      </bottom>
      <diagonal/>
    </border>
    <border>
      <left style="medium">
        <color indexed="64"/>
      </left>
      <right/>
      <top style="thin">
        <color theme="0" tint="-0.249977111117893"/>
      </top>
      <bottom style="medium">
        <color indexed="64"/>
      </bottom>
      <diagonal/>
    </border>
    <border>
      <left style="thin">
        <color theme="0" tint="-0.249977111117893"/>
      </left>
      <right/>
      <top/>
      <bottom/>
      <diagonal/>
    </border>
    <border>
      <left style="medium">
        <color indexed="64"/>
      </left>
      <right/>
      <top style="thin">
        <color theme="0" tint="-0.249977111117893"/>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theme="0" tint="-0.249977111117893"/>
      </top>
      <bottom/>
      <diagonal/>
    </border>
    <border>
      <left style="thin">
        <color indexed="64"/>
      </left>
      <right style="thin">
        <color indexed="64"/>
      </right>
      <top/>
      <bottom style="double">
        <color indexed="64"/>
      </bottom>
      <diagonal/>
    </border>
    <border>
      <left style="thin">
        <color theme="0" tint="-0.249977111117893"/>
      </left>
      <right style="thin">
        <color theme="0" tint="-0.249977111117893"/>
      </right>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theme="0" tint="-0.249977111117893"/>
      </left>
      <right style="medium">
        <color indexed="64"/>
      </right>
      <top/>
      <bottom/>
      <diagonal/>
    </border>
    <border>
      <left/>
      <right style="thin">
        <color indexed="64"/>
      </right>
      <top/>
      <bottom style="medium">
        <color indexed="64"/>
      </bottom>
      <diagonal/>
    </border>
    <border>
      <left style="thin">
        <color theme="0" tint="-0.249977111117893"/>
      </left>
      <right/>
      <top style="thin">
        <color theme="0" tint="-0.249977111117893"/>
      </top>
      <bottom style="medium">
        <color indexed="64"/>
      </bottom>
      <diagonal/>
    </border>
    <border>
      <left/>
      <right style="medium">
        <color indexed="64"/>
      </right>
      <top style="thin">
        <color theme="0" tint="-0.249977111117893"/>
      </top>
      <bottom style="medium">
        <color indexed="64"/>
      </bottom>
      <diagonal/>
    </border>
    <border>
      <left/>
      <right style="thin">
        <color theme="0" tint="-0.249977111117893"/>
      </right>
      <top style="thin">
        <color theme="0" tint="-0.249977111117893"/>
      </top>
      <bottom/>
      <diagonal/>
    </border>
    <border>
      <left style="medium">
        <color indexed="64"/>
      </left>
      <right style="medium">
        <color indexed="64"/>
      </right>
      <top style="thin">
        <color theme="0" tint="-0.249977111117893"/>
      </top>
      <bottom style="thin">
        <color theme="0" tint="-0.249977111117893"/>
      </bottom>
      <diagonal/>
    </border>
    <border>
      <left/>
      <right/>
      <top style="thin">
        <color theme="0" tint="-0.249977111117893"/>
      </top>
      <bottom style="medium">
        <color indexed="64"/>
      </bottom>
      <diagonal/>
    </border>
    <border>
      <left style="thin">
        <color indexed="64"/>
      </left>
      <right/>
      <top style="medium">
        <color indexed="64"/>
      </top>
      <bottom style="thin">
        <color theme="0" tint="-0.249977111117893"/>
      </bottom>
      <diagonal/>
    </border>
    <border>
      <left/>
      <right/>
      <top style="medium">
        <color indexed="64"/>
      </top>
      <bottom style="thin">
        <color theme="0" tint="-0.249977111117893"/>
      </bottom>
      <diagonal/>
    </border>
    <border>
      <left/>
      <right style="medium">
        <color indexed="64"/>
      </right>
      <top style="medium">
        <color indexed="64"/>
      </top>
      <bottom style="thin">
        <color theme="0" tint="-0.249977111117893"/>
      </bottom>
      <diagonal/>
    </border>
    <border>
      <left style="medium">
        <color indexed="64"/>
      </left>
      <right style="medium">
        <color indexed="64"/>
      </right>
      <top style="thin">
        <color theme="0" tint="-0.249977111117893"/>
      </top>
      <bottom style="medium">
        <color indexed="64"/>
      </bottom>
      <diagonal/>
    </border>
    <border>
      <left style="medium">
        <color indexed="64"/>
      </left>
      <right style="medium">
        <color indexed="64"/>
      </right>
      <top/>
      <bottom style="thin">
        <color theme="0" tint="-0.249977111117893"/>
      </bottom>
      <diagonal/>
    </border>
    <border>
      <left style="medium">
        <color indexed="64"/>
      </left>
      <right style="thin">
        <color theme="0" tint="-0.24994659260841701"/>
      </right>
      <top/>
      <bottom style="thin">
        <color theme="0" tint="-0.249977111117893"/>
      </bottom>
      <diagonal/>
    </border>
    <border>
      <left style="thin">
        <color theme="0" tint="-0.24994659260841701"/>
      </left>
      <right style="medium">
        <color indexed="64"/>
      </right>
      <top/>
      <bottom style="thin">
        <color theme="0" tint="-0.249977111117893"/>
      </bottom>
      <diagonal/>
    </border>
    <border>
      <left style="medium">
        <color indexed="64"/>
      </left>
      <right style="thin">
        <color theme="0" tint="-0.24994659260841701"/>
      </right>
      <top style="thin">
        <color indexed="64"/>
      </top>
      <bottom style="thin">
        <color theme="0" tint="-0.249977111117893"/>
      </bottom>
      <diagonal/>
    </border>
    <border>
      <left style="thin">
        <color theme="0" tint="-0.24994659260841701"/>
      </left>
      <right style="medium">
        <color indexed="64"/>
      </right>
      <top style="thin">
        <color indexed="64"/>
      </top>
      <bottom style="thin">
        <color theme="0" tint="-0.249977111117893"/>
      </bottom>
      <diagonal/>
    </border>
    <border>
      <left style="medium">
        <color indexed="64"/>
      </left>
      <right style="thin">
        <color theme="0" tint="-0.24994659260841701"/>
      </right>
      <top style="thin">
        <color theme="0" tint="-0.249977111117893"/>
      </top>
      <bottom style="thin">
        <color theme="0" tint="-0.249977111117893"/>
      </bottom>
      <diagonal/>
    </border>
    <border>
      <left style="thin">
        <color theme="0" tint="-0.24994659260841701"/>
      </left>
      <right style="medium">
        <color indexed="64"/>
      </right>
      <top style="thin">
        <color theme="0" tint="-0.249977111117893"/>
      </top>
      <bottom style="thin">
        <color theme="0" tint="-0.249977111117893"/>
      </bottom>
      <diagonal/>
    </border>
    <border>
      <left style="medium">
        <color indexed="64"/>
      </left>
      <right/>
      <top style="medium">
        <color indexed="64"/>
      </top>
      <bottom style="thin">
        <color theme="0" tint="-0.249977111117893"/>
      </bottom>
      <diagonal/>
    </border>
    <border>
      <left/>
      <right style="thin">
        <color theme="0" tint="-0.249977111117893"/>
      </right>
      <top style="thin">
        <color theme="0" tint="-0.249977111117893"/>
      </top>
      <bottom style="medium">
        <color indexed="64"/>
      </bottom>
      <diagonal/>
    </border>
  </borders>
  <cellStyleXfs count="30">
    <xf numFmtId="0" fontId="0" fillId="0" borderId="0"/>
    <xf numFmtId="0" fontId="1" fillId="2" borderId="0" applyNumberFormat="0" applyBorder="0" applyAlignment="0" applyProtection="0"/>
    <xf numFmtId="0" fontId="2" fillId="3" borderId="0" applyNumberFormat="0" applyBorder="0" applyAlignment="0" applyProtection="0"/>
    <xf numFmtId="0" fontId="3" fillId="0" borderId="0"/>
    <xf numFmtId="0" fontId="4" fillId="4" borderId="0" applyNumberFormat="0" applyBorder="0" applyProtection="0">
      <alignment horizontal="left" vertical="center"/>
    </xf>
    <xf numFmtId="0" fontId="5" fillId="0" borderId="0"/>
    <xf numFmtId="0" fontId="9" fillId="5" borderId="1" applyNumberFormat="0" applyProtection="0">
      <alignment horizontal="center" vertical="center"/>
    </xf>
    <xf numFmtId="0" fontId="10" fillId="0" borderId="0" applyNumberFormat="0" applyFill="0" applyBorder="0" applyAlignment="0" applyProtection="0">
      <alignment vertical="top"/>
      <protection locked="0"/>
    </xf>
    <xf numFmtId="0" fontId="5" fillId="0" borderId="0"/>
    <xf numFmtId="0" fontId="21" fillId="0" borderId="0" applyNumberFormat="0" applyFill="0" applyBorder="0" applyAlignment="0" applyProtection="0">
      <alignment vertical="top"/>
      <protection locked="0"/>
    </xf>
    <xf numFmtId="0" fontId="13" fillId="15" borderId="1">
      <alignment horizontal="center" vertical="center"/>
    </xf>
    <xf numFmtId="0" fontId="9" fillId="16" borderId="1" applyNumberFormat="0" applyAlignment="0" applyProtection="0"/>
    <xf numFmtId="0" fontId="6" fillId="0" borderId="1">
      <alignment horizontal="center"/>
    </xf>
    <xf numFmtId="0" fontId="22" fillId="17" borderId="0" applyNumberFormat="0" applyAlignment="0" applyProtection="0"/>
    <xf numFmtId="0" fontId="23" fillId="0" borderId="0" applyNumberFormat="0" applyFill="0" applyBorder="0" applyAlignment="0" applyProtection="0"/>
    <xf numFmtId="0" fontId="6" fillId="0" borderId="1">
      <alignment horizontal="center" vertical="center"/>
    </xf>
    <xf numFmtId="0" fontId="24" fillId="5" borderId="1" applyNumberFormat="0" applyProtection="0">
      <alignment horizontal="center" vertical="center"/>
    </xf>
    <xf numFmtId="0" fontId="5" fillId="0" borderId="0"/>
    <xf numFmtId="0" fontId="3" fillId="0" borderId="0"/>
    <xf numFmtId="0" fontId="3" fillId="0" borderId="0"/>
    <xf numFmtId="0" fontId="25" fillId="18" borderId="1" applyNumberFormat="0" applyProtection="0">
      <alignment horizontal="center" vertical="center"/>
    </xf>
    <xf numFmtId="0" fontId="26" fillId="8" borderId="0"/>
    <xf numFmtId="0" fontId="8" fillId="0" borderId="0"/>
    <xf numFmtId="0" fontId="8" fillId="0" borderId="16">
      <alignment horizontal="center" vertical="center" wrapText="1"/>
    </xf>
    <xf numFmtId="9" fontId="1" fillId="0" borderId="0" applyFont="0" applyFill="0" applyBorder="0" applyAlignment="0" applyProtection="0"/>
    <xf numFmtId="0" fontId="33" fillId="3" borderId="0" applyNumberFormat="0" applyBorder="0" applyAlignment="0" applyProtection="0"/>
    <xf numFmtId="0" fontId="1" fillId="0" borderId="0"/>
    <xf numFmtId="0" fontId="5" fillId="2" borderId="0" applyNumberFormat="0" applyBorder="0" applyAlignment="0" applyProtection="0"/>
    <xf numFmtId="0" fontId="5" fillId="19" borderId="0" applyNumberFormat="0" applyBorder="0" applyAlignment="0" applyProtection="0"/>
    <xf numFmtId="0" fontId="9" fillId="22" borderId="1" applyNumberFormat="0" applyProtection="0">
      <alignment horizontal="center" vertical="center"/>
    </xf>
  </cellStyleXfs>
  <cellXfs count="1276">
    <xf numFmtId="0" fontId="0" fillId="0" borderId="0" xfId="0"/>
    <xf numFmtId="0" fontId="12" fillId="0" borderId="0" xfId="0" applyFont="1" applyProtection="1"/>
    <xf numFmtId="0" fontId="11" fillId="0" borderId="0" xfId="0" applyFont="1" applyBorder="1" applyProtection="1"/>
    <xf numFmtId="0" fontId="11" fillId="0" borderId="0" xfId="0" applyFont="1" applyFill="1" applyBorder="1" applyProtection="1"/>
    <xf numFmtId="0" fontId="11" fillId="0" borderId="0" xfId="0" applyFont="1" applyFill="1" applyProtection="1"/>
    <xf numFmtId="0" fontId="11" fillId="0" borderId="0" xfId="0" applyFont="1" applyBorder="1" applyAlignment="1" applyProtection="1">
      <alignment horizontal="center" vertical="top" wrapText="1"/>
    </xf>
    <xf numFmtId="0" fontId="11" fillId="0" borderId="0" xfId="0" quotePrefix="1" applyFont="1" applyProtection="1"/>
    <xf numFmtId="0" fontId="14" fillId="0" borderId="0" xfId="0" applyFont="1" applyBorder="1" applyProtection="1"/>
    <xf numFmtId="0" fontId="12" fillId="4" borderId="22" xfId="4" applyFont="1" applyBorder="1" applyProtection="1">
      <alignment horizontal="left" vertical="center"/>
    </xf>
    <xf numFmtId="0" fontId="11" fillId="0" borderId="0" xfId="5" applyFont="1" applyBorder="1" applyProtection="1"/>
    <xf numFmtId="0" fontId="6" fillId="0" borderId="31" xfId="8" applyFont="1" applyBorder="1" applyAlignment="1" applyProtection="1">
      <alignment vertical="center"/>
    </xf>
    <xf numFmtId="0" fontId="11" fillId="0" borderId="34" xfId="0" applyFont="1" applyFill="1" applyBorder="1" applyProtection="1"/>
    <xf numFmtId="0" fontId="6" fillId="0" borderId="35" xfId="5" applyFont="1" applyBorder="1" applyProtection="1"/>
    <xf numFmtId="0" fontId="11" fillId="0" borderId="36" xfId="0" applyFont="1" applyFill="1" applyBorder="1" applyProtection="1"/>
    <xf numFmtId="0" fontId="6" fillId="0" borderId="31" xfId="5" applyFont="1" applyBorder="1" applyProtection="1"/>
    <xf numFmtId="0" fontId="11" fillId="0" borderId="31" xfId="0" applyFont="1" applyFill="1" applyBorder="1" applyProtection="1"/>
    <xf numFmtId="0" fontId="11" fillId="0" borderId="31" xfId="5" applyFont="1" applyBorder="1" applyProtection="1"/>
    <xf numFmtId="0" fontId="11" fillId="0" borderId="37" xfId="0" applyFont="1" applyFill="1" applyBorder="1" applyProtection="1"/>
    <xf numFmtId="0" fontId="11" fillId="0" borderId="33" xfId="5" applyFont="1" applyBorder="1" applyProtection="1"/>
    <xf numFmtId="0" fontId="6" fillId="0" borderId="40" xfId="0" applyFont="1" applyBorder="1" applyProtection="1"/>
    <xf numFmtId="0" fontId="11" fillId="8" borderId="0" xfId="0" applyFont="1" applyFill="1" applyBorder="1" applyProtection="1"/>
    <xf numFmtId="0" fontId="6" fillId="8" borderId="0" xfId="5" applyFont="1" applyFill="1" applyBorder="1" applyProtection="1"/>
    <xf numFmtId="14" fontId="6" fillId="0" borderId="31" xfId="5" applyNumberFormat="1" applyFont="1" applyBorder="1" applyAlignment="1">
      <alignment horizontal="left"/>
    </xf>
    <xf numFmtId="0" fontId="7" fillId="0" borderId="35" xfId="5" applyFont="1" applyBorder="1" applyAlignment="1">
      <alignment horizontal="left"/>
    </xf>
    <xf numFmtId="0" fontId="8" fillId="0" borderId="44" xfId="5" applyFont="1" applyBorder="1" applyAlignment="1">
      <alignment horizontal="center"/>
    </xf>
    <xf numFmtId="0" fontId="8" fillId="0" borderId="45" xfId="5" applyFont="1" applyBorder="1" applyAlignment="1">
      <alignment horizontal="center"/>
    </xf>
    <xf numFmtId="0" fontId="11" fillId="0" borderId="0" xfId="3" applyFont="1" applyBorder="1" applyAlignment="1" applyProtection="1"/>
    <xf numFmtId="0" fontId="15" fillId="0" borderId="0" xfId="0" applyFont="1" applyProtection="1"/>
    <xf numFmtId="0" fontId="11" fillId="0" borderId="30" xfId="0" applyFont="1" applyBorder="1" applyAlignment="1" applyProtection="1">
      <alignment vertical="center"/>
    </xf>
    <xf numFmtId="0" fontId="6" fillId="0" borderId="29" xfId="0" applyFont="1" applyBorder="1" applyProtection="1"/>
    <xf numFmtId="0" fontId="6" fillId="0" borderId="32" xfId="0" applyFont="1" applyBorder="1" applyProtection="1"/>
    <xf numFmtId="0" fontId="7" fillId="0" borderId="35" xfId="5" applyFont="1" applyBorder="1" applyAlignment="1" applyProtection="1">
      <alignment horizontal="left"/>
    </xf>
    <xf numFmtId="0" fontId="6" fillId="0" borderId="0" xfId="5" applyFont="1" applyProtection="1"/>
    <xf numFmtId="14" fontId="11" fillId="11" borderId="1" xfId="6" applyNumberFormat="1" applyFont="1" applyFill="1" applyBorder="1" applyProtection="1">
      <alignment horizontal="center" vertical="center"/>
      <protection locked="0"/>
    </xf>
    <xf numFmtId="0" fontId="11" fillId="0" borderId="0" xfId="4" applyFont="1" applyFill="1" applyBorder="1" applyAlignment="1" applyProtection="1">
      <alignment horizontal="left" vertical="center" wrapText="1"/>
    </xf>
    <xf numFmtId="0" fontId="8" fillId="0" borderId="0" xfId="5" applyFont="1" applyFill="1" applyBorder="1" applyAlignment="1" applyProtection="1">
      <alignment horizontal="center"/>
    </xf>
    <xf numFmtId="0" fontId="11" fillId="0" borderId="0" xfId="6" applyFont="1" applyFill="1" applyBorder="1" applyProtection="1">
      <alignment horizontal="center" vertical="center"/>
    </xf>
    <xf numFmtId="14" fontId="13" fillId="12" borderId="3" xfId="6" applyNumberFormat="1" applyFont="1" applyFill="1" applyBorder="1" applyProtection="1">
      <alignment horizontal="center" vertical="center"/>
    </xf>
    <xf numFmtId="0" fontId="8" fillId="0" borderId="51" xfId="5" applyFont="1" applyBorder="1" applyAlignment="1" applyProtection="1">
      <alignment horizontal="center"/>
    </xf>
    <xf numFmtId="0" fontId="8" fillId="0" borderId="52" xfId="5" applyFont="1" applyBorder="1" applyAlignment="1" applyProtection="1">
      <alignment horizontal="center"/>
    </xf>
    <xf numFmtId="14" fontId="11" fillId="11" borderId="26" xfId="6" applyNumberFormat="1" applyFont="1" applyFill="1" applyBorder="1" applyProtection="1">
      <alignment horizontal="center" vertical="center"/>
      <protection locked="0"/>
    </xf>
    <xf numFmtId="0" fontId="6" fillId="0" borderId="43" xfId="8" applyFont="1" applyBorder="1" applyProtection="1"/>
    <xf numFmtId="0" fontId="6" fillId="0" borderId="10" xfId="0" applyFont="1" applyBorder="1" applyAlignment="1" applyProtection="1">
      <alignment horizontal="left" vertical="top" wrapText="1"/>
    </xf>
    <xf numFmtId="0" fontId="6" fillId="0" borderId="0" xfId="0" applyFont="1" applyBorder="1" applyAlignment="1" applyProtection="1">
      <alignment horizontal="left" vertical="top" wrapText="1"/>
    </xf>
    <xf numFmtId="0" fontId="6" fillId="0" borderId="11" xfId="0" applyFont="1" applyBorder="1" applyAlignment="1" applyProtection="1">
      <alignment horizontal="left" vertical="top" wrapText="1"/>
    </xf>
    <xf numFmtId="0" fontId="12" fillId="4" borderId="8" xfId="4" applyFont="1" applyBorder="1" applyProtection="1">
      <alignment horizontal="left" vertical="center"/>
    </xf>
    <xf numFmtId="0" fontId="12" fillId="4" borderId="9" xfId="4" applyFont="1" applyBorder="1" applyProtection="1">
      <alignment horizontal="left" vertical="center"/>
    </xf>
    <xf numFmtId="0" fontId="12" fillId="4" borderId="15" xfId="4" applyFont="1" applyBorder="1" applyProtection="1">
      <alignment horizontal="left" vertical="center"/>
    </xf>
    <xf numFmtId="0" fontId="6" fillId="0" borderId="0" xfId="0" applyFont="1" applyFill="1" applyBorder="1" applyAlignment="1" applyProtection="1"/>
    <xf numFmtId="0" fontId="6" fillId="0" borderId="11" xfId="0" applyFont="1" applyBorder="1"/>
    <xf numFmtId="0" fontId="6" fillId="0" borderId="10" xfId="0" applyFont="1" applyBorder="1"/>
    <xf numFmtId="0" fontId="6" fillId="0" borderId="0" xfId="0" applyFont="1"/>
    <xf numFmtId="0" fontId="8" fillId="0" borderId="0" xfId="0" applyFont="1"/>
    <xf numFmtId="0" fontId="11" fillId="0" borderId="30" xfId="0" applyFont="1" applyFill="1" applyBorder="1" applyAlignment="1" applyProtection="1">
      <alignment vertical="center"/>
    </xf>
    <xf numFmtId="0" fontId="11" fillId="8" borderId="0" xfId="0" applyFont="1" applyFill="1"/>
    <xf numFmtId="0" fontId="8" fillId="8" borderId="0" xfId="0" applyFont="1" applyFill="1"/>
    <xf numFmtId="0" fontId="6" fillId="0" borderId="0" xfId="5" applyFont="1" applyBorder="1" applyProtection="1"/>
    <xf numFmtId="14" fontId="6" fillId="0" borderId="0" xfId="5" applyNumberFormat="1" applyFont="1" applyBorder="1" applyAlignment="1" applyProtection="1">
      <alignment horizontal="left"/>
    </xf>
    <xf numFmtId="0" fontId="6" fillId="0" borderId="43" xfId="5" applyFont="1" applyBorder="1" applyProtection="1"/>
    <xf numFmtId="0" fontId="6" fillId="0" borderId="0" xfId="5" applyFont="1" applyBorder="1"/>
    <xf numFmtId="14" fontId="6" fillId="0" borderId="0" xfId="5" applyNumberFormat="1" applyFont="1" applyBorder="1" applyAlignment="1">
      <alignment horizontal="left"/>
    </xf>
    <xf numFmtId="0" fontId="6" fillId="0" borderId="43" xfId="5" applyFont="1" applyBorder="1"/>
    <xf numFmtId="0" fontId="12" fillId="0" borderId="0" xfId="4" applyFont="1" applyFill="1" applyBorder="1" applyProtection="1">
      <alignment horizontal="left" vertical="center"/>
    </xf>
    <xf numFmtId="0" fontId="6" fillId="0" borderId="0" xfId="0" applyFont="1" applyFill="1"/>
    <xf numFmtId="0" fontId="6" fillId="0" borderId="0" xfId="0" applyFont="1" applyBorder="1" applyAlignment="1">
      <alignment horizontal="center"/>
    </xf>
    <xf numFmtId="1" fontId="6" fillId="0" borderId="53" xfId="0" applyNumberFormat="1" applyFont="1" applyFill="1" applyBorder="1" applyAlignment="1">
      <alignment horizontal="center"/>
    </xf>
    <xf numFmtId="0" fontId="11" fillId="0" borderId="0" xfId="0" applyFont="1" applyBorder="1" applyAlignment="1" applyProtection="1">
      <alignment horizontal="left" vertical="top" wrapText="1"/>
    </xf>
    <xf numFmtId="0" fontId="11" fillId="8" borderId="0" xfId="0" applyFont="1" applyFill="1" applyBorder="1" applyAlignment="1" applyProtection="1">
      <alignment horizontal="left" vertical="top" wrapText="1"/>
    </xf>
    <xf numFmtId="0" fontId="6" fillId="0" borderId="30" xfId="5" applyFont="1" applyBorder="1"/>
    <xf numFmtId="0" fontId="6" fillId="0" borderId="30" xfId="5" applyNumberFormat="1" applyFont="1" applyBorder="1"/>
    <xf numFmtId="0" fontId="6" fillId="0" borderId="32" xfId="5" applyFont="1" applyBorder="1"/>
    <xf numFmtId="0" fontId="12" fillId="4" borderId="21" xfId="4" applyFont="1" applyBorder="1">
      <alignment horizontal="left" vertical="center"/>
    </xf>
    <xf numFmtId="0" fontId="12" fillId="4" borderId="22" xfId="4" applyFont="1" applyFill="1" applyBorder="1" applyAlignment="1">
      <alignment horizontal="left" vertical="center"/>
    </xf>
    <xf numFmtId="1" fontId="6" fillId="8" borderId="53" xfId="0" applyNumberFormat="1" applyFont="1" applyFill="1" applyBorder="1" applyAlignment="1">
      <alignment horizontal="center"/>
    </xf>
    <xf numFmtId="0" fontId="34" fillId="0" borderId="0" xfId="0" applyFont="1" applyFill="1" applyBorder="1" applyAlignment="1" applyProtection="1">
      <alignment horizontal="center"/>
    </xf>
    <xf numFmtId="0" fontId="6" fillId="0" borderId="0" xfId="0" applyFont="1" applyProtection="1"/>
    <xf numFmtId="0" fontId="6" fillId="0" borderId="11" xfId="0" applyFont="1" applyBorder="1" applyProtection="1"/>
    <xf numFmtId="0" fontId="6" fillId="0" borderId="0" xfId="0" applyFont="1" applyFill="1" applyProtection="1"/>
    <xf numFmtId="0" fontId="6" fillId="0" borderId="0" xfId="0" applyFont="1" applyAlignment="1" applyProtection="1"/>
    <xf numFmtId="0" fontId="6" fillId="0" borderId="1" xfId="0" applyFont="1" applyBorder="1" applyAlignment="1" applyProtection="1">
      <alignment horizontal="center" wrapText="1"/>
    </xf>
    <xf numFmtId="0" fontId="6" fillId="0" borderId="0" xfId="0" applyFont="1" applyFill="1" applyBorder="1" applyAlignment="1" applyProtection="1">
      <alignment horizontal="center"/>
    </xf>
    <xf numFmtId="0" fontId="36" fillId="0" borderId="0" xfId="0" applyFont="1" applyFill="1" applyBorder="1" applyAlignment="1" applyProtection="1">
      <alignment horizontal="center"/>
    </xf>
    <xf numFmtId="0" fontId="6" fillId="0" borderId="0" xfId="0" applyFont="1" applyAlignment="1" applyProtection="1">
      <alignment wrapText="1"/>
    </xf>
    <xf numFmtId="0" fontId="34" fillId="0" borderId="0" xfId="0" applyFont="1" applyBorder="1" applyAlignment="1" applyProtection="1"/>
    <xf numFmtId="0" fontId="35" fillId="0" borderId="0" xfId="0" applyFont="1" applyBorder="1" applyAlignment="1" applyProtection="1"/>
    <xf numFmtId="0" fontId="18" fillId="0" borderId="0" xfId="0" applyFont="1" applyAlignment="1" applyProtection="1">
      <alignment wrapText="1"/>
    </xf>
    <xf numFmtId="0" fontId="18" fillId="0" borderId="0" xfId="0" applyFont="1" applyAlignment="1" applyProtection="1"/>
    <xf numFmtId="0" fontId="12" fillId="0" borderId="0" xfId="0" applyFont="1" applyBorder="1" applyAlignment="1" applyProtection="1"/>
    <xf numFmtId="0" fontId="12" fillId="4" borderId="21" xfId="4" applyFont="1" applyBorder="1" applyProtection="1">
      <alignment horizontal="left" vertical="center"/>
    </xf>
    <xf numFmtId="0" fontId="18" fillId="8" borderId="0" xfId="0" applyFont="1" applyFill="1" applyAlignment="1" applyProtection="1"/>
    <xf numFmtId="0" fontId="18" fillId="8" borderId="0" xfId="0" applyFont="1" applyFill="1" applyAlignment="1" applyProtection="1">
      <alignment wrapText="1"/>
    </xf>
    <xf numFmtId="0" fontId="34" fillId="8" borderId="0" xfId="0" applyFont="1" applyFill="1" applyBorder="1" applyAlignment="1" applyProtection="1"/>
    <xf numFmtId="0" fontId="11" fillId="8" borderId="0" xfId="0" applyFont="1" applyFill="1" applyBorder="1" applyAlignment="1" applyProtection="1"/>
    <xf numFmtId="0" fontId="34" fillId="8" borderId="0" xfId="0" applyFont="1" applyFill="1" applyBorder="1" applyAlignment="1" applyProtection="1">
      <alignment horizontal="center"/>
    </xf>
    <xf numFmtId="0" fontId="35" fillId="8" borderId="0" xfId="0" applyFont="1" applyFill="1" applyBorder="1" applyAlignment="1" applyProtection="1"/>
    <xf numFmtId="0" fontId="12" fillId="8" borderId="0" xfId="0" applyFont="1" applyFill="1" applyBorder="1" applyAlignment="1" applyProtection="1"/>
    <xf numFmtId="0" fontId="6" fillId="8" borderId="0" xfId="0" applyFont="1" applyFill="1" applyAlignment="1" applyProtection="1">
      <alignment wrapText="1"/>
    </xf>
    <xf numFmtId="0" fontId="11" fillId="8" borderId="0" xfId="0" applyFont="1" applyFill="1" applyProtection="1"/>
    <xf numFmtId="0" fontId="11" fillId="0" borderId="10" xfId="0" applyFont="1" applyBorder="1" applyProtection="1"/>
    <xf numFmtId="0" fontId="36" fillId="0" borderId="10" xfId="0" applyFont="1" applyFill="1" applyBorder="1" applyAlignment="1" applyProtection="1">
      <alignment horizontal="right" wrapText="1"/>
    </xf>
    <xf numFmtId="0" fontId="34" fillId="0" borderId="11" xfId="0" applyFont="1" applyFill="1" applyBorder="1" applyAlignment="1" applyProtection="1">
      <alignment horizontal="center"/>
    </xf>
    <xf numFmtId="0" fontId="6" fillId="0" borderId="90" xfId="0" applyFont="1" applyBorder="1" applyProtection="1"/>
    <xf numFmtId="0" fontId="6" fillId="0" borderId="48" xfId="0" applyFont="1" applyBorder="1" applyAlignment="1" applyProtection="1">
      <alignment horizontal="center"/>
    </xf>
    <xf numFmtId="0" fontId="6" fillId="0" borderId="80" xfId="0" applyFont="1" applyBorder="1" applyAlignment="1" applyProtection="1">
      <alignment horizontal="center"/>
    </xf>
    <xf numFmtId="1" fontId="11" fillId="7" borderId="70" xfId="0" applyNumberFormat="1" applyFont="1" applyFill="1" applyBorder="1" applyAlignment="1" applyProtection="1">
      <alignment horizontal="center"/>
    </xf>
    <xf numFmtId="1" fontId="6" fillId="7" borderId="73" xfId="0" applyNumberFormat="1" applyFont="1" applyFill="1" applyBorder="1" applyAlignment="1" applyProtection="1">
      <alignment horizontal="center"/>
    </xf>
    <xf numFmtId="1" fontId="6" fillId="7" borderId="76" xfId="0" applyNumberFormat="1" applyFont="1" applyFill="1" applyBorder="1" applyAlignment="1" applyProtection="1">
      <alignment horizontal="center"/>
    </xf>
    <xf numFmtId="0" fontId="32" fillId="0" borderId="0" xfId="7" applyFont="1" applyAlignment="1" applyProtection="1">
      <protection locked="0"/>
    </xf>
    <xf numFmtId="2" fontId="12" fillId="0" borderId="12" xfId="0" applyNumberFormat="1" applyFont="1" applyBorder="1" applyAlignment="1" applyProtection="1">
      <alignment horizontal="right"/>
    </xf>
    <xf numFmtId="0" fontId="12" fillId="0" borderId="59" xfId="0" applyFont="1" applyBorder="1" applyAlignment="1" applyProtection="1">
      <alignment horizontal="left"/>
    </xf>
    <xf numFmtId="0" fontId="11" fillId="0" borderId="0" xfId="0" applyFont="1" applyFill="1" applyBorder="1" applyAlignment="1" applyProtection="1">
      <alignment horizontal="left"/>
    </xf>
    <xf numFmtId="0" fontId="8" fillId="0" borderId="0" xfId="0" applyFont="1" applyFill="1" applyBorder="1" applyAlignment="1" applyProtection="1">
      <alignment horizontal="left"/>
    </xf>
    <xf numFmtId="0" fontId="18" fillId="0" borderId="0" xfId="0" applyFont="1" applyFill="1" applyBorder="1" applyAlignment="1" applyProtection="1">
      <alignment horizontal="left" vertical="top" wrapText="1"/>
    </xf>
    <xf numFmtId="0" fontId="6" fillId="0" borderId="0" xfId="0" applyFont="1" applyFill="1" applyBorder="1" applyProtection="1"/>
    <xf numFmtId="0" fontId="12" fillId="0" borderId="0" xfId="0" applyFont="1" applyFill="1" applyBorder="1" applyAlignment="1" applyProtection="1">
      <alignment horizontal="left"/>
    </xf>
    <xf numFmtId="0" fontId="6" fillId="0" borderId="43" xfId="5" applyFont="1" applyBorder="1" applyAlignment="1" applyProtection="1">
      <alignment vertical="center"/>
    </xf>
    <xf numFmtId="0" fontId="11" fillId="0" borderId="0" xfId="0" applyFont="1" applyFill="1" applyBorder="1" applyAlignment="1" applyProtection="1"/>
    <xf numFmtId="0" fontId="11" fillId="0" borderId="94" xfId="0" applyFont="1" applyBorder="1" applyAlignment="1" applyProtection="1">
      <alignment wrapText="1"/>
    </xf>
    <xf numFmtId="0" fontId="11" fillId="0" borderId="11" xfId="0" applyFont="1" applyBorder="1" applyAlignment="1" applyProtection="1"/>
    <xf numFmtId="0" fontId="6" fillId="0" borderId="34" xfId="0" applyFont="1" applyBorder="1" applyProtection="1"/>
    <xf numFmtId="0" fontId="18" fillId="0" borderId="10" xfId="0" applyFont="1" applyBorder="1" applyAlignment="1" applyProtection="1">
      <alignment horizontal="right"/>
    </xf>
    <xf numFmtId="0" fontId="18" fillId="0" borderId="0" xfId="0" applyFont="1" applyFill="1" applyBorder="1" applyProtection="1"/>
    <xf numFmtId="0" fontId="11" fillId="0" borderId="94" xfId="0" applyFont="1" applyBorder="1" applyAlignment="1" applyProtection="1"/>
    <xf numFmtId="0" fontId="6" fillId="8" borderId="0" xfId="0" applyFont="1" applyFill="1"/>
    <xf numFmtId="0" fontId="11" fillId="0" borderId="0" xfId="0" applyFont="1" applyBorder="1" applyAlignment="1" applyProtection="1"/>
    <xf numFmtId="0" fontId="6" fillId="8" borderId="0" xfId="0" applyFont="1" applyFill="1" applyProtection="1"/>
    <xf numFmtId="0" fontId="11" fillId="0" borderId="25" xfId="0" applyFont="1" applyFill="1" applyBorder="1" applyAlignment="1" applyProtection="1">
      <alignment horizontal="center" vertical="center" wrapText="1"/>
    </xf>
    <xf numFmtId="0" fontId="11" fillId="0" borderId="27" xfId="0" applyFont="1" applyFill="1" applyBorder="1" applyAlignment="1" applyProtection="1">
      <alignment horizontal="center" vertical="center" wrapText="1"/>
    </xf>
    <xf numFmtId="0" fontId="11" fillId="0" borderId="46" xfId="0" applyFont="1" applyFill="1" applyBorder="1" applyAlignment="1" applyProtection="1">
      <alignment horizontal="center" vertical="center" wrapText="1"/>
    </xf>
    <xf numFmtId="0" fontId="11" fillId="0" borderId="82" xfId="0" applyFont="1" applyFill="1" applyBorder="1" applyAlignment="1" applyProtection="1">
      <alignment horizontal="center" vertical="center" wrapText="1"/>
    </xf>
    <xf numFmtId="0" fontId="11" fillId="0" borderId="0" xfId="0" applyFont="1" applyBorder="1"/>
    <xf numFmtId="0" fontId="11" fillId="0" borderId="0" xfId="0" applyFont="1" applyFill="1" applyBorder="1"/>
    <xf numFmtId="0" fontId="11" fillId="0" borderId="10" xfId="0" applyFont="1" applyBorder="1"/>
    <xf numFmtId="0" fontId="11" fillId="0" borderId="10" xfId="0" applyFont="1" applyFill="1" applyBorder="1"/>
    <xf numFmtId="0" fontId="6" fillId="0" borderId="0" xfId="0" applyFont="1" applyBorder="1"/>
    <xf numFmtId="0" fontId="6" fillId="0" borderId="10" xfId="0" applyFont="1" applyFill="1" applyBorder="1"/>
    <xf numFmtId="0" fontId="6" fillId="0" borderId="0" xfId="0" applyFont="1" applyFill="1" applyBorder="1" applyAlignment="1">
      <alignment horizontal="center"/>
    </xf>
    <xf numFmtId="0" fontId="28" fillId="0" borderId="0" xfId="0" applyFont="1" applyFill="1" applyBorder="1" applyAlignment="1">
      <alignment horizontal="center"/>
    </xf>
    <xf numFmtId="0" fontId="11" fillId="0" borderId="0" xfId="0" applyFont="1" applyFill="1" applyBorder="1" applyAlignment="1">
      <alignment horizontal="center"/>
    </xf>
    <xf numFmtId="0" fontId="8" fillId="0" borderId="1" xfId="0" applyFont="1" applyBorder="1" applyAlignment="1">
      <alignment horizontal="center"/>
    </xf>
    <xf numFmtId="0" fontId="6" fillId="0" borderId="0" xfId="0" applyFont="1" applyBorder="1" applyProtection="1"/>
    <xf numFmtId="0" fontId="6" fillId="0" borderId="43" xfId="5" applyFont="1" applyBorder="1" applyAlignment="1" applyProtection="1">
      <alignment horizontal="left" vertical="center"/>
    </xf>
    <xf numFmtId="0" fontId="6" fillId="0" borderId="10" xfId="0" applyFont="1" applyBorder="1" applyAlignment="1">
      <alignment horizontal="left"/>
    </xf>
    <xf numFmtId="0" fontId="11" fillId="0" borderId="0" xfId="0" applyFont="1" applyFill="1" applyBorder="1" applyAlignment="1" applyProtection="1">
      <alignment vertical="center"/>
    </xf>
    <xf numFmtId="0" fontId="11" fillId="0" borderId="10" xfId="0" applyFont="1" applyFill="1" applyBorder="1" applyAlignment="1" applyProtection="1">
      <alignment vertical="center"/>
    </xf>
    <xf numFmtId="0" fontId="11" fillId="0" borderId="79" xfId="0" applyFont="1" applyFill="1" applyBorder="1" applyAlignment="1" applyProtection="1">
      <alignment vertical="center"/>
    </xf>
    <xf numFmtId="0" fontId="11" fillId="0" borderId="0" xfId="6" applyFont="1" applyFill="1" applyBorder="1" applyAlignment="1" applyProtection="1">
      <alignment horizontal="center" vertical="center"/>
    </xf>
    <xf numFmtId="0" fontId="13" fillId="12" borderId="1" xfId="0" applyFont="1" applyFill="1" applyBorder="1" applyAlignment="1" applyProtection="1">
      <alignment horizontal="center" vertical="center"/>
    </xf>
    <xf numFmtId="2" fontId="11" fillId="0" borderId="0" xfId="0" applyNumberFormat="1" applyFont="1" applyFill="1" applyBorder="1" applyProtection="1"/>
    <xf numFmtId="0" fontId="32" fillId="0" borderId="0" xfId="7" applyFont="1" applyFill="1" applyAlignment="1" applyProtection="1"/>
    <xf numFmtId="2" fontId="6" fillId="0" borderId="0" xfId="0" applyNumberFormat="1" applyFont="1" applyFill="1" applyBorder="1" applyProtection="1"/>
    <xf numFmtId="0" fontId="6" fillId="0" borderId="0" xfId="0" applyFont="1" applyAlignment="1" applyProtection="1">
      <alignment horizontal="left"/>
    </xf>
    <xf numFmtId="0" fontId="6" fillId="0" borderId="0" xfId="0" applyFont="1" applyFill="1" applyAlignment="1" applyProtection="1">
      <alignment horizontal="left"/>
    </xf>
    <xf numFmtId="0" fontId="6" fillId="0" borderId="0" xfId="0" applyFont="1" applyFill="1" applyBorder="1" applyAlignment="1" applyProtection="1">
      <alignment vertical="center"/>
    </xf>
    <xf numFmtId="0" fontId="6" fillId="0" borderId="11" xfId="0" applyFont="1" applyFill="1" applyBorder="1" applyAlignment="1" applyProtection="1">
      <alignment vertical="center"/>
    </xf>
    <xf numFmtId="0" fontId="13" fillId="12" borderId="24" xfId="0" applyFont="1" applyFill="1" applyBorder="1" applyAlignment="1" applyProtection="1">
      <alignment horizontal="center" vertical="center"/>
    </xf>
    <xf numFmtId="0" fontId="6" fillId="8" borderId="0" xfId="0" applyFont="1" applyFill="1" applyBorder="1" applyAlignment="1" applyProtection="1">
      <alignment vertical="center"/>
    </xf>
    <xf numFmtId="0" fontId="13" fillId="12" borderId="103" xfId="0" applyFont="1" applyFill="1" applyBorder="1" applyAlignment="1" applyProtection="1">
      <alignment horizontal="center" vertical="center"/>
    </xf>
    <xf numFmtId="0" fontId="6" fillId="0" borderId="13" xfId="0" applyFont="1" applyBorder="1"/>
    <xf numFmtId="2" fontId="13" fillId="0" borderId="0" xfId="0" applyNumberFormat="1" applyFont="1" applyFill="1" applyBorder="1" applyAlignment="1">
      <alignment horizontal="center"/>
    </xf>
    <xf numFmtId="0" fontId="11" fillId="0" borderId="10" xfId="3" applyFont="1" applyFill="1" applyBorder="1" applyAlignment="1" applyProtection="1">
      <alignment horizontal="left" vertical="center" wrapText="1"/>
    </xf>
    <xf numFmtId="0" fontId="13" fillId="12" borderId="1" xfId="0" applyFont="1" applyFill="1" applyBorder="1" applyAlignment="1">
      <alignment horizontal="center" vertical="center"/>
    </xf>
    <xf numFmtId="0" fontId="11" fillId="0" borderId="0" xfId="0" applyFont="1" applyBorder="1" applyAlignment="1">
      <alignment horizontal="left" vertical="center"/>
    </xf>
    <xf numFmtId="2" fontId="11" fillId="0" borderId="0" xfId="3" applyNumberFormat="1" applyFont="1" applyFill="1" applyBorder="1" applyAlignment="1" applyProtection="1">
      <alignment horizontal="center"/>
    </xf>
    <xf numFmtId="1" fontId="6" fillId="0" borderId="23" xfId="0" applyNumberFormat="1" applyFont="1" applyFill="1" applyBorder="1" applyAlignment="1" applyProtection="1">
      <alignment horizontal="center" vertical="center"/>
    </xf>
    <xf numFmtId="1" fontId="11" fillId="0" borderId="23" xfId="0" applyNumberFormat="1" applyFont="1" applyFill="1" applyBorder="1" applyAlignment="1" applyProtection="1">
      <alignment horizontal="center" vertical="center"/>
    </xf>
    <xf numFmtId="1" fontId="11" fillId="0" borderId="25" xfId="0" applyNumberFormat="1" applyFont="1" applyFill="1" applyBorder="1" applyAlignment="1" applyProtection="1">
      <alignment horizontal="center" vertical="center"/>
    </xf>
    <xf numFmtId="1" fontId="6" fillId="0" borderId="63" xfId="0" applyNumberFormat="1" applyFont="1" applyFill="1" applyBorder="1" applyAlignment="1" applyProtection="1">
      <alignment horizontal="center" vertical="center"/>
    </xf>
    <xf numFmtId="0" fontId="6" fillId="0" borderId="104" xfId="0" applyFont="1" applyFill="1" applyBorder="1" applyAlignment="1" applyProtection="1">
      <alignment horizontal="center"/>
    </xf>
    <xf numFmtId="0" fontId="6" fillId="0" borderId="101" xfId="0" applyFont="1" applyFill="1" applyBorder="1" applyAlignment="1" applyProtection="1">
      <alignment horizontal="center"/>
    </xf>
    <xf numFmtId="14" fontId="11" fillId="11" borderId="3" xfId="6" applyNumberFormat="1" applyFont="1" applyFill="1" applyBorder="1" applyProtection="1">
      <alignment horizontal="center" vertical="center"/>
      <protection locked="0"/>
    </xf>
    <xf numFmtId="0" fontId="11" fillId="0" borderId="10" xfId="0" applyFont="1" applyFill="1" applyBorder="1" applyAlignment="1" applyProtection="1">
      <alignment horizontal="left" wrapText="1"/>
    </xf>
    <xf numFmtId="0" fontId="11" fillId="0" borderId="10" xfId="0" applyFont="1" applyBorder="1" applyAlignment="1" applyProtection="1"/>
    <xf numFmtId="0" fontId="13" fillId="12" borderId="92" xfId="0" applyFont="1" applyFill="1" applyBorder="1" applyAlignment="1" applyProtection="1">
      <alignment horizontal="center" vertical="center"/>
    </xf>
    <xf numFmtId="14" fontId="6" fillId="11" borderId="1" xfId="0" applyNumberFormat="1" applyFont="1" applyFill="1" applyBorder="1" applyAlignment="1" applyProtection="1">
      <alignment horizontal="center" vertical="center"/>
      <protection locked="0"/>
    </xf>
    <xf numFmtId="14" fontId="6" fillId="0" borderId="0" xfId="0" applyNumberFormat="1" applyFont="1" applyFill="1" applyBorder="1" applyAlignment="1" applyProtection="1"/>
    <xf numFmtId="0" fontId="28" fillId="0" borderId="0" xfId="0" applyFont="1" applyBorder="1"/>
    <xf numFmtId="0" fontId="11" fillId="0" borderId="43" xfId="0" applyFont="1" applyBorder="1" applyAlignment="1" applyProtection="1">
      <alignment vertical="center"/>
    </xf>
    <xf numFmtId="14" fontId="11" fillId="11" borderId="64" xfId="6" applyNumberFormat="1" applyFont="1" applyFill="1" applyBorder="1" applyAlignment="1" applyProtection="1">
      <alignment horizontal="center" vertical="center"/>
      <protection locked="0"/>
    </xf>
    <xf numFmtId="0" fontId="7" fillId="0" borderId="35" xfId="5" applyFont="1" applyBorder="1" applyAlignment="1" applyProtection="1">
      <alignment horizontal="left" vertical="center"/>
    </xf>
    <xf numFmtId="14" fontId="11" fillId="11" borderId="24" xfId="6" applyNumberFormat="1" applyFont="1" applyFill="1" applyBorder="1" applyAlignment="1" applyProtection="1">
      <alignment horizontal="center" vertical="center"/>
      <protection locked="0"/>
    </xf>
    <xf numFmtId="0" fontId="29" fillId="0" borderId="10" xfId="0" applyFont="1" applyFill="1" applyBorder="1" applyAlignment="1" applyProtection="1">
      <alignment horizontal="left" vertical="center" wrapText="1"/>
    </xf>
    <xf numFmtId="0" fontId="29" fillId="0" borderId="0" xfId="0" applyFont="1" applyFill="1" applyBorder="1" applyAlignment="1" applyProtection="1">
      <alignment horizontal="left" vertical="center" wrapText="1"/>
    </xf>
    <xf numFmtId="0" fontId="29" fillId="0" borderId="11" xfId="0" applyFont="1" applyFill="1" applyBorder="1" applyAlignment="1" applyProtection="1">
      <alignment horizontal="left" vertical="center" wrapText="1"/>
    </xf>
    <xf numFmtId="0" fontId="6" fillId="8" borderId="0" xfId="0" applyFont="1" applyFill="1" applyAlignment="1" applyProtection="1">
      <alignment vertical="center"/>
    </xf>
    <xf numFmtId="0" fontId="6" fillId="0" borderId="0" xfId="0" applyFont="1" applyFill="1" applyAlignment="1" applyProtection="1">
      <alignment vertical="center"/>
    </xf>
    <xf numFmtId="0" fontId="7" fillId="0" borderId="35" xfId="5" applyFont="1" applyBorder="1" applyAlignment="1" applyProtection="1">
      <alignment horizontal="left" vertical="center" wrapText="1"/>
    </xf>
    <xf numFmtId="0" fontId="29" fillId="0" borderId="0" xfId="0" applyFont="1" applyAlignment="1" applyProtection="1">
      <alignment horizontal="left" vertical="center" wrapText="1"/>
    </xf>
    <xf numFmtId="0" fontId="29" fillId="8" borderId="0" xfId="0" applyFont="1" applyFill="1" applyAlignment="1" applyProtection="1">
      <alignment horizontal="left" vertical="center" wrapText="1"/>
    </xf>
    <xf numFmtId="0" fontId="29" fillId="0" borderId="0" xfId="0" applyFont="1" applyFill="1" applyAlignment="1" applyProtection="1">
      <alignment horizontal="left" vertical="center" wrapText="1"/>
    </xf>
    <xf numFmtId="0" fontId="6" fillId="0" borderId="0" xfId="0" applyFont="1" applyFill="1" applyBorder="1" applyAlignment="1" applyProtection="1">
      <alignment horizontal="center" vertical="center" wrapText="1"/>
    </xf>
    <xf numFmtId="0" fontId="37" fillId="0" borderId="0" xfId="0" applyFont="1" applyFill="1" applyBorder="1" applyAlignment="1" applyProtection="1">
      <alignment horizontal="left" vertical="center" wrapText="1"/>
    </xf>
    <xf numFmtId="0" fontId="29" fillId="0" borderId="0" xfId="0" applyFont="1" applyAlignment="1" applyProtection="1">
      <alignment vertical="center" wrapText="1"/>
    </xf>
    <xf numFmtId="0" fontId="37" fillId="0" borderId="0" xfId="0" applyFont="1" applyFill="1" applyBorder="1" applyAlignment="1" applyProtection="1">
      <alignment vertical="center" wrapText="1"/>
    </xf>
    <xf numFmtId="0" fontId="29" fillId="8" borderId="0" xfId="0" applyFont="1" applyFill="1" applyAlignment="1" applyProtection="1">
      <alignment vertical="center" wrapText="1"/>
    </xf>
    <xf numFmtId="0" fontId="29" fillId="0" borderId="0" xfId="0" applyFont="1" applyFill="1" applyAlignment="1" applyProtection="1">
      <alignment vertical="center" wrapText="1"/>
    </xf>
    <xf numFmtId="0" fontId="29" fillId="0" borderId="0" xfId="0" applyFont="1" applyFill="1" applyAlignment="1" applyProtection="1">
      <alignment horizontal="left" vertical="center"/>
    </xf>
    <xf numFmtId="0" fontId="6" fillId="0" borderId="91" xfId="0" applyFont="1" applyFill="1" applyBorder="1" applyAlignment="1" applyProtection="1">
      <alignment vertical="center"/>
    </xf>
    <xf numFmtId="0" fontId="6" fillId="0" borderId="10" xfId="0" applyFont="1" applyFill="1" applyBorder="1" applyAlignment="1" applyProtection="1">
      <alignment vertical="center"/>
    </xf>
    <xf numFmtId="0" fontId="6" fillId="0" borderId="90" xfId="0" applyFont="1" applyFill="1" applyBorder="1" applyAlignment="1" applyProtection="1">
      <alignment vertical="center"/>
    </xf>
    <xf numFmtId="0" fontId="37" fillId="0" borderId="11" xfId="0" applyFont="1" applyFill="1" applyBorder="1" applyAlignment="1" applyProtection="1">
      <alignment horizontal="left" vertical="center" wrapText="1"/>
    </xf>
    <xf numFmtId="0" fontId="37" fillId="0" borderId="11" xfId="0" applyFont="1" applyFill="1" applyBorder="1" applyAlignment="1" applyProtection="1">
      <alignment vertical="center" wrapText="1"/>
    </xf>
    <xf numFmtId="0" fontId="6" fillId="11" borderId="1" xfId="0" applyFont="1" applyFill="1" applyBorder="1" applyAlignment="1" applyProtection="1">
      <alignment horizontal="center" vertical="center"/>
      <protection locked="0"/>
    </xf>
    <xf numFmtId="0" fontId="6" fillId="11" borderId="92" xfId="0" applyFont="1" applyFill="1" applyBorder="1" applyAlignment="1" applyProtection="1">
      <alignment horizontal="center" vertical="center"/>
      <protection locked="0"/>
    </xf>
    <xf numFmtId="0" fontId="37" fillId="11" borderId="1" xfId="0" applyFont="1" applyFill="1" applyBorder="1" applyAlignment="1" applyProtection="1">
      <alignment horizontal="center" vertical="center" wrapText="1"/>
      <protection locked="0"/>
    </xf>
    <xf numFmtId="0" fontId="6" fillId="0" borderId="0" xfId="0" applyFont="1" applyFill="1" applyBorder="1"/>
    <xf numFmtId="0" fontId="11" fillId="0" borderId="0" xfId="0" applyFont="1" applyBorder="1" applyAlignment="1">
      <alignment horizontal="center"/>
    </xf>
    <xf numFmtId="2" fontId="6" fillId="0" borderId="0" xfId="0" applyNumberFormat="1" applyFont="1" applyFill="1"/>
    <xf numFmtId="0" fontId="18" fillId="0" borderId="11" xfId="0" applyFont="1" applyBorder="1" applyAlignment="1">
      <alignment horizontal="left"/>
    </xf>
    <xf numFmtId="0" fontId="11" fillId="0" borderId="32" xfId="0" applyFont="1" applyBorder="1" applyAlignment="1" applyProtection="1">
      <alignment wrapText="1"/>
    </xf>
    <xf numFmtId="14" fontId="11" fillId="11" borderId="54" xfId="6" applyNumberFormat="1" applyFont="1" applyFill="1" applyBorder="1" applyProtection="1">
      <alignment horizontal="center" vertical="center"/>
      <protection locked="0"/>
    </xf>
    <xf numFmtId="14" fontId="11" fillId="11" borderId="57" xfId="6" applyNumberFormat="1" applyFont="1" applyFill="1" applyBorder="1" applyProtection="1">
      <alignment horizontal="center" vertical="center"/>
      <protection locked="0"/>
    </xf>
    <xf numFmtId="14" fontId="11" fillId="11" borderId="82" xfId="6" applyNumberFormat="1" applyFont="1" applyFill="1" applyBorder="1" applyProtection="1">
      <alignment horizontal="center" vertical="center"/>
      <protection locked="0"/>
    </xf>
    <xf numFmtId="0" fontId="6" fillId="0" borderId="12" xfId="0" applyFont="1" applyBorder="1"/>
    <xf numFmtId="0" fontId="6" fillId="0" borderId="3" xfId="0" applyFont="1" applyBorder="1"/>
    <xf numFmtId="0" fontId="6" fillId="0" borderId="63" xfId="0" applyFont="1" applyBorder="1"/>
    <xf numFmtId="0" fontId="6" fillId="0" borderId="0" xfId="0" applyFont="1" applyFill="1" applyBorder="1" applyAlignment="1" applyProtection="1">
      <alignment horizontal="left" vertical="center" wrapText="1"/>
    </xf>
    <xf numFmtId="0" fontId="6" fillId="11" borderId="86" xfId="0" applyFont="1" applyFill="1" applyBorder="1" applyAlignment="1" applyProtection="1">
      <alignment horizontal="center" vertical="center"/>
      <protection locked="0"/>
    </xf>
    <xf numFmtId="0" fontId="13" fillId="12" borderId="86" xfId="0" applyFont="1" applyFill="1" applyBorder="1" applyAlignment="1" applyProtection="1">
      <alignment horizontal="center" vertical="center"/>
    </xf>
    <xf numFmtId="0" fontId="13" fillId="12" borderId="80" xfId="0" applyFont="1" applyFill="1" applyBorder="1" applyAlignment="1" applyProtection="1">
      <alignment horizontal="center" vertical="center"/>
    </xf>
    <xf numFmtId="0" fontId="6" fillId="0" borderId="59" xfId="0" applyFont="1" applyFill="1" applyBorder="1" applyAlignment="1" applyProtection="1">
      <alignment vertical="center"/>
    </xf>
    <xf numFmtId="0" fontId="6" fillId="0" borderId="0" xfId="0" applyFont="1" applyFill="1" applyAlignment="1" applyProtection="1">
      <alignment wrapText="1"/>
    </xf>
    <xf numFmtId="0" fontId="6" fillId="0" borderId="91" xfId="0" applyFont="1" applyFill="1" applyBorder="1" applyAlignment="1" applyProtection="1">
      <alignment vertical="center" wrapText="1"/>
    </xf>
    <xf numFmtId="0" fontId="6" fillId="0" borderId="0" xfId="0" applyFont="1" applyAlignment="1" applyProtection="1">
      <alignment vertical="center"/>
    </xf>
    <xf numFmtId="0" fontId="39" fillId="0" borderId="0" xfId="7" applyFont="1" applyBorder="1" applyAlignment="1" applyProtection="1">
      <alignment vertical="center"/>
    </xf>
    <xf numFmtId="0" fontId="39" fillId="0" borderId="0" xfId="7" applyFont="1" applyBorder="1" applyAlignment="1" applyProtection="1">
      <alignment horizontal="center" vertical="center"/>
    </xf>
    <xf numFmtId="0" fontId="6" fillId="0" borderId="89" xfId="0" applyFont="1" applyFill="1" applyBorder="1" applyAlignment="1" applyProtection="1">
      <alignment vertical="center"/>
    </xf>
    <xf numFmtId="0" fontId="6" fillId="0" borderId="0" xfId="0" applyFont="1" applyAlignment="1" applyProtection="1">
      <alignment horizontal="left" vertical="center"/>
    </xf>
    <xf numFmtId="0" fontId="6" fillId="11" borderId="26" xfId="0" applyFont="1" applyFill="1" applyBorder="1" applyAlignment="1" applyProtection="1">
      <alignment horizontal="center" vertical="center"/>
      <protection locked="0"/>
    </xf>
    <xf numFmtId="0" fontId="13" fillId="12" borderId="26" xfId="0" applyFont="1" applyFill="1" applyBorder="1" applyAlignment="1" applyProtection="1">
      <alignment horizontal="center" vertical="center"/>
    </xf>
    <xf numFmtId="0" fontId="13" fillId="12" borderId="27" xfId="0" applyFont="1" applyFill="1" applyBorder="1" applyAlignment="1" applyProtection="1">
      <alignment horizontal="center" vertical="center"/>
    </xf>
    <xf numFmtId="0" fontId="6" fillId="8" borderId="0" xfId="0" applyFont="1" applyFill="1" applyAlignment="1" applyProtection="1">
      <alignment horizontal="left" vertical="center"/>
    </xf>
    <xf numFmtId="0" fontId="6" fillId="0" borderId="0" xfId="0" applyFont="1" applyFill="1" applyAlignment="1" applyProtection="1">
      <alignment horizontal="left" vertical="center"/>
    </xf>
    <xf numFmtId="0" fontId="39" fillId="0" borderId="0" xfId="7" applyFont="1" applyBorder="1" applyAlignment="1" applyProtection="1">
      <alignment horizontal="center" vertical="center"/>
      <protection locked="0"/>
    </xf>
    <xf numFmtId="0" fontId="6" fillId="0" borderId="10" xfId="0" applyFont="1" applyFill="1" applyBorder="1" applyAlignment="1" applyProtection="1">
      <alignment horizontal="left" vertical="center" wrapText="1"/>
    </xf>
    <xf numFmtId="0" fontId="6" fillId="0" borderId="11" xfId="0" applyFont="1" applyFill="1" applyBorder="1" applyAlignment="1" applyProtection="1">
      <alignment horizontal="left" vertical="center" wrapText="1"/>
    </xf>
    <xf numFmtId="0" fontId="6" fillId="0" borderId="0" xfId="0" applyFont="1" applyBorder="1" applyAlignment="1" applyProtection="1">
      <alignment vertical="center"/>
    </xf>
    <xf numFmtId="0" fontId="6" fillId="0" borderId="10" xfId="0" applyFont="1" applyBorder="1" applyAlignment="1" applyProtection="1">
      <alignment vertical="center"/>
    </xf>
    <xf numFmtId="0" fontId="6" fillId="0" borderId="0" xfId="0" applyFont="1" applyBorder="1" applyAlignment="1" applyProtection="1">
      <alignment horizontal="center" vertical="center"/>
    </xf>
    <xf numFmtId="0" fontId="39" fillId="0" borderId="0" xfId="7" applyFont="1" applyBorder="1" applyAlignment="1" applyProtection="1">
      <alignment horizontal="left" vertical="center"/>
      <protection locked="0"/>
    </xf>
    <xf numFmtId="0" fontId="6" fillId="0" borderId="10" xfId="0" applyFont="1" applyBorder="1" applyAlignment="1">
      <alignment horizontal="left" wrapText="1"/>
    </xf>
    <xf numFmtId="0" fontId="6" fillId="0" borderId="0" xfId="0" applyFont="1" applyFill="1" applyBorder="1" applyAlignment="1" applyProtection="1">
      <alignment horizontal="center" vertical="center"/>
    </xf>
    <xf numFmtId="0" fontId="20" fillId="0" borderId="46" xfId="0" applyNumberFormat="1" applyFont="1" applyBorder="1" applyAlignment="1">
      <alignment horizontal="center" vertical="center"/>
    </xf>
    <xf numFmtId="0" fontId="39" fillId="0" borderId="0" xfId="7" applyFont="1" applyBorder="1" applyAlignment="1" applyProtection="1">
      <protection locked="0"/>
    </xf>
    <xf numFmtId="0" fontId="6" fillId="0" borderId="1"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23" xfId="0" applyFont="1" applyBorder="1" applyAlignment="1">
      <alignment horizontal="center" vertical="center"/>
    </xf>
    <xf numFmtId="0" fontId="6" fillId="0" borderId="1"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6" fillId="0" borderId="11" xfId="0" applyFont="1" applyFill="1" applyBorder="1"/>
    <xf numFmtId="0" fontId="6" fillId="0" borderId="59" xfId="0" applyFont="1" applyBorder="1"/>
    <xf numFmtId="0" fontId="13" fillId="0" borderId="0" xfId="0" applyFont="1" applyFill="1" applyBorder="1" applyAlignment="1" applyProtection="1">
      <alignment horizontal="center" vertical="center"/>
    </xf>
    <xf numFmtId="0" fontId="6" fillId="0" borderId="11" xfId="0" applyFont="1" applyBorder="1" applyAlignment="1" applyProtection="1">
      <alignment vertical="center"/>
    </xf>
    <xf numFmtId="0" fontId="12" fillId="0" borderId="109" xfId="0" applyFont="1" applyBorder="1" applyAlignment="1" applyProtection="1"/>
    <xf numFmtId="0" fontId="12" fillId="0" borderId="110" xfId="0" applyFont="1" applyBorder="1" applyAlignment="1" applyProtection="1"/>
    <xf numFmtId="0" fontId="6" fillId="0" borderId="94" xfId="0" applyFont="1" applyBorder="1" applyAlignment="1" applyProtection="1">
      <alignment horizontal="right"/>
    </xf>
    <xf numFmtId="0" fontId="20" fillId="0" borderId="25" xfId="0" applyNumberFormat="1" applyFont="1" applyBorder="1" applyAlignment="1">
      <alignment horizontal="center" vertical="center"/>
    </xf>
    <xf numFmtId="0" fontId="20" fillId="0" borderId="27" xfId="0" applyNumberFormat="1" applyFont="1" applyBorder="1" applyAlignment="1">
      <alignment horizontal="center" vertical="center"/>
    </xf>
    <xf numFmtId="0" fontId="6" fillId="0" borderId="0" xfId="0" applyFont="1" applyAlignment="1" applyProtection="1">
      <alignment horizontal="center"/>
    </xf>
    <xf numFmtId="0" fontId="39" fillId="0" borderId="0" xfId="7" applyFont="1" applyAlignment="1" applyProtection="1"/>
    <xf numFmtId="0" fontId="39" fillId="0" borderId="0" xfId="7" applyFont="1" applyAlignment="1" applyProtection="1">
      <alignment horizontal="center" vertical="center"/>
      <protection locked="0"/>
    </xf>
    <xf numFmtId="10" fontId="6" fillId="0" borderId="0" xfId="24" applyNumberFormat="1" applyFont="1" applyFill="1" applyBorder="1" applyAlignment="1" applyProtection="1">
      <alignment horizontal="center" vertical="center"/>
    </xf>
    <xf numFmtId="0" fontId="6" fillId="0" borderId="0" xfId="0" applyNumberFormat="1" applyFont="1" applyProtection="1"/>
    <xf numFmtId="0" fontId="6" fillId="0" borderId="16" xfId="0" applyFont="1" applyBorder="1" applyAlignment="1" applyProtection="1">
      <alignment horizontal="center"/>
    </xf>
    <xf numFmtId="0" fontId="15" fillId="0" borderId="0" xfId="0" applyFont="1" applyFill="1" applyBorder="1" applyAlignment="1" applyProtection="1"/>
    <xf numFmtId="0" fontId="6" fillId="0" borderId="5" xfId="0" applyFont="1" applyBorder="1" applyAlignment="1" applyProtection="1">
      <alignment horizontal="center"/>
    </xf>
    <xf numFmtId="0" fontId="6" fillId="0" borderId="0" xfId="0" applyFont="1" applyBorder="1" applyAlignment="1" applyProtection="1">
      <alignment wrapText="1"/>
    </xf>
    <xf numFmtId="0" fontId="6" fillId="0" borderId="6" xfId="0" applyFont="1" applyBorder="1" applyAlignment="1" applyProtection="1">
      <alignment horizontal="center"/>
    </xf>
    <xf numFmtId="2" fontId="6" fillId="0" borderId="0" xfId="0" applyNumberFormat="1" applyFont="1" applyBorder="1" applyAlignment="1" applyProtection="1">
      <alignment horizontal="center" vertical="center"/>
    </xf>
    <xf numFmtId="0" fontId="18" fillId="0" borderId="0" xfId="0" applyFont="1" applyFill="1" applyBorder="1" applyAlignment="1" applyProtection="1">
      <alignment vertical="center"/>
    </xf>
    <xf numFmtId="164" fontId="11" fillId="0" borderId="6" xfId="3" applyNumberFormat="1" applyFont="1" applyFill="1" applyBorder="1" applyAlignment="1" applyProtection="1">
      <alignment horizontal="center" wrapText="1"/>
    </xf>
    <xf numFmtId="0" fontId="12" fillId="0" borderId="1" xfId="3" applyFont="1" applyBorder="1" applyAlignment="1" applyProtection="1">
      <alignment horizontal="center"/>
    </xf>
    <xf numFmtId="0" fontId="12" fillId="0" borderId="0" xfId="3" applyFont="1" applyFill="1" applyBorder="1" applyAlignment="1" applyProtection="1">
      <alignment horizontal="center"/>
    </xf>
    <xf numFmtId="0" fontId="18" fillId="0" borderId="0" xfId="0" applyFont="1" applyBorder="1" applyAlignment="1" applyProtection="1">
      <alignment horizontal="left" vertical="center"/>
    </xf>
    <xf numFmtId="164" fontId="11" fillId="0" borderId="0" xfId="3" applyNumberFormat="1" applyFont="1" applyFill="1" applyBorder="1" applyAlignment="1" applyProtection="1">
      <alignment horizontal="center" vertical="center"/>
    </xf>
    <xf numFmtId="2" fontId="6" fillId="0" borderId="0" xfId="0" applyNumberFormat="1" applyFont="1" applyFill="1" applyBorder="1" applyAlignment="1" applyProtection="1">
      <alignment horizontal="center" vertical="center"/>
    </xf>
    <xf numFmtId="0" fontId="6" fillId="0" borderId="1" xfId="0" applyFont="1" applyBorder="1" applyAlignment="1" applyProtection="1">
      <alignment horizontal="center" vertical="center"/>
    </xf>
    <xf numFmtId="2" fontId="11" fillId="0" borderId="0" xfId="3" applyNumberFormat="1" applyFont="1" applyFill="1" applyBorder="1" applyAlignment="1" applyProtection="1">
      <alignment horizontal="center" vertical="center"/>
    </xf>
    <xf numFmtId="2" fontId="13" fillId="0" borderId="0" xfId="3" applyNumberFormat="1" applyFont="1" applyFill="1" applyBorder="1" applyAlignment="1" applyProtection="1">
      <alignment horizontal="center" vertical="center"/>
    </xf>
    <xf numFmtId="2" fontId="11" fillId="0" borderId="0" xfId="3" applyNumberFormat="1" applyFont="1" applyFill="1" applyBorder="1" applyAlignment="1" applyProtection="1">
      <alignment horizontal="left" vertical="center"/>
    </xf>
    <xf numFmtId="0" fontId="6" fillId="0" borderId="6" xfId="0" applyFont="1" applyBorder="1" applyProtection="1"/>
    <xf numFmtId="164" fontId="13" fillId="0" borderId="0" xfId="3" applyNumberFormat="1" applyFont="1" applyFill="1" applyBorder="1" applyAlignment="1" applyProtection="1">
      <alignment horizontal="center" vertical="center" wrapText="1"/>
    </xf>
    <xf numFmtId="2" fontId="13" fillId="0" borderId="0" xfId="3" applyNumberFormat="1" applyFont="1" applyFill="1" applyBorder="1" applyAlignment="1" applyProtection="1">
      <alignment horizontal="center" vertical="center" wrapText="1"/>
    </xf>
    <xf numFmtId="0" fontId="18" fillId="0" borderId="0" xfId="0" applyFont="1" applyFill="1" applyBorder="1" applyAlignment="1" applyProtection="1">
      <alignment horizontal="left" vertical="center"/>
    </xf>
    <xf numFmtId="164" fontId="11" fillId="0" borderId="0" xfId="3" applyNumberFormat="1" applyFont="1" applyFill="1" applyBorder="1" applyAlignment="1" applyProtection="1">
      <alignment horizontal="left" vertical="center"/>
    </xf>
    <xf numFmtId="164" fontId="13" fillId="0" borderId="0" xfId="3" applyNumberFormat="1" applyFont="1" applyFill="1" applyBorder="1" applyAlignment="1" applyProtection="1">
      <alignment vertical="center" wrapText="1"/>
    </xf>
    <xf numFmtId="164" fontId="11" fillId="0" borderId="7" xfId="3" applyNumberFormat="1" applyFont="1" applyFill="1" applyBorder="1" applyAlignment="1" applyProtection="1">
      <alignment horizontal="center" wrapText="1"/>
    </xf>
    <xf numFmtId="164" fontId="13" fillId="0" borderId="100" xfId="3" applyNumberFormat="1" applyFont="1" applyFill="1" applyBorder="1" applyAlignment="1" applyProtection="1">
      <alignment vertical="center" wrapText="1"/>
    </xf>
    <xf numFmtId="0" fontId="6" fillId="0" borderId="59" xfId="0" applyFont="1" applyBorder="1" applyProtection="1"/>
    <xf numFmtId="0" fontId="6" fillId="0" borderId="13" xfId="0" applyFont="1" applyBorder="1" applyProtection="1"/>
    <xf numFmtId="164" fontId="11" fillId="0" borderId="0" xfId="3" applyNumberFormat="1" applyFont="1" applyFill="1" applyBorder="1" applyAlignment="1" applyProtection="1">
      <alignment horizontal="center" wrapText="1"/>
    </xf>
    <xf numFmtId="0" fontId="8" fillId="0" borderId="0" xfId="0" applyFont="1" applyFill="1" applyBorder="1" applyAlignment="1" applyProtection="1">
      <alignment horizontal="left" vertical="center" wrapText="1"/>
    </xf>
    <xf numFmtId="0" fontId="8" fillId="0" borderId="11" xfId="0" applyFont="1" applyFill="1" applyBorder="1" applyAlignment="1" applyProtection="1">
      <alignment horizontal="left" vertical="center" wrapText="1"/>
    </xf>
    <xf numFmtId="0" fontId="12" fillId="0" borderId="11" xfId="3" applyFont="1" applyBorder="1" applyAlignment="1" applyProtection="1">
      <alignment horizontal="center"/>
    </xf>
    <xf numFmtId="0" fontId="12" fillId="0" borderId="0" xfId="3" applyFont="1" applyBorder="1" applyAlignment="1" applyProtection="1">
      <alignment horizontal="center"/>
    </xf>
    <xf numFmtId="0" fontId="18" fillId="0" borderId="0" xfId="0" applyFont="1" applyFill="1" applyBorder="1" applyAlignment="1" applyProtection="1">
      <alignment horizontal="left"/>
    </xf>
    <xf numFmtId="1" fontId="11" fillId="0" borderId="0" xfId="3" applyNumberFormat="1" applyFont="1" applyFill="1" applyBorder="1" applyAlignment="1" applyProtection="1">
      <alignment horizontal="center"/>
    </xf>
    <xf numFmtId="166" fontId="11" fillId="0" borderId="0" xfId="3" applyNumberFormat="1" applyFont="1" applyFill="1" applyBorder="1" applyAlignment="1" applyProtection="1">
      <alignment horizontal="center"/>
    </xf>
    <xf numFmtId="0" fontId="18" fillId="0" borderId="11" xfId="0" applyFont="1" applyFill="1" applyBorder="1" applyAlignment="1" applyProtection="1">
      <alignment horizontal="left"/>
    </xf>
    <xf numFmtId="1" fontId="11" fillId="0" borderId="11" xfId="3" applyNumberFormat="1" applyFont="1" applyFill="1" applyBorder="1" applyAlignment="1" applyProtection="1">
      <alignment horizontal="center"/>
    </xf>
    <xf numFmtId="166" fontId="11" fillId="0" borderId="11" xfId="3" applyNumberFormat="1" applyFont="1" applyFill="1" applyBorder="1" applyAlignment="1" applyProtection="1">
      <alignment horizontal="center"/>
    </xf>
    <xf numFmtId="164" fontId="11" fillId="0" borderId="0" xfId="3" applyNumberFormat="1" applyFont="1" applyFill="1" applyBorder="1" applyAlignment="1" applyProtection="1">
      <alignment horizontal="center"/>
    </xf>
    <xf numFmtId="2" fontId="13" fillId="0" borderId="0" xfId="0" applyNumberFormat="1" applyFont="1" applyFill="1" applyBorder="1" applyAlignment="1" applyProtection="1">
      <alignment horizontal="center" vertical="center"/>
    </xf>
    <xf numFmtId="0" fontId="6" fillId="0" borderId="7" xfId="0" applyFont="1" applyBorder="1" applyProtection="1"/>
    <xf numFmtId="0" fontId="6" fillId="0" borderId="21" xfId="0" applyFont="1" applyBorder="1" applyAlignment="1" applyProtection="1">
      <alignment horizontal="center"/>
    </xf>
    <xf numFmtId="164" fontId="11" fillId="0" borderId="5" xfId="3" applyNumberFormat="1" applyFont="1" applyFill="1" applyBorder="1" applyAlignment="1" applyProtection="1">
      <alignment horizontal="center" wrapText="1"/>
    </xf>
    <xf numFmtId="0" fontId="28" fillId="0" borderId="0" xfId="3" applyFont="1" applyBorder="1" applyAlignment="1" applyProtection="1">
      <alignment vertical="center"/>
    </xf>
    <xf numFmtId="0" fontId="6" fillId="0" borderId="6" xfId="0" applyFont="1" applyBorder="1" applyAlignment="1" applyProtection="1">
      <alignment horizontal="center" vertical="center"/>
    </xf>
    <xf numFmtId="0" fontId="6" fillId="0" borderId="0" xfId="0" applyFont="1" applyBorder="1" applyAlignment="1" applyProtection="1">
      <alignment horizontal="left" vertical="center"/>
    </xf>
    <xf numFmtId="166" fontId="6" fillId="0" borderId="0" xfId="0" applyNumberFormat="1" applyFont="1" applyProtection="1"/>
    <xf numFmtId="2" fontId="6" fillId="0" borderId="0" xfId="0" applyNumberFormat="1" applyFont="1" applyProtection="1"/>
    <xf numFmtId="0" fontId="11" fillId="0" borderId="0" xfId="3" applyFont="1" applyBorder="1" applyAlignment="1" applyProtection="1">
      <alignment horizontal="left" vertical="center"/>
    </xf>
    <xf numFmtId="0" fontId="11" fillId="0" borderId="11" xfId="3" applyFont="1" applyBorder="1" applyAlignment="1" applyProtection="1">
      <alignment horizontal="left" vertical="center"/>
    </xf>
    <xf numFmtId="0" fontId="11" fillId="0" borderId="11" xfId="3" applyFont="1" applyFill="1" applyBorder="1" applyAlignment="1" applyProtection="1">
      <alignment horizontal="left" vertical="center"/>
    </xf>
    <xf numFmtId="0" fontId="11" fillId="0" borderId="0" xfId="3" applyFont="1" applyFill="1" applyBorder="1" applyAlignment="1" applyProtection="1">
      <alignment horizontal="left" vertical="center"/>
    </xf>
    <xf numFmtId="0" fontId="15" fillId="0" borderId="0" xfId="0" applyFont="1" applyFill="1" applyBorder="1" applyAlignment="1" applyProtection="1">
      <alignment vertical="center" wrapText="1"/>
    </xf>
    <xf numFmtId="167" fontId="30" fillId="12" borderId="26" xfId="24" applyNumberFormat="1" applyFont="1" applyFill="1" applyBorder="1" applyAlignment="1" applyProtection="1">
      <alignment horizontal="center" vertical="center"/>
    </xf>
    <xf numFmtId="0" fontId="11" fillId="0" borderId="13" xfId="3" applyFont="1" applyBorder="1" applyAlignment="1" applyProtection="1">
      <alignment horizontal="left" vertical="center"/>
    </xf>
    <xf numFmtId="0" fontId="11" fillId="0" borderId="0" xfId="3" applyFont="1" applyFill="1" applyBorder="1" applyAlignment="1" applyProtection="1">
      <alignment horizontal="right" vertical="center"/>
    </xf>
    <xf numFmtId="0" fontId="11" fillId="0" borderId="0" xfId="3" applyFont="1" applyFill="1" applyBorder="1" applyAlignment="1" applyProtection="1">
      <alignment vertical="center"/>
    </xf>
    <xf numFmtId="0" fontId="6" fillId="0" borderId="0" xfId="0" applyFont="1" applyFill="1" applyBorder="1" applyAlignment="1" applyProtection="1">
      <alignment horizontal="right" vertical="center"/>
    </xf>
    <xf numFmtId="0" fontId="15" fillId="0" borderId="0" xfId="0" applyFont="1" applyFill="1" applyBorder="1" applyAlignment="1" applyProtection="1">
      <alignment horizontal="left" vertical="center" wrapText="1"/>
    </xf>
    <xf numFmtId="0" fontId="6" fillId="0" borderId="0" xfId="0" applyFont="1" applyFill="1" applyBorder="1" applyAlignment="1" applyProtection="1">
      <alignment horizontal="left" vertical="center"/>
    </xf>
    <xf numFmtId="0" fontId="12" fillId="0" borderId="0" xfId="3" applyFont="1" applyFill="1" applyBorder="1" applyAlignment="1" applyProtection="1">
      <alignment horizontal="left" vertical="center" wrapText="1"/>
    </xf>
    <xf numFmtId="0" fontId="34" fillId="0" borderId="11" xfId="3" applyFont="1" applyBorder="1" applyAlignment="1" applyProtection="1">
      <alignment horizontal="left" vertical="center"/>
    </xf>
    <xf numFmtId="0" fontId="34" fillId="0" borderId="0" xfId="3" applyFont="1" applyBorder="1" applyAlignment="1" applyProtection="1">
      <alignment horizontal="left" vertical="center"/>
    </xf>
    <xf numFmtId="0" fontId="35" fillId="0" borderId="11" xfId="3" applyFont="1" applyBorder="1" applyAlignment="1" applyProtection="1">
      <alignment horizontal="left" vertical="center"/>
    </xf>
    <xf numFmtId="0" fontId="35" fillId="0" borderId="0" xfId="3" applyFont="1" applyBorder="1" applyAlignment="1" applyProtection="1">
      <alignment horizontal="left" vertical="center"/>
    </xf>
    <xf numFmtId="0" fontId="12" fillId="0" borderId="0" xfId="3" applyFont="1" applyBorder="1" applyAlignment="1" applyProtection="1">
      <alignment horizontal="left" vertical="center"/>
    </xf>
    <xf numFmtId="0" fontId="11" fillId="0" borderId="0" xfId="3" applyFont="1" applyBorder="1" applyAlignment="1" applyProtection="1">
      <alignment horizontal="center" vertical="center"/>
    </xf>
    <xf numFmtId="164" fontId="11" fillId="0" borderId="11" xfId="3" applyNumberFormat="1" applyFont="1" applyFill="1" applyBorder="1" applyAlignment="1" applyProtection="1">
      <alignment horizontal="left" vertical="center" wrapText="1"/>
    </xf>
    <xf numFmtId="0" fontId="6" fillId="0" borderId="3" xfId="0" applyFont="1" applyBorder="1" applyAlignment="1" applyProtection="1">
      <alignment horizontal="center" vertical="center"/>
    </xf>
    <xf numFmtId="0" fontId="6" fillId="0" borderId="64" xfId="0" applyFont="1" applyBorder="1" applyAlignment="1" applyProtection="1">
      <alignment horizontal="center" vertical="center"/>
    </xf>
    <xf numFmtId="0" fontId="13" fillId="23" borderId="1" xfId="0" applyFont="1" applyFill="1" applyBorder="1" applyAlignment="1" applyProtection="1">
      <alignment horizontal="center" vertical="center"/>
    </xf>
    <xf numFmtId="0" fontId="6" fillId="0" borderId="0" xfId="0" applyFont="1" applyAlignment="1" applyProtection="1">
      <alignment horizontal="center" vertical="center"/>
    </xf>
    <xf numFmtId="0" fontId="6" fillId="8" borderId="0" xfId="0" applyFont="1" applyFill="1" applyBorder="1" applyProtection="1"/>
    <xf numFmtId="165" fontId="6" fillId="0" borderId="0" xfId="0" applyNumberFormat="1" applyFont="1" applyFill="1" applyBorder="1" applyProtection="1"/>
    <xf numFmtId="164" fontId="11" fillId="0" borderId="0" xfId="0" applyNumberFormat="1" applyFont="1" applyAlignment="1" applyProtection="1">
      <alignment horizontal="center"/>
    </xf>
    <xf numFmtId="164" fontId="11" fillId="0" borderId="0" xfId="0" applyNumberFormat="1" applyFont="1" applyAlignment="1" applyProtection="1">
      <alignment horizontal="center" wrapText="1"/>
    </xf>
    <xf numFmtId="164" fontId="11" fillId="0" borderId="0" xfId="0" applyNumberFormat="1" applyFont="1" applyFill="1" applyBorder="1" applyAlignment="1" applyProtection="1">
      <alignment horizontal="center" wrapText="1"/>
    </xf>
    <xf numFmtId="164" fontId="11" fillId="0" borderId="0" xfId="0" applyNumberFormat="1" applyFont="1" applyFill="1" applyBorder="1" applyAlignment="1" applyProtection="1">
      <alignment horizontal="center"/>
    </xf>
    <xf numFmtId="0" fontId="11" fillId="0" borderId="0" xfId="0" applyFont="1" applyProtection="1"/>
    <xf numFmtId="164" fontId="11" fillId="0" borderId="0" xfId="0" applyNumberFormat="1" applyFont="1" applyFill="1" applyAlignment="1" applyProtection="1">
      <alignment horizontal="center"/>
    </xf>
    <xf numFmtId="164" fontId="11" fillId="0" borderId="0" xfId="0" applyNumberFormat="1" applyFont="1" applyFill="1" applyAlignment="1" applyProtection="1">
      <alignment horizontal="center" wrapText="1"/>
    </xf>
    <xf numFmtId="0" fontId="6" fillId="8" borderId="0" xfId="0" applyFont="1" applyFill="1" applyBorder="1" applyAlignment="1" applyProtection="1">
      <alignment horizontal="center"/>
    </xf>
    <xf numFmtId="164" fontId="11" fillId="8" borderId="0" xfId="0" applyNumberFormat="1" applyFont="1" applyFill="1" applyAlignment="1" applyProtection="1">
      <alignment horizontal="center"/>
    </xf>
    <xf numFmtId="164" fontId="11" fillId="8" borderId="0" xfId="0" applyNumberFormat="1" applyFont="1" applyFill="1" applyAlignment="1" applyProtection="1">
      <alignment horizontal="center" wrapText="1"/>
    </xf>
    <xf numFmtId="166" fontId="6" fillId="0" borderId="0" xfId="0" applyNumberFormat="1" applyFont="1" applyBorder="1" applyProtection="1"/>
    <xf numFmtId="2" fontId="6" fillId="0" borderId="0" xfId="0" applyNumberFormat="1" applyFont="1" applyBorder="1" applyProtection="1"/>
    <xf numFmtId="0" fontId="13" fillId="12" borderId="48" xfId="0" applyFont="1" applyFill="1" applyBorder="1" applyAlignment="1" applyProtection="1">
      <alignment horizontal="center" vertical="center"/>
    </xf>
    <xf numFmtId="0" fontId="15" fillId="0" borderId="11" xfId="0" applyFont="1" applyFill="1" applyBorder="1" applyAlignment="1" applyProtection="1">
      <alignment horizontal="left" vertical="center" wrapText="1"/>
    </xf>
    <xf numFmtId="0" fontId="20" fillId="0" borderId="82" xfId="0" applyNumberFormat="1" applyFont="1" applyBorder="1" applyAlignment="1">
      <alignment horizontal="center" vertical="center"/>
    </xf>
    <xf numFmtId="1" fontId="6" fillId="0" borderId="58" xfId="0" applyNumberFormat="1" applyFont="1" applyFill="1" applyBorder="1" applyAlignment="1">
      <alignment horizontal="center"/>
    </xf>
    <xf numFmtId="1" fontId="6" fillId="0" borderId="14" xfId="0" applyNumberFormat="1" applyFont="1" applyFill="1" applyBorder="1" applyAlignment="1">
      <alignment horizontal="center"/>
    </xf>
    <xf numFmtId="1" fontId="11" fillId="0" borderId="17" xfId="0" applyNumberFormat="1" applyFont="1" applyFill="1" applyBorder="1" applyAlignment="1">
      <alignment horizontal="center"/>
    </xf>
    <xf numFmtId="1" fontId="11" fillId="0" borderId="68" xfId="0" applyNumberFormat="1" applyFont="1" applyFill="1" applyBorder="1" applyAlignment="1">
      <alignment horizontal="center"/>
    </xf>
    <xf numFmtId="0" fontId="20" fillId="0" borderId="25" xfId="0" applyFont="1" applyBorder="1" applyAlignment="1">
      <alignment horizontal="center" vertical="center"/>
    </xf>
    <xf numFmtId="0" fontId="20" fillId="0" borderId="113" xfId="0" applyFont="1" applyBorder="1" applyAlignment="1">
      <alignment horizontal="center" vertical="center"/>
    </xf>
    <xf numFmtId="0" fontId="20" fillId="0" borderId="46" xfId="0" applyFont="1" applyBorder="1" applyAlignment="1">
      <alignment horizontal="center" vertical="center"/>
    </xf>
    <xf numFmtId="0" fontId="20" fillId="0" borderId="112" xfId="0" applyFont="1" applyBorder="1" applyAlignment="1">
      <alignment horizontal="center" vertical="center"/>
    </xf>
    <xf numFmtId="1" fontId="6" fillId="0" borderId="65" xfId="0" applyNumberFormat="1" applyFont="1" applyFill="1" applyBorder="1" applyAlignment="1">
      <alignment horizontal="center"/>
    </xf>
    <xf numFmtId="1" fontId="6" fillId="0" borderId="66" xfId="0" applyNumberFormat="1" applyFont="1" applyFill="1" applyBorder="1" applyAlignment="1">
      <alignment horizontal="center"/>
    </xf>
    <xf numFmtId="0" fontId="13" fillId="0" borderId="11" xfId="0" applyFont="1" applyFill="1" applyBorder="1" applyAlignment="1" applyProtection="1">
      <alignment horizontal="center" vertical="center"/>
    </xf>
    <xf numFmtId="0" fontId="8" fillId="0" borderId="67" xfId="0" applyFont="1" applyFill="1" applyBorder="1" applyAlignment="1" applyProtection="1">
      <alignment horizontal="center" vertical="center" wrapText="1"/>
    </xf>
    <xf numFmtId="0" fontId="8" fillId="0" borderId="97" xfId="0" applyFont="1" applyFill="1" applyBorder="1" applyAlignment="1" applyProtection="1">
      <alignment horizontal="center" vertical="center" wrapText="1"/>
    </xf>
    <xf numFmtId="0" fontId="8" fillId="0" borderId="95" xfId="0" applyFont="1" applyFill="1" applyBorder="1" applyAlignment="1" applyProtection="1">
      <alignment horizontal="center" vertical="center" wrapText="1"/>
    </xf>
    <xf numFmtId="0" fontId="8" fillId="0" borderId="28" xfId="0" applyFont="1" applyFill="1" applyBorder="1" applyAlignment="1" applyProtection="1">
      <alignment horizontal="center" vertical="center" wrapText="1"/>
    </xf>
    <xf numFmtId="0" fontId="6" fillId="0" borderId="23" xfId="0" applyFont="1" applyBorder="1" applyAlignment="1">
      <alignment horizontal="left" vertical="center"/>
    </xf>
    <xf numFmtId="0" fontId="6" fillId="0" borderId="25" xfId="0" applyFont="1" applyBorder="1" applyAlignment="1">
      <alignment horizontal="left" vertical="center"/>
    </xf>
    <xf numFmtId="0" fontId="6" fillId="0" borderId="0" xfId="0" applyFont="1" applyFill="1" applyBorder="1" applyAlignment="1" applyProtection="1">
      <alignment horizontal="center" vertical="center"/>
    </xf>
    <xf numFmtId="0" fontId="6" fillId="0" borderId="67" xfId="0" applyFont="1" applyBorder="1" applyAlignment="1">
      <alignment horizontal="center" vertical="center"/>
    </xf>
    <xf numFmtId="0" fontId="6" fillId="0" borderId="63" xfId="0" applyFont="1" applyBorder="1" applyAlignment="1">
      <alignment horizontal="center" vertical="center"/>
    </xf>
    <xf numFmtId="0" fontId="6" fillId="0" borderId="97" xfId="0" applyFont="1" applyBorder="1" applyAlignment="1">
      <alignment horizontal="center" vertical="center" wrapText="1"/>
    </xf>
    <xf numFmtId="0" fontId="34" fillId="0" borderId="0" xfId="0" applyFont="1" applyBorder="1" applyAlignment="1" applyProtection="1">
      <alignment horizontal="center" vertical="center"/>
    </xf>
    <xf numFmtId="0" fontId="6" fillId="0" borderId="1" xfId="0" applyFont="1" applyBorder="1" applyAlignment="1">
      <alignment horizontal="center"/>
    </xf>
    <xf numFmtId="0" fontId="6" fillId="0" borderId="19" xfId="0" applyFont="1" applyBorder="1"/>
    <xf numFmtId="0" fontId="6" fillId="0" borderId="20" xfId="0" applyFont="1" applyBorder="1"/>
    <xf numFmtId="0" fontId="6" fillId="0" borderId="24" xfId="0" applyFont="1" applyBorder="1"/>
    <xf numFmtId="0" fontId="6" fillId="8" borderId="0" xfId="0" applyFont="1" applyFill="1" applyBorder="1"/>
    <xf numFmtId="49" fontId="39" fillId="0" borderId="0" xfId="7" applyNumberFormat="1" applyFont="1" applyBorder="1" applyAlignment="1" applyProtection="1">
      <alignment wrapText="1"/>
      <protection locked="0"/>
    </xf>
    <xf numFmtId="0" fontId="11" fillId="0" borderId="0" xfId="0" applyFont="1"/>
    <xf numFmtId="0" fontId="6" fillId="0" borderId="23" xfId="0" applyFont="1" applyBorder="1"/>
    <xf numFmtId="0" fontId="13" fillId="12" borderId="1" xfId="0" applyNumberFormat="1" applyFont="1" applyFill="1" applyBorder="1" applyAlignment="1">
      <alignment horizontal="center" vertical="center"/>
    </xf>
    <xf numFmtId="49" fontId="6" fillId="0" borderId="0" xfId="0" applyNumberFormat="1" applyFont="1"/>
    <xf numFmtId="0" fontId="6" fillId="11" borderId="24" xfId="0" applyFont="1" applyFill="1" applyBorder="1" applyAlignment="1" applyProtection="1">
      <alignment horizontal="center" vertical="center"/>
      <protection locked="0"/>
    </xf>
    <xf numFmtId="0" fontId="41" fillId="0" borderId="0" xfId="0" applyFont="1"/>
    <xf numFmtId="0" fontId="6" fillId="0" borderId="23" xfId="0" applyFont="1" applyFill="1" applyBorder="1" applyAlignment="1">
      <alignment horizontal="center"/>
    </xf>
    <xf numFmtId="0" fontId="6" fillId="0" borderId="24" xfId="0" applyFont="1" applyBorder="1" applyAlignment="1">
      <alignment horizontal="center"/>
    </xf>
    <xf numFmtId="164" fontId="6" fillId="0" borderId="23" xfId="0" applyNumberFormat="1" applyFont="1" applyFill="1" applyBorder="1" applyAlignment="1">
      <alignment horizontal="center"/>
    </xf>
    <xf numFmtId="164" fontId="6" fillId="0" borderId="1" xfId="0" applyNumberFormat="1" applyFont="1" applyFill="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6" fillId="0" borderId="11" xfId="0" applyFont="1" applyFill="1" applyBorder="1" applyAlignment="1">
      <alignment horizontal="center"/>
    </xf>
    <xf numFmtId="0" fontId="6" fillId="0" borderId="10" xfId="0" applyFont="1" applyFill="1" applyBorder="1" applyAlignment="1">
      <alignment horizontal="center"/>
    </xf>
    <xf numFmtId="164" fontId="6" fillId="0" borderId="25" xfId="0" applyNumberFormat="1" applyFont="1" applyFill="1" applyBorder="1" applyAlignment="1">
      <alignment horizontal="center"/>
    </xf>
    <xf numFmtId="0" fontId="6" fillId="0" borderId="26" xfId="0" applyFont="1" applyBorder="1" applyAlignment="1">
      <alignment horizontal="center"/>
    </xf>
    <xf numFmtId="164" fontId="6" fillId="0" borderId="26" xfId="0" applyNumberFormat="1" applyFont="1" applyFill="1" applyBorder="1" applyAlignment="1">
      <alignment horizontal="center"/>
    </xf>
    <xf numFmtId="0" fontId="6" fillId="0" borderId="59" xfId="0" applyFont="1" applyBorder="1" applyAlignment="1">
      <alignment horizontal="center"/>
    </xf>
    <xf numFmtId="0" fontId="6" fillId="0" borderId="13" xfId="0" applyFont="1" applyBorder="1" applyAlignment="1">
      <alignment horizontal="center"/>
    </xf>
    <xf numFmtId="0" fontId="6" fillId="0" borderId="0" xfId="0" applyFont="1" applyFill="1" applyBorder="1" applyAlignment="1">
      <alignment horizontal="center" vertical="center"/>
    </xf>
    <xf numFmtId="0" fontId="8" fillId="0" borderId="18" xfId="0" applyFont="1" applyBorder="1"/>
    <xf numFmtId="0" fontId="12" fillId="7" borderId="10" xfId="4" applyFont="1" applyFill="1" applyBorder="1" applyAlignment="1" applyProtection="1">
      <alignment horizontal="left" vertical="center"/>
    </xf>
    <xf numFmtId="0" fontId="12" fillId="7" borderId="28" xfId="4" applyFont="1" applyFill="1" applyBorder="1" applyAlignment="1" applyProtection="1">
      <alignment horizontal="left" vertical="center"/>
    </xf>
    <xf numFmtId="0" fontId="19" fillId="7" borderId="10" xfId="4" applyFont="1" applyFill="1" applyBorder="1" applyAlignment="1" applyProtection="1">
      <alignment horizontal="center" vertical="center"/>
    </xf>
    <xf numFmtId="0" fontId="19" fillId="7" borderId="28" xfId="4" applyFont="1" applyFill="1" applyBorder="1" applyAlignment="1" applyProtection="1">
      <alignment horizontal="center" vertical="center"/>
    </xf>
    <xf numFmtId="0" fontId="39" fillId="0" borderId="35" xfId="7" applyFont="1" applyBorder="1" applyAlignment="1" applyProtection="1">
      <protection locked="0"/>
    </xf>
    <xf numFmtId="0" fontId="39" fillId="0" borderId="31" xfId="7" applyFont="1" applyBorder="1" applyAlignment="1" applyProtection="1">
      <protection locked="0"/>
    </xf>
    <xf numFmtId="0" fontId="39" fillId="0" borderId="41" xfId="7" applyFont="1" applyBorder="1" applyAlignment="1" applyProtection="1">
      <protection locked="0"/>
    </xf>
    <xf numFmtId="0" fontId="39" fillId="0" borderId="0" xfId="7" applyFont="1" applyBorder="1" applyAlignment="1" applyProtection="1">
      <alignment horizontal="left"/>
      <protection locked="0"/>
    </xf>
    <xf numFmtId="0" fontId="8" fillId="0" borderId="26" xfId="0" applyFont="1" applyBorder="1" applyAlignment="1">
      <alignment horizontal="center" vertical="center" wrapText="1"/>
    </xf>
    <xf numFmtId="0" fontId="6" fillId="0" borderId="0" xfId="0" applyFont="1" applyAlignment="1">
      <alignment horizontal="left"/>
    </xf>
    <xf numFmtId="0" fontId="8" fillId="0" borderId="10" xfId="0" applyFont="1" applyFill="1" applyBorder="1" applyAlignment="1">
      <alignment horizontal="left"/>
    </xf>
    <xf numFmtId="14" fontId="6" fillId="11" borderId="3" xfId="0" applyNumberFormat="1" applyFont="1" applyFill="1" applyBorder="1" applyAlignment="1" applyProtection="1">
      <alignment horizontal="center" vertical="center"/>
      <protection locked="0"/>
    </xf>
    <xf numFmtId="0" fontId="13" fillId="23" borderId="26" xfId="0" applyFont="1" applyFill="1" applyBorder="1" applyAlignment="1">
      <alignment horizontal="center" vertical="center"/>
    </xf>
    <xf numFmtId="0" fontId="13" fillId="23" borderId="1" xfId="0" applyFont="1" applyFill="1" applyBorder="1" applyAlignment="1">
      <alignment horizontal="center" vertical="center"/>
    </xf>
    <xf numFmtId="0" fontId="6" fillId="0" borderId="3" xfId="0" applyFont="1" applyBorder="1" applyAlignment="1">
      <alignment horizontal="center" vertical="center"/>
    </xf>
    <xf numFmtId="0" fontId="6" fillId="0" borderId="64" xfId="0" applyFont="1" applyBorder="1" applyAlignment="1">
      <alignment horizontal="center" vertical="center"/>
    </xf>
    <xf numFmtId="0" fontId="6" fillId="11" borderId="27" xfId="0" applyFont="1" applyFill="1" applyBorder="1" applyAlignment="1" applyProtection="1">
      <alignment horizontal="center" vertical="center"/>
      <protection locked="0"/>
    </xf>
    <xf numFmtId="0" fontId="6" fillId="0" borderId="0" xfId="0" applyFont="1" applyFill="1" applyBorder="1" applyAlignment="1">
      <alignment vertical="center"/>
    </xf>
    <xf numFmtId="0" fontId="6" fillId="0" borderId="26" xfId="0" applyFont="1" applyFill="1" applyBorder="1" applyAlignment="1">
      <alignment horizontal="center" vertical="center"/>
    </xf>
    <xf numFmtId="0" fontId="6" fillId="0" borderId="27" xfId="0" applyFont="1" applyFill="1" applyBorder="1" applyAlignment="1">
      <alignment horizontal="center" vertical="center"/>
    </xf>
    <xf numFmtId="0" fontId="6" fillId="0" borderId="23" xfId="0" applyFont="1" applyBorder="1" applyAlignment="1" applyProtection="1">
      <alignment horizontal="center" vertical="center"/>
    </xf>
    <xf numFmtId="0" fontId="6" fillId="0" borderId="24" xfId="0" applyFont="1" applyBorder="1" applyAlignment="1" applyProtection="1">
      <alignment horizontal="center" vertical="center"/>
    </xf>
    <xf numFmtId="0" fontId="6" fillId="0" borderId="25" xfId="0" applyFont="1" applyBorder="1" applyAlignment="1" applyProtection="1">
      <alignment horizontal="center" vertical="center"/>
    </xf>
    <xf numFmtId="0" fontId="6" fillId="0" borderId="26" xfId="0" applyFont="1" applyBorder="1" applyAlignment="1" applyProtection="1">
      <alignment horizontal="center" vertical="center"/>
    </xf>
    <xf numFmtId="0" fontId="6" fillId="0" borderId="27" xfId="0" applyFont="1" applyBorder="1" applyAlignment="1" applyProtection="1">
      <alignment horizontal="center" vertical="center"/>
    </xf>
    <xf numFmtId="0" fontId="6" fillId="0" borderId="1" xfId="0" applyFont="1" applyFill="1" applyBorder="1" applyAlignment="1" applyProtection="1">
      <alignment horizontal="center" vertical="center"/>
    </xf>
    <xf numFmtId="0" fontId="6" fillId="0" borderId="26" xfId="0" applyFont="1" applyFill="1" applyBorder="1" applyAlignment="1" applyProtection="1">
      <alignment horizontal="center" vertical="center"/>
    </xf>
    <xf numFmtId="0" fontId="32" fillId="0" borderId="0" xfId="7" applyFont="1" applyBorder="1" applyAlignment="1" applyProtection="1"/>
    <xf numFmtId="0" fontId="8" fillId="21" borderId="18" xfId="0" applyFont="1" applyFill="1" applyBorder="1" applyProtection="1"/>
    <xf numFmtId="0" fontId="8" fillId="21" borderId="67" xfId="0" applyFont="1" applyFill="1" applyBorder="1" applyProtection="1"/>
    <xf numFmtId="0" fontId="8" fillId="21" borderId="97" xfId="0" applyFont="1" applyFill="1" applyBorder="1" applyProtection="1"/>
    <xf numFmtId="0" fontId="8" fillId="21" borderId="98" xfId="0" applyFont="1" applyFill="1" applyBorder="1" applyProtection="1"/>
    <xf numFmtId="0" fontId="6" fillId="21" borderId="96" xfId="0" applyFont="1" applyFill="1" applyBorder="1" applyProtection="1"/>
    <xf numFmtId="0" fontId="6" fillId="21" borderId="97" xfId="0" applyFont="1" applyFill="1" applyBorder="1" applyProtection="1"/>
    <xf numFmtId="0" fontId="8" fillId="21" borderId="88" xfId="0" applyFont="1" applyFill="1" applyBorder="1" applyProtection="1"/>
    <xf numFmtId="0" fontId="6" fillId="0" borderId="42" xfId="0" applyFont="1" applyBorder="1" applyProtection="1"/>
    <xf numFmtId="0" fontId="6" fillId="0" borderId="48" xfId="0" applyFont="1" applyBorder="1" applyProtection="1"/>
    <xf numFmtId="0" fontId="8" fillId="21" borderId="2" xfId="0" applyFont="1" applyFill="1" applyBorder="1" applyProtection="1"/>
    <xf numFmtId="0" fontId="6" fillId="0" borderId="3" xfId="0" applyFont="1" applyBorder="1" applyProtection="1"/>
    <xf numFmtId="0" fontId="6" fillId="0" borderId="64" xfId="0" applyFont="1" applyBorder="1" applyProtection="1"/>
    <xf numFmtId="0" fontId="8" fillId="21" borderId="4" xfId="0" applyFont="1" applyFill="1" applyBorder="1" applyProtection="1"/>
    <xf numFmtId="0" fontId="6" fillId="0" borderId="1" xfId="0" applyFont="1" applyBorder="1" applyProtection="1"/>
    <xf numFmtId="0" fontId="6" fillId="0" borderId="24" xfId="0" applyFont="1" applyBorder="1" applyProtection="1"/>
    <xf numFmtId="0" fontId="8" fillId="21" borderId="46" xfId="0" applyFont="1" applyFill="1" applyBorder="1" applyProtection="1"/>
    <xf numFmtId="0" fontId="6" fillId="0" borderId="26" xfId="0" applyFont="1" applyBorder="1" applyProtection="1"/>
    <xf numFmtId="0" fontId="6" fillId="0" borderId="27" xfId="0" applyFont="1" applyBorder="1" applyProtection="1"/>
    <xf numFmtId="0" fontId="8" fillId="21" borderId="99" xfId="0" applyFont="1" applyFill="1" applyBorder="1" applyProtection="1"/>
    <xf numFmtId="0" fontId="6" fillId="0" borderId="86" xfId="0" applyFont="1" applyBorder="1" applyProtection="1"/>
    <xf numFmtId="0" fontId="6" fillId="0" borderId="80" xfId="0" applyFont="1" applyBorder="1" applyProtection="1"/>
    <xf numFmtId="0" fontId="8" fillId="21" borderId="25" xfId="0" applyFont="1" applyFill="1" applyBorder="1" applyAlignment="1" applyProtection="1">
      <alignment horizontal="center" vertical="center"/>
    </xf>
    <xf numFmtId="0" fontId="8" fillId="21" borderId="26" xfId="0" applyFont="1" applyFill="1" applyBorder="1" applyAlignment="1" applyProtection="1">
      <alignment horizontal="center" vertical="center"/>
    </xf>
    <xf numFmtId="0" fontId="8" fillId="21" borderId="27" xfId="0" applyFont="1" applyFill="1" applyBorder="1" applyAlignment="1" applyProtection="1">
      <alignment horizontal="center" vertical="center"/>
    </xf>
    <xf numFmtId="0" fontId="6" fillId="0" borderId="63" xfId="0" applyFont="1" applyBorder="1" applyProtection="1"/>
    <xf numFmtId="0" fontId="6" fillId="0" borderId="23" xfId="0" applyFont="1" applyBorder="1" applyProtection="1"/>
    <xf numFmtId="0" fontId="6" fillId="0" borderId="23" xfId="0" applyFont="1" applyFill="1" applyBorder="1" applyProtection="1"/>
    <xf numFmtId="0" fontId="6" fillId="0" borderId="24" xfId="0" applyFont="1" applyFill="1" applyBorder="1" applyAlignment="1" applyProtection="1">
      <alignment horizontal="center" vertical="center"/>
    </xf>
    <xf numFmtId="0" fontId="6" fillId="0" borderId="25" xfId="0" applyFont="1" applyFill="1" applyBorder="1" applyProtection="1"/>
    <xf numFmtId="0" fontId="6" fillId="0" borderId="27" xfId="0" applyFont="1" applyFill="1" applyBorder="1" applyAlignment="1" applyProtection="1">
      <alignment horizontal="center" vertical="center"/>
    </xf>
    <xf numFmtId="0" fontId="6" fillId="0" borderId="25" xfId="0" applyFont="1" applyBorder="1"/>
    <xf numFmtId="0" fontId="6" fillId="0" borderId="0" xfId="0" applyFont="1" applyBorder="1" applyAlignment="1">
      <alignment horizontal="left"/>
    </xf>
    <xf numFmtId="0" fontId="12" fillId="4" borderId="22" xfId="4" applyFont="1" applyBorder="1">
      <alignment horizontal="left" vertical="center"/>
    </xf>
    <xf numFmtId="164" fontId="6" fillId="0" borderId="34" xfId="5" applyNumberFormat="1" applyFont="1" applyBorder="1" applyAlignment="1">
      <alignment horizontal="center" wrapText="1"/>
    </xf>
    <xf numFmtId="14" fontId="6" fillId="0" borderId="35" xfId="5" applyNumberFormat="1" applyFont="1" applyBorder="1" applyAlignment="1">
      <alignment horizontal="center" wrapText="1"/>
    </xf>
    <xf numFmtId="164" fontId="6" fillId="0" borderId="36" xfId="5" applyNumberFormat="1" applyFont="1" applyBorder="1" applyAlignment="1">
      <alignment horizontal="center" wrapText="1"/>
    </xf>
    <xf numFmtId="14" fontId="6" fillId="0" borderId="31" xfId="5" applyNumberFormat="1" applyFont="1" applyBorder="1" applyAlignment="1">
      <alignment horizontal="center" wrapText="1"/>
    </xf>
    <xf numFmtId="14" fontId="6" fillId="0" borderId="39" xfId="5" applyNumberFormat="1" applyFont="1" applyBorder="1" applyAlignment="1">
      <alignment horizontal="center" wrapText="1"/>
    </xf>
    <xf numFmtId="2" fontId="11" fillId="0" borderId="38" xfId="5" applyNumberFormat="1" applyFont="1" applyBorder="1" applyAlignment="1">
      <alignment horizontal="center" wrapText="1"/>
    </xf>
    <xf numFmtId="2" fontId="11" fillId="0" borderId="37" xfId="5" applyNumberFormat="1" applyFont="1" applyBorder="1" applyAlignment="1">
      <alignment horizontal="center" wrapText="1"/>
    </xf>
    <xf numFmtId="14" fontId="6" fillId="0" borderId="33" xfId="5" applyNumberFormat="1" applyFont="1" applyBorder="1" applyAlignment="1">
      <alignment horizontal="center" wrapText="1"/>
    </xf>
    <xf numFmtId="0" fontId="6" fillId="7" borderId="0" xfId="0" applyFont="1" applyFill="1"/>
    <xf numFmtId="1" fontId="12" fillId="7" borderId="18" xfId="0" applyNumberFormat="1" applyFont="1" applyFill="1" applyBorder="1" applyAlignment="1" applyProtection="1">
      <alignment horizontal="left"/>
    </xf>
    <xf numFmtId="1" fontId="11" fillId="7" borderId="19" xfId="0" applyNumberFormat="1" applyFont="1" applyFill="1" applyBorder="1" applyAlignment="1" applyProtection="1">
      <alignment horizontal="center" wrapText="1"/>
    </xf>
    <xf numFmtId="0" fontId="6" fillId="7" borderId="19" xfId="0" applyFont="1" applyFill="1" applyBorder="1" applyAlignment="1" applyProtection="1">
      <alignment horizontal="center" vertical="center"/>
    </xf>
    <xf numFmtId="0" fontId="6" fillId="7" borderId="20" xfId="0" applyFont="1" applyFill="1" applyBorder="1" applyAlignment="1" applyProtection="1">
      <alignment horizontal="center" vertical="center"/>
    </xf>
    <xf numFmtId="1" fontId="11" fillId="7" borderId="10" xfId="0" applyNumberFormat="1" applyFont="1" applyFill="1" applyBorder="1" applyAlignment="1" applyProtection="1">
      <alignment horizontal="center"/>
    </xf>
    <xf numFmtId="1" fontId="11" fillId="7" borderId="0" xfId="0" applyNumberFormat="1" applyFont="1" applyFill="1" applyBorder="1" applyAlignment="1" applyProtection="1">
      <alignment horizontal="center"/>
    </xf>
    <xf numFmtId="2" fontId="6" fillId="7" borderId="0" xfId="0" applyNumberFormat="1" applyFont="1" applyFill="1" applyBorder="1" applyAlignment="1" applyProtection="1">
      <alignment horizontal="center" vertical="center"/>
    </xf>
    <xf numFmtId="2" fontId="6" fillId="7" borderId="11" xfId="0" applyNumberFormat="1" applyFont="1" applyFill="1" applyBorder="1" applyAlignment="1" applyProtection="1">
      <alignment horizontal="center" vertical="center"/>
    </xf>
    <xf numFmtId="1" fontId="11" fillId="7" borderId="49" xfId="0" applyNumberFormat="1" applyFont="1" applyFill="1" applyBorder="1" applyAlignment="1" applyProtection="1">
      <alignment horizontal="center"/>
    </xf>
    <xf numFmtId="1" fontId="11" fillId="7" borderId="42" xfId="0" applyNumberFormat="1" applyFont="1" applyFill="1" applyBorder="1" applyAlignment="1" applyProtection="1">
      <alignment horizontal="center"/>
    </xf>
    <xf numFmtId="0" fontId="6" fillId="7" borderId="42" xfId="0" applyFont="1" applyFill="1" applyBorder="1" applyAlignment="1" applyProtection="1">
      <alignment horizontal="center" vertical="center"/>
    </xf>
    <xf numFmtId="1" fontId="11" fillId="7" borderId="48" xfId="0" applyNumberFormat="1" applyFont="1" applyFill="1" applyBorder="1" applyAlignment="1" applyProtection="1">
      <alignment horizontal="center"/>
    </xf>
    <xf numFmtId="0" fontId="6" fillId="7" borderId="0" xfId="0" applyFont="1" applyFill="1" applyBorder="1"/>
    <xf numFmtId="1" fontId="11" fillId="7" borderId="49" xfId="0" applyNumberFormat="1" applyFont="1" applyFill="1" applyBorder="1" applyAlignment="1" applyProtection="1">
      <alignment horizontal="center" vertical="center"/>
    </xf>
    <xf numFmtId="1" fontId="11" fillId="7" borderId="42" xfId="0" applyNumberFormat="1" applyFont="1" applyFill="1" applyBorder="1" applyAlignment="1" applyProtection="1">
      <alignment horizontal="center" vertical="center"/>
    </xf>
    <xf numFmtId="1" fontId="11" fillId="7" borderId="48" xfId="0" applyNumberFormat="1" applyFont="1" applyFill="1" applyBorder="1" applyAlignment="1" applyProtection="1">
      <alignment horizontal="center" vertical="center"/>
    </xf>
    <xf numFmtId="1" fontId="6" fillId="7" borderId="63" xfId="0" applyNumberFormat="1" applyFont="1" applyFill="1" applyBorder="1" applyAlignment="1" applyProtection="1">
      <alignment horizontal="center"/>
    </xf>
    <xf numFmtId="1" fontId="6" fillId="7" borderId="3" xfId="0" applyNumberFormat="1" applyFont="1" applyFill="1" applyBorder="1" applyAlignment="1" applyProtection="1">
      <alignment horizontal="center" vertical="center"/>
    </xf>
    <xf numFmtId="1" fontId="6" fillId="7" borderId="3" xfId="24" applyNumberFormat="1" applyFont="1" applyFill="1" applyBorder="1" applyAlignment="1" applyProtection="1">
      <alignment horizontal="center" vertical="center"/>
    </xf>
    <xf numFmtId="2" fontId="6" fillId="7" borderId="3" xfId="0" applyNumberFormat="1" applyFont="1" applyFill="1" applyBorder="1" applyAlignment="1" applyProtection="1">
      <alignment horizontal="center"/>
    </xf>
    <xf numFmtId="2" fontId="11" fillId="7" borderId="3" xfId="0" applyNumberFormat="1" applyFont="1" applyFill="1" applyBorder="1" applyAlignment="1" applyProtection="1">
      <alignment horizontal="center"/>
    </xf>
    <xf numFmtId="2" fontId="11" fillId="7" borderId="64" xfId="0" applyNumberFormat="1" applyFont="1" applyFill="1" applyBorder="1" applyAlignment="1" applyProtection="1">
      <alignment horizontal="center"/>
    </xf>
    <xf numFmtId="0" fontId="6" fillId="7" borderId="63" xfId="0" applyFont="1" applyFill="1" applyBorder="1" applyAlignment="1" applyProtection="1">
      <alignment horizontal="center" vertical="center"/>
    </xf>
    <xf numFmtId="2" fontId="6" fillId="7" borderId="2" xfId="0" applyNumberFormat="1" applyFont="1" applyFill="1" applyBorder="1" applyAlignment="1" applyProtection="1">
      <alignment horizontal="center" vertical="center"/>
    </xf>
    <xf numFmtId="2" fontId="6" fillId="7" borderId="3" xfId="0" applyNumberFormat="1" applyFont="1" applyFill="1" applyBorder="1" applyAlignment="1" applyProtection="1">
      <alignment horizontal="center" vertical="center"/>
    </xf>
    <xf numFmtId="2" fontId="11" fillId="7" borderId="3" xfId="0" applyNumberFormat="1" applyFont="1" applyFill="1" applyBorder="1" applyAlignment="1" applyProtection="1">
      <alignment horizontal="center" vertical="center"/>
    </xf>
    <xf numFmtId="2" fontId="11" fillId="7" borderId="64" xfId="0" applyNumberFormat="1" applyFont="1" applyFill="1" applyBorder="1" applyAlignment="1" applyProtection="1">
      <alignment horizontal="center" vertical="center"/>
    </xf>
    <xf numFmtId="1" fontId="6" fillId="7" borderId="23" xfId="0" applyNumberFormat="1" applyFont="1" applyFill="1" applyBorder="1" applyAlignment="1" applyProtection="1">
      <alignment horizontal="center"/>
    </xf>
    <xf numFmtId="1" fontId="6" fillId="7" borderId="1" xfId="0" applyNumberFormat="1" applyFont="1" applyFill="1" applyBorder="1" applyAlignment="1" applyProtection="1">
      <alignment horizontal="center" vertical="center"/>
    </xf>
    <xf numFmtId="1" fontId="6" fillId="7" borderId="1" xfId="24" applyNumberFormat="1" applyFont="1" applyFill="1" applyBorder="1" applyAlignment="1" applyProtection="1">
      <alignment horizontal="center" vertical="center"/>
    </xf>
    <xf numFmtId="2" fontId="6" fillId="7" borderId="1" xfId="0" applyNumberFormat="1" applyFont="1" applyFill="1" applyBorder="1" applyAlignment="1" applyProtection="1">
      <alignment horizontal="center"/>
    </xf>
    <xf numFmtId="2" fontId="11" fillId="7" borderId="1" xfId="0" applyNumberFormat="1" applyFont="1" applyFill="1" applyBorder="1" applyAlignment="1" applyProtection="1">
      <alignment horizontal="center"/>
    </xf>
    <xf numFmtId="2" fontId="11" fillId="7" borderId="24" xfId="0" applyNumberFormat="1" applyFont="1" applyFill="1" applyBorder="1" applyAlignment="1" applyProtection="1">
      <alignment horizontal="center"/>
    </xf>
    <xf numFmtId="0" fontId="6" fillId="7" borderId="23" xfId="0" applyFont="1" applyFill="1" applyBorder="1" applyAlignment="1" applyProtection="1">
      <alignment horizontal="center" vertical="center"/>
    </xf>
    <xf numFmtId="2" fontId="6" fillId="7" borderId="4" xfId="0" applyNumberFormat="1" applyFont="1" applyFill="1" applyBorder="1" applyAlignment="1" applyProtection="1">
      <alignment horizontal="center" vertical="center"/>
    </xf>
    <xf numFmtId="2" fontId="6" fillId="7" borderId="1" xfId="0" applyNumberFormat="1" applyFont="1" applyFill="1" applyBorder="1" applyAlignment="1" applyProtection="1">
      <alignment horizontal="center" vertical="center"/>
    </xf>
    <xf numFmtId="2" fontId="11" fillId="7" borderId="1" xfId="0" applyNumberFormat="1" applyFont="1" applyFill="1" applyBorder="1" applyAlignment="1" applyProtection="1">
      <alignment horizontal="center" vertical="center"/>
    </xf>
    <xf numFmtId="2" fontId="11" fillId="7" borderId="24" xfId="0" applyNumberFormat="1" applyFont="1" applyFill="1" applyBorder="1" applyAlignment="1" applyProtection="1">
      <alignment horizontal="center" vertical="center"/>
    </xf>
    <xf numFmtId="0" fontId="6" fillId="7" borderId="0" xfId="0" applyFont="1" applyFill="1" applyBorder="1" applyAlignment="1" applyProtection="1"/>
    <xf numFmtId="2" fontId="37" fillId="7" borderId="4" xfId="0" applyNumberFormat="1" applyFont="1" applyFill="1" applyBorder="1" applyAlignment="1" applyProtection="1">
      <alignment horizontal="center" vertical="center"/>
    </xf>
    <xf numFmtId="1" fontId="6" fillId="7" borderId="25" xfId="0" applyNumberFormat="1" applyFont="1" applyFill="1" applyBorder="1" applyAlignment="1" applyProtection="1">
      <alignment horizontal="center"/>
    </xf>
    <xf numFmtId="1" fontId="6" fillId="7" borderId="26" xfId="0" applyNumberFormat="1" applyFont="1" applyFill="1" applyBorder="1" applyAlignment="1" applyProtection="1">
      <alignment horizontal="center" vertical="center"/>
    </xf>
    <xf numFmtId="1" fontId="6" fillId="7" borderId="26" xfId="24" applyNumberFormat="1" applyFont="1" applyFill="1" applyBorder="1" applyAlignment="1" applyProtection="1">
      <alignment horizontal="center" vertical="center"/>
    </xf>
    <xf numFmtId="2" fontId="6" fillId="7" borderId="26" xfId="0" applyNumberFormat="1" applyFont="1" applyFill="1" applyBorder="1" applyAlignment="1" applyProtection="1">
      <alignment horizontal="center"/>
    </xf>
    <xf numFmtId="2" fontId="11" fillId="7" borderId="26" xfId="0" applyNumberFormat="1" applyFont="1" applyFill="1" applyBorder="1" applyAlignment="1" applyProtection="1">
      <alignment horizontal="center"/>
    </xf>
    <xf numFmtId="2" fontId="11" fillId="7" borderId="27" xfId="0" applyNumberFormat="1" applyFont="1" applyFill="1" applyBorder="1" applyAlignment="1" applyProtection="1">
      <alignment horizontal="center"/>
    </xf>
    <xf numFmtId="0" fontId="6" fillId="7" borderId="10" xfId="0" applyFont="1" applyFill="1" applyBorder="1"/>
    <xf numFmtId="0" fontId="6" fillId="7" borderId="49" xfId="0" applyFont="1" applyFill="1" applyBorder="1" applyAlignment="1" applyProtection="1">
      <alignment horizontal="center" vertical="center"/>
    </xf>
    <xf numFmtId="0" fontId="6" fillId="7" borderId="48" xfId="0" applyFont="1" applyFill="1" applyBorder="1" applyAlignment="1" applyProtection="1">
      <alignment horizontal="center" vertical="center"/>
    </xf>
    <xf numFmtId="0" fontId="6" fillId="7" borderId="3" xfId="0" applyFont="1" applyFill="1" applyBorder="1" applyAlignment="1" applyProtection="1">
      <alignment horizontal="center" vertical="center"/>
    </xf>
    <xf numFmtId="0" fontId="6" fillId="7" borderId="64" xfId="0" applyFont="1" applyFill="1" applyBorder="1" applyAlignment="1" applyProtection="1">
      <alignment horizontal="center" vertical="center"/>
    </xf>
    <xf numFmtId="0" fontId="6" fillId="7" borderId="1" xfId="0" applyFont="1" applyFill="1" applyBorder="1" applyAlignment="1" applyProtection="1">
      <alignment horizontal="center" vertical="center"/>
    </xf>
    <xf numFmtId="0" fontId="6" fillId="7" borderId="24" xfId="0" applyFont="1" applyFill="1" applyBorder="1" applyAlignment="1" applyProtection="1">
      <alignment horizontal="center" vertical="center"/>
    </xf>
    <xf numFmtId="0" fontId="6" fillId="7" borderId="25" xfId="0" applyFont="1" applyFill="1" applyBorder="1" applyAlignment="1" applyProtection="1">
      <alignment horizontal="center" vertical="center"/>
    </xf>
    <xf numFmtId="0" fontId="6" fillId="7" borderId="26" xfId="0" applyFont="1" applyFill="1" applyBorder="1" applyAlignment="1" applyProtection="1">
      <alignment horizontal="center" vertical="center"/>
    </xf>
    <xf numFmtId="0" fontId="6" fillId="7" borderId="27" xfId="0" applyFont="1" applyFill="1" applyBorder="1" applyAlignment="1" applyProtection="1">
      <alignment horizontal="center" vertical="center"/>
    </xf>
    <xf numFmtId="0" fontId="6" fillId="7" borderId="106" xfId="0" applyFont="1" applyFill="1" applyBorder="1" applyAlignment="1" applyProtection="1">
      <alignment horizontal="center" vertical="center"/>
    </xf>
    <xf numFmtId="1" fontId="6" fillId="7" borderId="63" xfId="0" applyNumberFormat="1" applyFont="1" applyFill="1" applyBorder="1" applyAlignment="1" applyProtection="1">
      <alignment horizontal="center" vertical="center"/>
    </xf>
    <xf numFmtId="164" fontId="6" fillId="7" borderId="107" xfId="0" applyNumberFormat="1" applyFont="1" applyFill="1" applyBorder="1" applyAlignment="1" applyProtection="1">
      <alignment horizontal="center" vertical="center"/>
    </xf>
    <xf numFmtId="0" fontId="6" fillId="7" borderId="107" xfId="0" applyFont="1" applyFill="1" applyBorder="1" applyAlignment="1" applyProtection="1">
      <alignment horizontal="center" vertical="center"/>
    </xf>
    <xf numFmtId="164" fontId="6" fillId="7" borderId="108" xfId="0" applyNumberFormat="1" applyFont="1" applyFill="1" applyBorder="1" applyAlignment="1" applyProtection="1">
      <alignment horizontal="center" vertical="center"/>
    </xf>
    <xf numFmtId="2" fontId="11" fillId="7" borderId="27" xfId="0" applyNumberFormat="1" applyFont="1" applyFill="1" applyBorder="1" applyAlignment="1" applyProtection="1">
      <alignment horizontal="center" vertical="center"/>
    </xf>
    <xf numFmtId="2" fontId="6" fillId="7" borderId="25" xfId="0" applyNumberFormat="1" applyFont="1" applyFill="1" applyBorder="1" applyAlignment="1" applyProtection="1">
      <alignment horizontal="center" vertical="center"/>
    </xf>
    <xf numFmtId="2" fontId="6" fillId="7" borderId="27" xfId="0" applyNumberFormat="1" applyFont="1" applyFill="1" applyBorder="1" applyAlignment="1" applyProtection="1">
      <alignment horizontal="center" vertical="center"/>
    </xf>
    <xf numFmtId="2" fontId="11" fillId="7" borderId="0" xfId="0" applyNumberFormat="1" applyFont="1" applyFill="1" applyBorder="1" applyAlignment="1" applyProtection="1">
      <alignment horizontal="center"/>
    </xf>
    <xf numFmtId="2" fontId="6" fillId="7" borderId="46" xfId="0" applyNumberFormat="1" applyFont="1" applyFill="1" applyBorder="1" applyAlignment="1" applyProtection="1">
      <alignment horizontal="center" vertical="center"/>
    </xf>
    <xf numFmtId="2" fontId="6" fillId="7" borderId="26" xfId="0" applyNumberFormat="1" applyFont="1" applyFill="1" applyBorder="1" applyAlignment="1" applyProtection="1">
      <alignment horizontal="center" vertical="center"/>
    </xf>
    <xf numFmtId="2" fontId="11" fillId="7" borderId="26" xfId="0" applyNumberFormat="1" applyFont="1" applyFill="1" applyBorder="1" applyAlignment="1" applyProtection="1">
      <alignment horizontal="center" vertical="center"/>
    </xf>
    <xf numFmtId="0" fontId="6" fillId="7" borderId="11" xfId="0" applyFont="1" applyFill="1" applyBorder="1"/>
    <xf numFmtId="1" fontId="11" fillId="7" borderId="64" xfId="0" applyNumberFormat="1" applyFont="1" applyFill="1" applyBorder="1" applyAlignment="1" applyProtection="1">
      <alignment horizontal="center" vertical="center"/>
    </xf>
    <xf numFmtId="0" fontId="6" fillId="7" borderId="63" xfId="0" applyFont="1" applyFill="1" applyBorder="1" applyAlignment="1" applyProtection="1">
      <alignment horizontal="center"/>
    </xf>
    <xf numFmtId="0" fontId="6" fillId="7" borderId="64" xfId="0" applyFont="1" applyFill="1" applyBorder="1" applyAlignment="1" applyProtection="1">
      <alignment horizontal="center"/>
    </xf>
    <xf numFmtId="2" fontId="6" fillId="7" borderId="63" xfId="0" applyNumberFormat="1" applyFont="1" applyFill="1" applyBorder="1" applyAlignment="1" applyProtection="1">
      <alignment horizontal="center" vertical="center"/>
    </xf>
    <xf numFmtId="2" fontId="6" fillId="7" borderId="23" xfId="0" applyNumberFormat="1" applyFont="1" applyFill="1" applyBorder="1" applyAlignment="1" applyProtection="1">
      <alignment horizontal="center"/>
    </xf>
    <xf numFmtId="2" fontId="6" fillId="7" borderId="24" xfId="0" applyNumberFormat="1" applyFont="1" applyFill="1" applyBorder="1" applyAlignment="1" applyProtection="1">
      <alignment horizontal="center"/>
    </xf>
    <xf numFmtId="2" fontId="6" fillId="7" borderId="23" xfId="0" applyNumberFormat="1" applyFont="1" applyFill="1" applyBorder="1" applyAlignment="1" applyProtection="1">
      <alignment horizontal="center" vertical="center"/>
    </xf>
    <xf numFmtId="2" fontId="6" fillId="7" borderId="25" xfId="0" applyNumberFormat="1" applyFont="1" applyFill="1" applyBorder="1" applyAlignment="1" applyProtection="1">
      <alignment horizontal="center"/>
    </xf>
    <xf numFmtId="2" fontId="6" fillId="7" borderId="27" xfId="0" applyNumberFormat="1" applyFont="1" applyFill="1" applyBorder="1" applyAlignment="1" applyProtection="1">
      <alignment horizontal="center"/>
    </xf>
    <xf numFmtId="164" fontId="6" fillId="7" borderId="24" xfId="0" applyNumberFormat="1" applyFont="1" applyFill="1" applyBorder="1" applyAlignment="1" applyProtection="1">
      <alignment horizontal="center" vertical="center"/>
    </xf>
    <xf numFmtId="164" fontId="6" fillId="7" borderId="27" xfId="0" applyNumberFormat="1" applyFont="1" applyFill="1" applyBorder="1" applyAlignment="1" applyProtection="1">
      <alignment horizontal="center" vertical="center"/>
    </xf>
    <xf numFmtId="0" fontId="6" fillId="7" borderId="59" xfId="0" applyFont="1" applyFill="1" applyBorder="1"/>
    <xf numFmtId="2" fontId="11" fillId="7" borderId="59" xfId="0" applyNumberFormat="1" applyFont="1" applyFill="1" applyBorder="1" applyAlignment="1" applyProtection="1">
      <alignment horizontal="center"/>
    </xf>
    <xf numFmtId="0" fontId="6" fillId="7" borderId="13" xfId="0" applyFont="1" applyFill="1" applyBorder="1"/>
    <xf numFmtId="2" fontId="6" fillId="7" borderId="0" xfId="0" applyNumberFormat="1" applyFont="1" applyFill="1" applyBorder="1" applyAlignment="1" applyProtection="1"/>
    <xf numFmtId="0" fontId="6" fillId="7" borderId="0" xfId="0" applyFont="1" applyFill="1" applyBorder="1" applyAlignment="1" applyProtection="1">
      <alignment horizontal="center" vertical="center"/>
    </xf>
    <xf numFmtId="0" fontId="8" fillId="0" borderId="6" xfId="0" applyFont="1" applyBorder="1" applyAlignment="1" applyProtection="1">
      <alignment horizontal="center"/>
    </xf>
    <xf numFmtId="0" fontId="13" fillId="23" borderId="26" xfId="0" applyFont="1" applyFill="1" applyBorder="1" applyAlignment="1" applyProtection="1">
      <alignment horizontal="center" vertical="center"/>
    </xf>
    <xf numFmtId="0" fontId="13" fillId="12" borderId="26" xfId="0" applyFont="1" applyFill="1" applyBorder="1" applyAlignment="1">
      <alignment horizontal="center" vertical="center"/>
    </xf>
    <xf numFmtId="0" fontId="11" fillId="0" borderId="115" xfId="0" applyFont="1" applyFill="1" applyBorder="1" applyAlignment="1" applyProtection="1">
      <alignment horizontal="center" wrapText="1"/>
    </xf>
    <xf numFmtId="1" fontId="11" fillId="0" borderId="107" xfId="0" applyNumberFormat="1" applyFont="1" applyFill="1" applyBorder="1" applyAlignment="1" applyProtection="1">
      <alignment horizontal="center" wrapText="1"/>
    </xf>
    <xf numFmtId="1" fontId="11" fillId="0" borderId="108" xfId="0" applyNumberFormat="1" applyFont="1" applyFill="1" applyBorder="1" applyAlignment="1" applyProtection="1">
      <alignment horizontal="center" wrapText="1"/>
    </xf>
    <xf numFmtId="0" fontId="11" fillId="0" borderId="17" xfId="0" applyFont="1" applyFill="1" applyBorder="1" applyAlignment="1" applyProtection="1">
      <alignment horizontal="center" wrapText="1"/>
    </xf>
    <xf numFmtId="1" fontId="11" fillId="0" borderId="14" xfId="0" applyNumberFormat="1" applyFont="1" applyFill="1" applyBorder="1" applyAlignment="1" applyProtection="1">
      <alignment horizontal="center" wrapText="1"/>
    </xf>
    <xf numFmtId="1" fontId="11" fillId="0" borderId="47" xfId="0" applyNumberFormat="1" applyFont="1" applyFill="1" applyBorder="1" applyAlignment="1" applyProtection="1">
      <alignment horizontal="center" wrapText="1"/>
    </xf>
    <xf numFmtId="0" fontId="8" fillId="0" borderId="53" xfId="0" applyFont="1" applyBorder="1" applyAlignment="1" applyProtection="1">
      <alignment horizontal="center" vertical="center" wrapText="1"/>
    </xf>
    <xf numFmtId="0" fontId="8" fillId="0" borderId="116"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1" fontId="11" fillId="0" borderId="106" xfId="0" applyNumberFormat="1" applyFont="1" applyFill="1" applyBorder="1" applyAlignment="1" applyProtection="1">
      <alignment horizontal="center" wrapText="1"/>
    </xf>
    <xf numFmtId="0" fontId="8" fillId="0" borderId="98"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xf>
    <xf numFmtId="0" fontId="6" fillId="0" borderId="0" xfId="0" applyFont="1" applyBorder="1" applyAlignment="1" applyProtection="1">
      <alignment horizontal="left" vertical="center" wrapText="1"/>
    </xf>
    <xf numFmtId="0" fontId="11" fillId="0" borderId="11" xfId="0" applyFont="1" applyFill="1" applyBorder="1" applyAlignment="1" applyProtection="1"/>
    <xf numFmtId="0" fontId="13" fillId="23" borderId="92" xfId="0" applyFont="1" applyFill="1" applyBorder="1" applyAlignment="1" applyProtection="1">
      <alignment horizontal="center" vertical="center"/>
    </xf>
    <xf numFmtId="0" fontId="13" fillId="23" borderId="86" xfId="0" applyFont="1" applyFill="1" applyBorder="1" applyAlignment="1" applyProtection="1">
      <alignment horizontal="center" vertical="center"/>
    </xf>
    <xf numFmtId="164" fontId="13" fillId="0" borderId="0" xfId="0" applyNumberFormat="1" applyFont="1" applyFill="1" applyBorder="1" applyAlignment="1">
      <alignment horizontal="center"/>
    </xf>
    <xf numFmtId="0" fontId="6" fillId="0" borderId="11" xfId="0" applyFont="1" applyFill="1" applyBorder="1" applyAlignment="1" applyProtection="1">
      <alignment horizontal="center"/>
    </xf>
    <xf numFmtId="0" fontId="6" fillId="0" borderId="11" xfId="0" applyFont="1" applyFill="1" applyBorder="1" applyProtection="1"/>
    <xf numFmtId="0" fontId="34" fillId="0" borderId="11" xfId="0" applyFont="1" applyFill="1" applyBorder="1" applyAlignment="1" applyProtection="1"/>
    <xf numFmtId="0" fontId="11" fillId="0" borderId="11" xfId="0" applyFont="1" applyFill="1" applyBorder="1" applyAlignment="1" applyProtection="1">
      <alignment horizontal="left"/>
    </xf>
    <xf numFmtId="0" fontId="35" fillId="0" borderId="11" xfId="0" applyFont="1" applyFill="1" applyBorder="1" applyAlignment="1" applyProtection="1"/>
    <xf numFmtId="0" fontId="12" fillId="0" borderId="13" xfId="0" applyFont="1" applyFill="1" applyBorder="1" applyAlignment="1" applyProtection="1">
      <alignment horizontal="left"/>
    </xf>
    <xf numFmtId="0" fontId="6" fillId="0" borderId="89" xfId="0" applyFont="1" applyFill="1" applyBorder="1" applyAlignment="1" applyProtection="1">
      <alignment horizontal="center"/>
    </xf>
    <xf numFmtId="0" fontId="6" fillId="0" borderId="10" xfId="0" applyFont="1" applyBorder="1" applyAlignment="1" applyProtection="1"/>
    <xf numFmtId="0" fontId="6" fillId="0" borderId="0" xfId="0" applyFont="1" applyBorder="1" applyAlignment="1" applyProtection="1"/>
    <xf numFmtId="0" fontId="12" fillId="0" borderId="118" xfId="3" applyFont="1" applyFill="1" applyBorder="1" applyAlignment="1" applyProtection="1">
      <alignment horizontal="center" vertical="center" wrapText="1"/>
    </xf>
    <xf numFmtId="0" fontId="12" fillId="0" borderId="119" xfId="3" applyFont="1" applyFill="1" applyBorder="1" applyAlignment="1" applyProtection="1">
      <alignment horizontal="center" vertical="center" wrapText="1"/>
    </xf>
    <xf numFmtId="0" fontId="8" fillId="0" borderId="0" xfId="0" applyFont="1" applyFill="1" applyBorder="1" applyAlignment="1" applyProtection="1">
      <alignment horizontal="left" vertical="center"/>
    </xf>
    <xf numFmtId="0" fontId="6" fillId="0" borderId="1" xfId="0" applyFont="1" applyBorder="1"/>
    <xf numFmtId="0" fontId="6" fillId="0" borderId="126" xfId="0" applyFont="1" applyBorder="1"/>
    <xf numFmtId="0" fontId="6" fillId="0" borderId="129" xfId="0" applyFont="1" applyBorder="1"/>
    <xf numFmtId="0" fontId="6" fillId="0" borderId="123" xfId="5" applyFont="1" applyBorder="1"/>
    <xf numFmtId="0" fontId="6" fillId="0" borderId="125" xfId="5" applyNumberFormat="1" applyFont="1" applyBorder="1"/>
    <xf numFmtId="0" fontId="6" fillId="0" borderId="125" xfId="5" applyFont="1" applyBorder="1"/>
    <xf numFmtId="0" fontId="6" fillId="0" borderId="127" xfId="5" applyFont="1" applyBorder="1"/>
    <xf numFmtId="0" fontId="6" fillId="0" borderId="122" xfId="0" applyNumberFormat="1" applyFont="1" applyBorder="1"/>
    <xf numFmtId="0" fontId="6" fillId="0" borderId="121" xfId="0" applyNumberFormat="1" applyFont="1" applyBorder="1"/>
    <xf numFmtId="0" fontId="6" fillId="0" borderId="128" xfId="0" applyNumberFormat="1" applyFont="1" applyBorder="1"/>
    <xf numFmtId="0" fontId="6" fillId="0" borderId="123" xfId="0" applyNumberFormat="1" applyFont="1" applyBorder="1"/>
    <xf numFmtId="0" fontId="6" fillId="0" borderId="124" xfId="0" applyNumberFormat="1" applyFont="1" applyBorder="1"/>
    <xf numFmtId="0" fontId="6" fillId="0" borderId="125" xfId="0" applyNumberFormat="1" applyFont="1" applyBorder="1"/>
    <xf numFmtId="0" fontId="6" fillId="0" borderId="126" xfId="0" applyNumberFormat="1" applyFont="1" applyBorder="1"/>
    <xf numFmtId="0" fontId="6" fillId="0" borderId="127" xfId="0" applyNumberFormat="1" applyFont="1" applyBorder="1"/>
    <xf numFmtId="0" fontId="6" fillId="0" borderId="129" xfId="0" applyNumberFormat="1" applyFont="1" applyBorder="1"/>
    <xf numFmtId="0" fontId="6" fillId="0" borderId="31" xfId="5" applyNumberFormat="1" applyFont="1" applyBorder="1" applyAlignment="1">
      <alignment horizontal="left"/>
    </xf>
    <xf numFmtId="0" fontId="6" fillId="0" borderId="33" xfId="5" applyNumberFormat="1" applyFont="1" applyFill="1" applyBorder="1" applyAlignment="1">
      <alignment horizontal="left"/>
    </xf>
    <xf numFmtId="0" fontId="6" fillId="0" borderId="123" xfId="5" applyFont="1" applyBorder="1" applyAlignment="1" applyProtection="1">
      <alignment vertical="center"/>
    </xf>
    <xf numFmtId="0" fontId="6" fillId="0" borderId="125" xfId="5" applyFont="1" applyBorder="1" applyAlignment="1" applyProtection="1">
      <alignment vertical="center"/>
    </xf>
    <xf numFmtId="0" fontId="6" fillId="0" borderId="127" xfId="5" applyFont="1" applyBorder="1" applyAlignment="1" applyProtection="1">
      <alignment vertical="center"/>
    </xf>
    <xf numFmtId="0" fontId="7" fillId="0" borderId="35" xfId="8" applyFont="1" applyBorder="1" applyAlignment="1" applyProtection="1"/>
    <xf numFmtId="0" fontId="7" fillId="0" borderId="35" xfId="8" applyFont="1" applyBorder="1" applyAlignment="1" applyProtection="1">
      <alignment horizontal="left"/>
    </xf>
    <xf numFmtId="14" fontId="7" fillId="0" borderId="35" xfId="8" applyNumberFormat="1" applyFont="1" applyBorder="1" applyAlignment="1" applyProtection="1">
      <alignment horizontal="left"/>
    </xf>
    <xf numFmtId="0" fontId="6" fillId="0" borderId="12" xfId="8" applyFont="1" applyBorder="1" applyProtection="1"/>
    <xf numFmtId="0" fontId="7" fillId="0" borderId="41" xfId="8" applyFont="1" applyBorder="1" applyAlignment="1" applyProtection="1"/>
    <xf numFmtId="0" fontId="6" fillId="0" borderId="0" xfId="5" applyNumberFormat="1" applyFont="1" applyBorder="1" applyAlignment="1" applyProtection="1">
      <alignment horizontal="left"/>
    </xf>
    <xf numFmtId="0" fontId="6" fillId="0" borderId="123" xfId="5" applyFont="1" applyBorder="1" applyProtection="1"/>
    <xf numFmtId="0" fontId="6" fillId="0" borderId="125" xfId="5" applyFont="1" applyBorder="1" applyProtection="1"/>
    <xf numFmtId="0" fontId="6" fillId="0" borderId="127" xfId="5" applyFont="1" applyBorder="1" applyProtection="1"/>
    <xf numFmtId="14" fontId="7" fillId="0" borderId="35" xfId="5" applyNumberFormat="1" applyFont="1" applyBorder="1" applyAlignment="1" applyProtection="1">
      <alignment horizontal="left" vertical="center"/>
    </xf>
    <xf numFmtId="0" fontId="6" fillId="0" borderId="12" xfId="5" applyFont="1" applyBorder="1" applyAlignment="1" applyProtection="1">
      <alignment horizontal="left" vertical="center"/>
    </xf>
    <xf numFmtId="0" fontId="7" fillId="0" borderId="41" xfId="5" applyFont="1" applyBorder="1" applyAlignment="1" applyProtection="1">
      <alignment horizontal="left" vertical="center"/>
    </xf>
    <xf numFmtId="0" fontId="6" fillId="0" borderId="133" xfId="0" applyFont="1" applyBorder="1" applyProtection="1"/>
    <xf numFmtId="0" fontId="11" fillId="0" borderId="0" xfId="0" applyFont="1" applyBorder="1" applyAlignment="1" applyProtection="1">
      <alignment horizontal="left"/>
    </xf>
    <xf numFmtId="0" fontId="36" fillId="0" borderId="141" xfId="0" applyFont="1" applyFill="1" applyBorder="1" applyAlignment="1" applyProtection="1">
      <alignment horizontal="center"/>
    </xf>
    <xf numFmtId="0" fontId="36" fillId="0" borderId="142" xfId="0" applyFont="1" applyFill="1" applyBorder="1" applyAlignment="1" applyProtection="1">
      <alignment horizontal="right" wrapText="1"/>
    </xf>
    <xf numFmtId="0" fontId="11" fillId="0" borderId="143" xfId="0" applyFont="1" applyFill="1" applyBorder="1" applyAlignment="1" applyProtection="1">
      <alignment horizontal="left" wrapText="1"/>
    </xf>
    <xf numFmtId="2" fontId="12" fillId="0" borderId="143" xfId="0" applyNumberFormat="1" applyFont="1" applyBorder="1" applyAlignment="1" applyProtection="1">
      <alignment horizontal="right"/>
    </xf>
    <xf numFmtId="0" fontId="6" fillId="0" borderId="123" xfId="5" applyFont="1" applyBorder="1" applyAlignment="1">
      <alignment vertical="center"/>
    </xf>
    <xf numFmtId="0" fontId="6" fillId="0" borderId="125" xfId="5" applyFont="1" applyBorder="1" applyAlignment="1">
      <alignment vertical="center"/>
    </xf>
    <xf numFmtId="0" fontId="6" fillId="0" borderId="127" xfId="5" applyFont="1" applyBorder="1" applyAlignment="1">
      <alignment vertical="center"/>
    </xf>
    <xf numFmtId="0" fontId="11" fillId="0" borderId="144" xfId="0" applyFont="1" applyFill="1" applyBorder="1" applyAlignment="1">
      <alignment horizontal="left" vertical="center"/>
    </xf>
    <xf numFmtId="0" fontId="11" fillId="0" borderId="144" xfId="0" applyFont="1" applyBorder="1" applyAlignment="1">
      <alignment horizontal="left" vertical="center"/>
    </xf>
    <xf numFmtId="0" fontId="12" fillId="0" borderId="138" xfId="0" applyFont="1" applyBorder="1" applyAlignment="1">
      <alignment horizontal="left" vertical="center"/>
    </xf>
    <xf numFmtId="164" fontId="12" fillId="0" borderId="118" xfId="0" applyNumberFormat="1" applyFont="1" applyFill="1" applyBorder="1" applyAlignment="1">
      <alignment horizontal="center" vertical="center" wrapText="1"/>
    </xf>
    <xf numFmtId="0" fontId="8" fillId="0" borderId="118" xfId="0" applyFont="1" applyBorder="1" applyAlignment="1">
      <alignment horizontal="center" vertical="center" wrapText="1"/>
    </xf>
    <xf numFmtId="0" fontId="6" fillId="0" borderId="143" xfId="0" applyFont="1" applyBorder="1"/>
    <xf numFmtId="0" fontId="11" fillId="0" borderId="143" xfId="0" applyFont="1" applyBorder="1" applyAlignment="1">
      <alignment horizontal="left" wrapText="1"/>
    </xf>
    <xf numFmtId="0" fontId="6" fillId="0" borderId="143" xfId="0" applyFont="1" applyBorder="1" applyAlignment="1">
      <alignment horizontal="left" vertical="center"/>
    </xf>
    <xf numFmtId="0" fontId="11" fillId="0" borderId="143" xfId="0" applyFont="1" applyFill="1" applyBorder="1"/>
    <xf numFmtId="0" fontId="11" fillId="0" borderId="143" xfId="0" applyFont="1" applyBorder="1"/>
    <xf numFmtId="0" fontId="12" fillId="0" borderId="143" xfId="0" applyFont="1" applyBorder="1"/>
    <xf numFmtId="0" fontId="12" fillId="0" borderId="143" xfId="0" applyFont="1" applyBorder="1" applyAlignment="1">
      <alignment horizontal="left"/>
    </xf>
    <xf numFmtId="0" fontId="11" fillId="0" borderId="143" xfId="3" applyFont="1" applyBorder="1" applyAlignment="1" applyProtection="1">
      <alignment horizontal="left" vertical="center" wrapText="1"/>
    </xf>
    <xf numFmtId="0" fontId="11" fillId="0" borderId="143" xfId="3" applyFont="1" applyFill="1" applyBorder="1" applyAlignment="1" applyProtection="1">
      <alignment horizontal="left" vertical="center" wrapText="1"/>
    </xf>
    <xf numFmtId="0" fontId="13" fillId="12" borderId="101" xfId="0" applyFont="1" applyFill="1" applyBorder="1" applyAlignment="1">
      <alignment horizontal="center" vertical="center"/>
    </xf>
    <xf numFmtId="0" fontId="6" fillId="0" borderId="145" xfId="5" applyFont="1" applyFill="1" applyBorder="1" applyAlignment="1" applyProtection="1">
      <alignment vertical="center"/>
    </xf>
    <xf numFmtId="0" fontId="6" fillId="0" borderId="143" xfId="5" applyFont="1" applyFill="1" applyBorder="1" applyAlignment="1" applyProtection="1">
      <alignment vertical="center"/>
    </xf>
    <xf numFmtId="0" fontId="6" fillId="0" borderId="146" xfId="0" applyFont="1" applyBorder="1"/>
    <xf numFmtId="0" fontId="6" fillId="0" borderId="143" xfId="0" applyFont="1" applyFill="1" applyBorder="1"/>
    <xf numFmtId="14" fontId="7" fillId="0" borderId="35" xfId="5" applyNumberFormat="1" applyFont="1" applyBorder="1" applyAlignment="1" applyProtection="1">
      <alignment horizontal="left" vertical="center" wrapText="1"/>
    </xf>
    <xf numFmtId="0" fontId="6" fillId="0" borderId="12" xfId="5" applyFont="1" applyBorder="1" applyAlignment="1" applyProtection="1">
      <alignment vertical="center"/>
    </xf>
    <xf numFmtId="0" fontId="7" fillId="0" borderId="41" xfId="5" applyFont="1" applyBorder="1" applyAlignment="1" applyProtection="1">
      <alignment horizontal="left" vertical="center" wrapText="1"/>
    </xf>
    <xf numFmtId="0" fontId="6" fillId="0" borderId="145" xfId="0" applyFont="1" applyBorder="1"/>
    <xf numFmtId="0" fontId="13" fillId="12" borderId="3" xfId="0" applyFont="1" applyFill="1" applyBorder="1" applyAlignment="1" applyProtection="1">
      <alignment horizontal="center" vertical="center"/>
    </xf>
    <xf numFmtId="0" fontId="37" fillId="0" borderId="121" xfId="0" applyFont="1" applyFill="1" applyBorder="1" applyAlignment="1" applyProtection="1">
      <alignment horizontal="left" vertical="center" wrapText="1"/>
    </xf>
    <xf numFmtId="0" fontId="6" fillId="0" borderId="118" xfId="0" applyFont="1" applyFill="1" applyBorder="1" applyAlignment="1" applyProtection="1">
      <alignment horizontal="center" vertical="center"/>
    </xf>
    <xf numFmtId="0" fontId="6" fillId="0" borderId="118" xfId="0" applyFont="1" applyFill="1" applyBorder="1" applyAlignment="1" applyProtection="1">
      <alignment horizontal="center" vertical="center" wrapText="1"/>
    </xf>
    <xf numFmtId="0" fontId="6" fillId="0" borderId="120" xfId="0" applyFont="1" applyFill="1" applyBorder="1" applyAlignment="1" applyProtection="1">
      <alignment horizontal="center" vertical="center"/>
    </xf>
    <xf numFmtId="0" fontId="6" fillId="0" borderId="120" xfId="0" applyFont="1" applyBorder="1" applyAlignment="1" applyProtection="1">
      <alignment horizontal="center" vertical="center"/>
    </xf>
    <xf numFmtId="0" fontId="6" fillId="0" borderId="91" xfId="0" applyFont="1" applyFill="1" applyBorder="1" applyAlignment="1" applyProtection="1">
      <alignment horizontal="center" vertical="center" wrapText="1"/>
    </xf>
    <xf numFmtId="0" fontId="6" fillId="0" borderId="143" xfId="0" applyFont="1" applyFill="1" applyBorder="1" applyAlignment="1" applyProtection="1">
      <alignment vertical="center"/>
    </xf>
    <xf numFmtId="0" fontId="6" fillId="0" borderId="148" xfId="0" applyFont="1" applyFill="1" applyBorder="1" applyAlignment="1" applyProtection="1">
      <alignment vertical="center"/>
    </xf>
    <xf numFmtId="0" fontId="37" fillId="0" borderId="143" xfId="0" applyFont="1" applyFill="1" applyBorder="1" applyAlignment="1" applyProtection="1">
      <alignment horizontal="left" vertical="center" wrapText="1"/>
    </xf>
    <xf numFmtId="0" fontId="6" fillId="0" borderId="143" xfId="0" applyFont="1" applyFill="1" applyBorder="1" applyAlignment="1" applyProtection="1">
      <alignment horizontal="left" vertical="center" wrapText="1"/>
    </xf>
    <xf numFmtId="0" fontId="37" fillId="0" borderId="143" xfId="0" applyFont="1" applyFill="1" applyBorder="1" applyAlignment="1" applyProtection="1">
      <alignment vertical="center" wrapText="1"/>
    </xf>
    <xf numFmtId="0" fontId="6" fillId="0" borderId="143" xfId="0" applyFont="1" applyFill="1" applyBorder="1" applyAlignment="1" applyProtection="1">
      <alignment vertical="center" wrapText="1"/>
    </xf>
    <xf numFmtId="0" fontId="6" fillId="0" borderId="146" xfId="0" applyFont="1" applyFill="1" applyBorder="1" applyAlignment="1" applyProtection="1">
      <alignment vertical="center"/>
    </xf>
    <xf numFmtId="0" fontId="6" fillId="0" borderId="153" xfId="0" applyFont="1" applyFill="1" applyBorder="1" applyAlignment="1" applyProtection="1">
      <alignment vertical="center"/>
    </xf>
    <xf numFmtId="0" fontId="13" fillId="23" borderId="154" xfId="0" applyFont="1" applyFill="1" applyBorder="1" applyAlignment="1" applyProtection="1">
      <alignment horizontal="center" vertical="center"/>
    </xf>
    <xf numFmtId="0" fontId="6" fillId="0" borderId="155" xfId="0" applyFont="1" applyFill="1" applyBorder="1" applyAlignment="1" applyProtection="1">
      <alignment vertical="center"/>
    </xf>
    <xf numFmtId="0" fontId="6" fillId="0" borderId="145" xfId="0" applyFont="1" applyFill="1" applyBorder="1" applyAlignment="1" applyProtection="1">
      <alignment vertical="center"/>
    </xf>
    <xf numFmtId="0" fontId="6" fillId="0" borderId="120" xfId="0" applyFont="1" applyFill="1" applyBorder="1" applyAlignment="1" applyProtection="1">
      <alignment horizontal="center"/>
    </xf>
    <xf numFmtId="0" fontId="8" fillId="0" borderId="95" xfId="0" applyFont="1" applyFill="1" applyBorder="1" applyAlignment="1">
      <alignment horizontal="center"/>
    </xf>
    <xf numFmtId="0" fontId="6" fillId="0" borderId="143" xfId="0" applyFont="1" applyFill="1" applyBorder="1" applyAlignment="1">
      <alignment horizontal="left"/>
    </xf>
    <xf numFmtId="0" fontId="6" fillId="0" borderId="143" xfId="0" applyFont="1" applyFill="1" applyBorder="1" applyAlignment="1">
      <alignment horizontal="left" vertical="center" wrapText="1"/>
    </xf>
    <xf numFmtId="0" fontId="6" fillId="0" borderId="143" xfId="0" applyFont="1" applyBorder="1" applyAlignment="1">
      <alignment horizontal="left"/>
    </xf>
    <xf numFmtId="0" fontId="8" fillId="0" borderId="146" xfId="0" applyFont="1" applyFill="1" applyBorder="1" applyAlignment="1">
      <alignment horizontal="left"/>
    </xf>
    <xf numFmtId="0" fontId="6" fillId="0" borderId="161" xfId="0" applyFont="1" applyBorder="1"/>
    <xf numFmtId="14" fontId="7" fillId="0" borderId="35" xfId="5" applyNumberFormat="1" applyFont="1" applyBorder="1" applyAlignment="1" applyProtection="1">
      <alignment horizontal="left"/>
    </xf>
    <xf numFmtId="0" fontId="6" fillId="0" borderId="12" xfId="5" applyFont="1" applyBorder="1" applyProtection="1"/>
    <xf numFmtId="0" fontId="7" fillId="0" borderId="41" xfId="5" applyFont="1" applyBorder="1" applyAlignment="1" applyProtection="1">
      <alignment horizontal="left"/>
    </xf>
    <xf numFmtId="14" fontId="13" fillId="12" borderId="2" xfId="6" applyNumberFormat="1" applyFont="1" applyFill="1" applyBorder="1" applyProtection="1">
      <alignment horizontal="center" vertical="center"/>
    </xf>
    <xf numFmtId="14" fontId="13" fillId="12" borderId="160" xfId="6" applyNumberFormat="1" applyFont="1" applyFill="1" applyBorder="1" applyProtection="1">
      <alignment horizontal="center" vertical="center"/>
    </xf>
    <xf numFmtId="0" fontId="11" fillId="0" borderId="43" xfId="0" applyFont="1" applyFill="1" applyBorder="1" applyAlignment="1" applyProtection="1">
      <alignment vertical="center"/>
    </xf>
    <xf numFmtId="0" fontId="11" fillId="0" borderId="143" xfId="0" applyFont="1" applyFill="1" applyBorder="1" applyAlignment="1" applyProtection="1">
      <alignment vertical="center"/>
    </xf>
    <xf numFmtId="0" fontId="11" fillId="0" borderId="146" xfId="0" applyFont="1" applyFill="1" applyBorder="1" applyAlignment="1" applyProtection="1">
      <alignment vertical="center"/>
    </xf>
    <xf numFmtId="0" fontId="8" fillId="0" borderId="3" xfId="0" applyFont="1" applyBorder="1" applyAlignment="1" applyProtection="1">
      <alignment horizontal="center" wrapText="1"/>
    </xf>
    <xf numFmtId="0" fontId="8" fillId="0" borderId="63" xfId="0" applyFont="1" applyBorder="1" applyAlignment="1" applyProtection="1">
      <alignment horizontal="center" wrapText="1"/>
    </xf>
    <xf numFmtId="0" fontId="8" fillId="0" borderId="64" xfId="0" applyFont="1" applyBorder="1" applyAlignment="1" applyProtection="1">
      <alignment horizontal="center" wrapText="1"/>
    </xf>
    <xf numFmtId="0" fontId="6" fillId="0" borderId="136" xfId="0" applyFont="1" applyBorder="1"/>
    <xf numFmtId="0" fontId="6" fillId="0" borderId="139" xfId="0" applyFont="1" applyBorder="1"/>
    <xf numFmtId="0" fontId="6" fillId="0" borderId="139" xfId="0" applyFont="1" applyBorder="1" applyAlignment="1" applyProtection="1">
      <alignment vertical="center" wrapText="1"/>
    </xf>
    <xf numFmtId="0" fontId="11" fillId="0" borderId="139" xfId="3" applyFont="1" applyBorder="1" applyAlignment="1" applyProtection="1">
      <alignment horizontal="left" vertical="center" wrapText="1"/>
    </xf>
    <xf numFmtId="2" fontId="11" fillId="0" borderId="143" xfId="3" applyNumberFormat="1" applyFont="1" applyFill="1" applyBorder="1" applyAlignment="1" applyProtection="1">
      <alignment horizontal="left" vertical="center" wrapText="1"/>
    </xf>
    <xf numFmtId="2" fontId="11" fillId="0" borderId="146" xfId="3" applyNumberFormat="1" applyFont="1" applyFill="1" applyBorder="1" applyAlignment="1" applyProtection="1">
      <alignment horizontal="left" vertical="center" wrapText="1"/>
    </xf>
    <xf numFmtId="0" fontId="6" fillId="0" borderId="162" xfId="0" applyFont="1" applyBorder="1"/>
    <xf numFmtId="0" fontId="8" fillId="0" borderId="160" xfId="5" applyFont="1" applyBorder="1" applyAlignment="1" applyProtection="1">
      <alignment horizontal="center"/>
    </xf>
    <xf numFmtId="0" fontId="8" fillId="0" borderId="101" xfId="5" applyFont="1" applyBorder="1" applyAlignment="1" applyProtection="1">
      <alignment horizontal="center"/>
    </xf>
    <xf numFmtId="0" fontId="12" fillId="0" borderId="63" xfId="0" applyFont="1" applyBorder="1" applyAlignment="1" applyProtection="1">
      <alignment horizontal="center"/>
    </xf>
    <xf numFmtId="0" fontId="12" fillId="0" borderId="64" xfId="0" applyFont="1" applyBorder="1" applyAlignment="1" applyProtection="1">
      <alignment horizontal="center"/>
    </xf>
    <xf numFmtId="0" fontId="12" fillId="0" borderId="118" xfId="0" applyFont="1" applyBorder="1" applyAlignment="1" applyProtection="1">
      <alignment horizontal="center" vertical="center" wrapText="1"/>
    </xf>
    <xf numFmtId="0" fontId="11" fillId="0" borderId="138" xfId="0" applyFont="1" applyFill="1" applyBorder="1" applyAlignment="1">
      <alignment horizontal="left" vertical="center"/>
    </xf>
    <xf numFmtId="0" fontId="28" fillId="0" borderId="0" xfId="3" applyFont="1" applyBorder="1" applyAlignment="1" applyProtection="1">
      <alignment vertical="center" wrapText="1"/>
    </xf>
    <xf numFmtId="0" fontId="11" fillId="0" borderId="83" xfId="0" applyFont="1" applyBorder="1" applyAlignment="1" applyProtection="1">
      <alignment horizontal="left" vertical="center" wrapText="1"/>
    </xf>
    <xf numFmtId="0" fontId="11" fillId="0" borderId="83" xfId="3" applyFont="1" applyBorder="1" applyAlignment="1" applyProtection="1">
      <alignment horizontal="left" vertical="center" wrapText="1"/>
    </xf>
    <xf numFmtId="0" fontId="11" fillId="0" borderId="117" xfId="0" applyFont="1" applyFill="1" applyBorder="1" applyAlignment="1" applyProtection="1">
      <alignment horizontal="left" vertical="center" wrapText="1"/>
    </xf>
    <xf numFmtId="0" fontId="6" fillId="0" borderId="4" xfId="0" applyFont="1" applyBorder="1" applyAlignment="1" applyProtection="1">
      <alignment horizontal="center" vertical="center"/>
    </xf>
    <xf numFmtId="0" fontId="11" fillId="0" borderId="138" xfId="0" applyFont="1" applyFill="1" applyBorder="1" applyAlignment="1" applyProtection="1">
      <alignment horizontal="left" vertical="center" wrapText="1"/>
    </xf>
    <xf numFmtId="0" fontId="12" fillId="0" borderId="116" xfId="3" applyFont="1" applyBorder="1" applyAlignment="1" applyProtection="1">
      <alignment horizontal="center"/>
    </xf>
    <xf numFmtId="0" fontId="6" fillId="0" borderId="144" xfId="0" applyFont="1" applyBorder="1" applyAlignment="1" applyProtection="1">
      <alignment horizontal="left" vertical="center"/>
    </xf>
    <xf numFmtId="0" fontId="11" fillId="0" borderId="144" xfId="3" applyFont="1" applyBorder="1" applyAlignment="1" applyProtection="1">
      <alignment horizontal="left" vertical="center"/>
    </xf>
    <xf numFmtId="0" fontId="8" fillId="0" borderId="118" xfId="0" applyFont="1" applyBorder="1" applyAlignment="1" applyProtection="1">
      <alignment horizontal="center" vertical="center" wrapText="1"/>
    </xf>
    <xf numFmtId="0" fontId="6" fillId="0" borderId="87" xfId="0" applyFont="1" applyBorder="1" applyAlignment="1" applyProtection="1">
      <alignment horizontal="right" vertical="center" wrapText="1"/>
    </xf>
    <xf numFmtId="0" fontId="6" fillId="0" borderId="83" xfId="0" applyFont="1" applyBorder="1" applyAlignment="1" applyProtection="1">
      <alignment horizontal="right" vertical="center" wrapText="1"/>
    </xf>
    <xf numFmtId="0" fontId="18" fillId="0" borderId="0" xfId="0" applyFont="1" applyBorder="1" applyAlignment="1" applyProtection="1">
      <alignment horizontal="left" vertical="center" wrapText="1"/>
    </xf>
    <xf numFmtId="0" fontId="11" fillId="0" borderId="138" xfId="3" applyFont="1" applyBorder="1" applyAlignment="1" applyProtection="1">
      <alignment horizontal="left" vertical="center" wrapText="1"/>
    </xf>
    <xf numFmtId="0" fontId="11" fillId="0" borderId="87" xfId="3" applyFont="1" applyBorder="1" applyAlignment="1" applyProtection="1">
      <alignment horizontal="left" vertical="center" wrapText="1"/>
    </xf>
    <xf numFmtId="0" fontId="11" fillId="0" borderId="117" xfId="3" applyFont="1" applyBorder="1" applyAlignment="1" applyProtection="1">
      <alignment horizontal="left" vertical="center" wrapText="1"/>
    </xf>
    <xf numFmtId="0" fontId="11" fillId="0" borderId="138" xfId="3" applyFont="1" applyFill="1" applyBorder="1" applyAlignment="1" applyProtection="1">
      <alignment horizontal="left" vertical="center" wrapText="1"/>
    </xf>
    <xf numFmtId="0" fontId="11" fillId="0" borderId="138" xfId="0" applyNumberFormat="1" applyFont="1" applyFill="1" applyBorder="1" applyAlignment="1" applyProtection="1">
      <alignment horizontal="left" vertical="center"/>
    </xf>
    <xf numFmtId="164" fontId="11" fillId="0" borderId="164" xfId="3" applyNumberFormat="1" applyFont="1" applyFill="1" applyBorder="1" applyAlignment="1" applyProtection="1">
      <alignment horizontal="center" wrapText="1"/>
    </xf>
    <xf numFmtId="0" fontId="11" fillId="0" borderId="165" xfId="0" applyNumberFormat="1" applyFont="1" applyFill="1" applyBorder="1" applyAlignment="1" applyProtection="1">
      <alignment horizontal="left" vertical="center"/>
    </xf>
    <xf numFmtId="0" fontId="6" fillId="0" borderId="135" xfId="0" applyFont="1" applyFill="1" applyBorder="1" applyAlignment="1" applyProtection="1">
      <alignment horizontal="left"/>
    </xf>
    <xf numFmtId="0" fontId="11" fillId="0" borderId="144" xfId="3" applyFont="1" applyBorder="1" applyAlignment="1" applyProtection="1">
      <alignment horizontal="left" wrapText="1"/>
    </xf>
    <xf numFmtId="0" fontId="11" fillId="0" borderId="138" xfId="3" applyFont="1" applyBorder="1" applyAlignment="1" applyProtection="1">
      <alignment horizontal="left" wrapText="1"/>
    </xf>
    <xf numFmtId="0" fontId="6" fillId="0" borderId="138" xfId="0" applyFont="1" applyBorder="1" applyProtection="1"/>
    <xf numFmtId="0" fontId="6" fillId="0" borderId="144" xfId="0" applyFont="1" applyBorder="1" applyProtection="1"/>
    <xf numFmtId="0" fontId="6" fillId="0" borderId="138" xfId="0" applyFont="1" applyFill="1" applyBorder="1" applyProtection="1"/>
    <xf numFmtId="0" fontId="6" fillId="0" borderId="165" xfId="0" applyFont="1" applyFill="1" applyBorder="1" applyProtection="1"/>
    <xf numFmtId="0" fontId="12" fillId="0" borderId="147" xfId="3" applyFont="1" applyFill="1" applyBorder="1" applyAlignment="1" applyProtection="1">
      <alignment vertical="center" wrapText="1"/>
    </xf>
    <xf numFmtId="0" fontId="6" fillId="0" borderId="135" xfId="0" applyFont="1" applyFill="1" applyBorder="1" applyProtection="1"/>
    <xf numFmtId="0" fontId="6" fillId="0" borderId="164" xfId="0" applyFont="1" applyBorder="1" applyAlignment="1" applyProtection="1">
      <alignment horizontal="center" vertical="center"/>
    </xf>
    <xf numFmtId="0" fontId="6" fillId="0" borderId="164" xfId="0" applyFont="1" applyFill="1" applyBorder="1" applyAlignment="1" applyProtection="1">
      <alignment horizontal="center" vertical="center"/>
    </xf>
    <xf numFmtId="164" fontId="11" fillId="0" borderId="169" xfId="3" applyNumberFormat="1" applyFont="1" applyFill="1" applyBorder="1" applyAlignment="1" applyProtection="1">
      <alignment horizontal="center" wrapText="1"/>
    </xf>
    <xf numFmtId="0" fontId="6" fillId="0" borderId="138" xfId="0" applyFont="1" applyFill="1" applyBorder="1" applyAlignment="1" applyProtection="1">
      <alignment horizontal="left" vertical="center" wrapText="1"/>
    </xf>
    <xf numFmtId="0" fontId="6" fillId="0" borderId="138" xfId="0" applyFont="1" applyFill="1" applyBorder="1" applyAlignment="1" applyProtection="1">
      <alignment horizontal="left" vertical="center"/>
    </xf>
    <xf numFmtId="0" fontId="6" fillId="0" borderId="5" xfId="0" applyFont="1" applyBorder="1" applyAlignment="1" applyProtection="1">
      <alignment horizontal="center" vertical="center"/>
    </xf>
    <xf numFmtId="164" fontId="11" fillId="0" borderId="164" xfId="3" applyNumberFormat="1" applyFont="1" applyFill="1" applyBorder="1" applyAlignment="1" applyProtection="1">
      <alignment horizontal="center" vertical="center" wrapText="1"/>
    </xf>
    <xf numFmtId="164" fontId="11" fillId="0" borderId="169" xfId="3" applyNumberFormat="1" applyFont="1" applyFill="1" applyBorder="1" applyAlignment="1" applyProtection="1">
      <alignment horizontal="center" vertical="center" wrapText="1"/>
    </xf>
    <xf numFmtId="0" fontId="37" fillId="0" borderId="139" xfId="0" applyFont="1" applyFill="1" applyBorder="1" applyAlignment="1" applyProtection="1">
      <alignment horizontal="left" vertical="center" wrapText="1"/>
    </xf>
    <xf numFmtId="0" fontId="11" fillId="0" borderId="139" xfId="3" applyFont="1" applyBorder="1" applyAlignment="1" applyProtection="1">
      <alignment horizontal="left" vertical="center"/>
    </xf>
    <xf numFmtId="0" fontId="6" fillId="0" borderId="165" xfId="0" applyFont="1" applyFill="1" applyBorder="1" applyAlignment="1" applyProtection="1">
      <alignment horizontal="left" vertical="center"/>
    </xf>
    <xf numFmtId="0" fontId="34" fillId="0" borderId="0" xfId="3" applyFont="1" applyBorder="1" applyAlignment="1" applyProtection="1">
      <alignment horizontal="left" vertical="center" wrapText="1"/>
    </xf>
    <xf numFmtId="0" fontId="11" fillId="0" borderId="0" xfId="3" applyFont="1" applyBorder="1" applyAlignment="1" applyProtection="1">
      <alignment horizontal="left" vertical="center" wrapText="1"/>
    </xf>
    <xf numFmtId="2" fontId="11" fillId="0" borderId="138" xfId="3" applyNumberFormat="1" applyFont="1" applyBorder="1" applyAlignment="1" applyProtection="1">
      <alignment horizontal="left" vertical="center" wrapText="1"/>
    </xf>
    <xf numFmtId="164" fontId="11" fillId="0" borderId="170" xfId="3" applyNumberFormat="1" applyFont="1" applyFill="1" applyBorder="1" applyAlignment="1" applyProtection="1">
      <alignment horizontal="center" wrapText="1"/>
    </xf>
    <xf numFmtId="0" fontId="6" fillId="0" borderId="169" xfId="0" applyFont="1" applyBorder="1" applyAlignment="1" applyProtection="1">
      <alignment horizontal="center" vertical="center"/>
    </xf>
    <xf numFmtId="0" fontId="6" fillId="0" borderId="165" xfId="0" applyFont="1" applyBorder="1" applyProtection="1"/>
    <xf numFmtId="0" fontId="6" fillId="0" borderId="86" xfId="0" applyFont="1" applyBorder="1" applyAlignment="1">
      <alignment horizontal="left"/>
    </xf>
    <xf numFmtId="0" fontId="6" fillId="0" borderId="95" xfId="0" applyFont="1" applyBorder="1" applyAlignment="1">
      <alignment horizontal="left"/>
    </xf>
    <xf numFmtId="0" fontId="6" fillId="0" borderId="3" xfId="0" applyFont="1" applyBorder="1" applyAlignment="1">
      <alignment horizontal="left"/>
    </xf>
    <xf numFmtId="0" fontId="6" fillId="0" borderId="86" xfId="0" applyFont="1" applyBorder="1"/>
    <xf numFmtId="0" fontId="6" fillId="0" borderId="95" xfId="0" applyFont="1" applyBorder="1"/>
    <xf numFmtId="0" fontId="6" fillId="0" borderId="95" xfId="0" applyFont="1" applyFill="1" applyBorder="1"/>
    <xf numFmtId="0" fontId="6" fillId="0" borderId="86" xfId="0" applyFont="1" applyFill="1" applyBorder="1"/>
    <xf numFmtId="0" fontId="6" fillId="0" borderId="3" xfId="0" applyFont="1" applyFill="1" applyBorder="1"/>
    <xf numFmtId="0" fontId="11" fillId="11" borderId="24" xfId="6" applyNumberFormat="1" applyFont="1" applyFill="1" applyBorder="1" applyAlignment="1" applyProtection="1">
      <alignment horizontal="center" vertical="center"/>
      <protection locked="0"/>
    </xf>
    <xf numFmtId="0" fontId="12" fillId="7" borderId="17" xfId="4" applyFont="1" applyFill="1" applyBorder="1" applyAlignment="1" applyProtection="1">
      <alignment horizontal="left" vertical="center"/>
    </xf>
    <xf numFmtId="0" fontId="12" fillId="7" borderId="64" xfId="4" applyFont="1" applyFill="1" applyBorder="1" applyAlignment="1" applyProtection="1">
      <alignment horizontal="left" vertical="center"/>
    </xf>
    <xf numFmtId="0" fontId="6" fillId="0" borderId="171" xfId="0" applyFont="1" applyBorder="1" applyProtection="1"/>
    <xf numFmtId="0" fontId="39" fillId="0" borderId="172" xfId="7" applyFont="1" applyBorder="1" applyAlignment="1" applyProtection="1">
      <protection locked="0"/>
    </xf>
    <xf numFmtId="0" fontId="11" fillId="0" borderId="173" xfId="0" applyFont="1" applyBorder="1" applyProtection="1"/>
    <xf numFmtId="0" fontId="39" fillId="0" borderId="174" xfId="7" applyFont="1" applyBorder="1" applyAlignment="1" applyProtection="1">
      <protection locked="0"/>
    </xf>
    <xf numFmtId="0" fontId="6" fillId="0" borderId="175" xfId="0" applyFont="1" applyBorder="1" applyProtection="1"/>
    <xf numFmtId="0" fontId="39" fillId="0" borderId="176" xfId="7" applyFont="1" applyBorder="1" applyAlignment="1" applyProtection="1">
      <protection locked="0"/>
    </xf>
    <xf numFmtId="0" fontId="8" fillId="6" borderId="106" xfId="0" applyFont="1" applyFill="1" applyBorder="1" applyAlignment="1">
      <alignment horizontal="center" vertical="center"/>
    </xf>
    <xf numFmtId="0" fontId="13" fillId="10" borderId="68" xfId="8" applyFont="1" applyFill="1" applyBorder="1" applyAlignment="1" applyProtection="1">
      <alignment horizontal="center" vertical="center"/>
    </xf>
    <xf numFmtId="165" fontId="6" fillId="11" borderId="11" xfId="1" applyNumberFormat="1" applyFont="1" applyFill="1" applyBorder="1" applyAlignment="1" applyProtection="1">
      <alignment horizontal="center" vertical="center"/>
    </xf>
    <xf numFmtId="0" fontId="13" fillId="12" borderId="11" xfId="2" applyFont="1" applyFill="1" applyBorder="1" applyAlignment="1" applyProtection="1">
      <alignment horizontal="center" vertical="center"/>
    </xf>
    <xf numFmtId="0" fontId="11" fillId="0" borderId="11" xfId="8" applyFont="1" applyFill="1" applyBorder="1" applyAlignment="1" applyProtection="1">
      <alignment horizontal="center" vertical="center"/>
    </xf>
    <xf numFmtId="0" fontId="20" fillId="13" borderId="13" xfId="0" applyFont="1" applyFill="1" applyBorder="1" applyAlignment="1" applyProtection="1">
      <alignment horizontal="center" vertical="center"/>
    </xf>
    <xf numFmtId="0" fontId="13" fillId="23" borderId="11" xfId="2" applyFont="1" applyFill="1" applyBorder="1" applyAlignment="1" applyProtection="1">
      <alignment horizontal="center" vertical="center"/>
    </xf>
    <xf numFmtId="0" fontId="10" fillId="0" borderId="31" xfId="7" applyBorder="1" applyAlignment="1" applyProtection="1">
      <protection locked="0"/>
    </xf>
    <xf numFmtId="0" fontId="39" fillId="0" borderId="0" xfId="7" applyFont="1" applyAlignment="1" applyProtection="1">
      <alignment horizontal="center"/>
      <protection locked="0"/>
    </xf>
    <xf numFmtId="0" fontId="39" fillId="0" borderId="0" xfId="7" applyFont="1" applyBorder="1" applyAlignment="1" applyProtection="1"/>
    <xf numFmtId="49" fontId="6" fillId="11" borderId="26" xfId="0" applyNumberFormat="1" applyFont="1" applyFill="1" applyBorder="1" applyProtection="1">
      <protection locked="0"/>
    </xf>
    <xf numFmtId="2" fontId="11" fillId="0" borderId="11" xfId="3" applyNumberFormat="1" applyFont="1" applyFill="1" applyBorder="1" applyAlignment="1" applyProtection="1">
      <alignment horizontal="center"/>
    </xf>
    <xf numFmtId="0" fontId="11" fillId="11" borderId="48" xfId="6" applyNumberFormat="1" applyFont="1" applyFill="1" applyBorder="1" applyAlignment="1" applyProtection="1">
      <alignment horizontal="center" vertical="center"/>
      <protection locked="0"/>
    </xf>
    <xf numFmtId="0" fontId="11" fillId="11" borderId="27" xfId="6" applyNumberFormat="1" applyFont="1" applyFill="1" applyBorder="1" applyAlignment="1" applyProtection="1">
      <alignment horizontal="center" vertical="center"/>
      <protection locked="0"/>
    </xf>
    <xf numFmtId="0" fontId="11" fillId="11" borderId="64" xfId="6" applyNumberFormat="1" applyFont="1" applyFill="1" applyBorder="1" applyAlignment="1" applyProtection="1">
      <alignment horizontal="center" vertical="center"/>
      <protection locked="0"/>
    </xf>
    <xf numFmtId="0" fontId="6" fillId="11" borderId="24" xfId="0" applyNumberFormat="1" applyFont="1" applyFill="1" applyBorder="1" applyAlignment="1" applyProtection="1">
      <alignment horizontal="center" vertical="center"/>
      <protection locked="0"/>
    </xf>
    <xf numFmtId="0" fontId="6" fillId="11" borderId="24" xfId="24" applyNumberFormat="1" applyFont="1" applyFill="1" applyBorder="1" applyAlignment="1" applyProtection="1">
      <alignment horizontal="center" vertical="center"/>
      <protection locked="0"/>
    </xf>
    <xf numFmtId="0" fontId="6" fillId="11" borderId="24" xfId="24" applyNumberFormat="1" applyFont="1" applyFill="1" applyBorder="1" applyAlignment="1" applyProtection="1">
      <alignment horizontal="center"/>
      <protection locked="0"/>
    </xf>
    <xf numFmtId="0" fontId="6" fillId="11" borderId="24" xfId="0" applyNumberFormat="1" applyFont="1" applyFill="1" applyBorder="1" applyAlignment="1" applyProtection="1">
      <alignment horizontal="center"/>
      <protection locked="0"/>
    </xf>
    <xf numFmtId="0" fontId="6" fillId="11" borderId="27" xfId="0" applyNumberFormat="1" applyFont="1" applyFill="1" applyBorder="1" applyAlignment="1" applyProtection="1">
      <alignment horizontal="center"/>
      <protection locked="0"/>
    </xf>
    <xf numFmtId="0" fontId="13" fillId="12" borderId="1" xfId="0" applyNumberFormat="1" applyFont="1" applyFill="1" applyBorder="1" applyAlignment="1" applyProtection="1">
      <alignment horizontal="center" vertical="center" wrapText="1"/>
    </xf>
    <xf numFmtId="0" fontId="13" fillId="12" borderId="1" xfId="24" applyNumberFormat="1" applyFont="1" applyFill="1" applyBorder="1" applyAlignment="1">
      <alignment horizontal="center" vertical="center"/>
    </xf>
    <xf numFmtId="0" fontId="13" fillId="12" borderId="1" xfId="3" applyNumberFormat="1" applyFont="1" applyFill="1" applyBorder="1" applyAlignment="1" applyProtection="1">
      <alignment horizontal="center" vertical="center" wrapText="1"/>
    </xf>
    <xf numFmtId="0" fontId="13" fillId="12" borderId="26" xfId="3" applyNumberFormat="1" applyFont="1" applyFill="1" applyBorder="1" applyAlignment="1" applyProtection="1">
      <alignment horizontal="center" vertical="center" wrapText="1"/>
    </xf>
    <xf numFmtId="0" fontId="13" fillId="12" borderId="64" xfId="6" applyNumberFormat="1" applyFont="1" applyFill="1" applyBorder="1" applyProtection="1">
      <alignment horizontal="center" vertical="center"/>
    </xf>
    <xf numFmtId="0" fontId="13" fillId="12" borderId="101" xfId="6" applyNumberFormat="1" applyFont="1" applyFill="1" applyBorder="1" applyProtection="1">
      <alignment horizontal="center" vertical="center"/>
    </xf>
    <xf numFmtId="0" fontId="11" fillId="11" borderId="63" xfId="6" applyNumberFormat="1" applyFont="1" applyFill="1" applyBorder="1" applyAlignment="1" applyProtection="1">
      <alignment horizontal="left" vertical="center"/>
      <protection locked="0"/>
    </xf>
    <xf numFmtId="0" fontId="11" fillId="11" borderId="2" xfId="6" applyNumberFormat="1" applyFont="1" applyFill="1" applyBorder="1" applyAlignment="1" applyProtection="1">
      <alignment horizontal="left" vertical="center"/>
      <protection locked="0"/>
    </xf>
    <xf numFmtId="0" fontId="11" fillId="11" borderId="3" xfId="6" applyNumberFormat="1" applyFont="1" applyFill="1" applyBorder="1" applyAlignment="1" applyProtection="1">
      <alignment horizontal="left" vertical="center"/>
      <protection locked="0"/>
    </xf>
    <xf numFmtId="0" fontId="11" fillId="11" borderId="3" xfId="6" applyNumberFormat="1" applyFont="1" applyFill="1" applyBorder="1" applyAlignment="1" applyProtection="1">
      <alignment vertical="center"/>
      <protection locked="0"/>
    </xf>
    <xf numFmtId="0" fontId="13" fillId="12" borderId="3" xfId="6" applyNumberFormat="1" applyFont="1" applyFill="1" applyBorder="1" applyAlignment="1" applyProtection="1">
      <alignment horizontal="center" vertical="center"/>
    </xf>
    <xf numFmtId="0" fontId="11" fillId="11" borderId="3" xfId="6" applyNumberFormat="1" applyFont="1" applyFill="1" applyBorder="1" applyProtection="1">
      <alignment horizontal="center" vertical="center"/>
      <protection locked="0"/>
    </xf>
    <xf numFmtId="0" fontId="13" fillId="12" borderId="3" xfId="6" applyNumberFormat="1" applyFont="1" applyFill="1" applyBorder="1" applyProtection="1">
      <alignment horizontal="center" vertical="center"/>
    </xf>
    <xf numFmtId="0" fontId="11" fillId="11" borderId="23" xfId="6" applyNumberFormat="1" applyFont="1" applyFill="1" applyBorder="1" applyAlignment="1" applyProtection="1">
      <alignment horizontal="left" vertical="center"/>
      <protection locked="0"/>
    </xf>
    <xf numFmtId="0" fontId="11" fillId="11" borderId="4" xfId="6" applyNumberFormat="1" applyFont="1" applyFill="1" applyBorder="1" applyAlignment="1" applyProtection="1">
      <alignment horizontal="left" vertical="center"/>
      <protection locked="0"/>
    </xf>
    <xf numFmtId="0" fontId="11" fillId="11" borderId="1" xfId="6" applyNumberFormat="1" applyFont="1" applyFill="1" applyBorder="1" applyAlignment="1" applyProtection="1">
      <alignment horizontal="left" vertical="center"/>
      <protection locked="0"/>
    </xf>
    <xf numFmtId="0" fontId="11" fillId="11" borderId="1" xfId="6" applyNumberFormat="1" applyFont="1" applyFill="1" applyBorder="1" applyAlignment="1" applyProtection="1">
      <alignment vertical="center"/>
      <protection locked="0"/>
    </xf>
    <xf numFmtId="0" fontId="13" fillId="12" borderId="1" xfId="6" applyNumberFormat="1" applyFont="1" applyFill="1" applyBorder="1" applyAlignment="1" applyProtection="1">
      <alignment horizontal="center" vertical="center"/>
    </xf>
    <xf numFmtId="0" fontId="11" fillId="11" borderId="1" xfId="6" applyNumberFormat="1" applyFont="1" applyFill="1" applyBorder="1" applyProtection="1">
      <alignment horizontal="center" vertical="center"/>
      <protection locked="0"/>
    </xf>
    <xf numFmtId="0" fontId="13" fillId="12" borderId="1" xfId="6" applyNumberFormat="1" applyFont="1" applyFill="1" applyBorder="1" applyProtection="1">
      <alignment horizontal="center" vertical="center"/>
    </xf>
    <xf numFmtId="0" fontId="11" fillId="11" borderId="25" xfId="6" applyNumberFormat="1" applyFont="1" applyFill="1" applyBorder="1" applyAlignment="1" applyProtection="1">
      <alignment horizontal="left" vertical="center"/>
      <protection locked="0"/>
    </xf>
    <xf numFmtId="0" fontId="11" fillId="11" borderId="46" xfId="6" applyNumberFormat="1" applyFont="1" applyFill="1" applyBorder="1" applyAlignment="1" applyProtection="1">
      <alignment horizontal="left" vertical="center"/>
      <protection locked="0"/>
    </xf>
    <xf numFmtId="0" fontId="11" fillId="11" borderId="26" xfId="6" applyNumberFormat="1" applyFont="1" applyFill="1" applyBorder="1" applyAlignment="1" applyProtection="1">
      <alignment horizontal="left" vertical="center"/>
      <protection locked="0"/>
    </xf>
    <xf numFmtId="0" fontId="11" fillId="11" borderId="26" xfId="6" applyNumberFormat="1" applyFont="1" applyFill="1" applyBorder="1" applyAlignment="1" applyProtection="1">
      <alignment vertical="center"/>
      <protection locked="0"/>
    </xf>
    <xf numFmtId="0" fontId="13" fillId="12" borderId="26" xfId="6" applyNumberFormat="1" applyFont="1" applyFill="1" applyBorder="1" applyAlignment="1" applyProtection="1">
      <alignment horizontal="center" vertical="center"/>
    </xf>
    <xf numFmtId="0" fontId="11" fillId="11" borderId="26" xfId="6" applyNumberFormat="1" applyFont="1" applyFill="1" applyBorder="1" applyProtection="1">
      <alignment horizontal="center" vertical="center"/>
      <protection locked="0"/>
    </xf>
    <xf numFmtId="0" fontId="13" fillId="12" borderId="26" xfId="6" applyNumberFormat="1" applyFont="1" applyFill="1" applyBorder="1" applyProtection="1">
      <alignment horizontal="center" vertical="center"/>
    </xf>
    <xf numFmtId="0" fontId="13" fillId="12" borderId="102" xfId="6" applyNumberFormat="1" applyFont="1" applyFill="1" applyBorder="1" applyProtection="1">
      <alignment horizontal="center" vertical="center"/>
    </xf>
    <xf numFmtId="0" fontId="6" fillId="11" borderId="1" xfId="0" applyNumberFormat="1" applyFont="1" applyFill="1" applyBorder="1" applyAlignment="1" applyProtection="1">
      <alignment horizontal="center" vertical="center"/>
      <protection locked="0"/>
    </xf>
    <xf numFmtId="0" fontId="13" fillId="23" borderId="1" xfId="0" applyNumberFormat="1" applyFont="1" applyFill="1" applyBorder="1" applyAlignment="1" applyProtection="1">
      <alignment horizontal="center" vertical="center"/>
    </xf>
    <xf numFmtId="0" fontId="13" fillId="12" borderId="1" xfId="0" applyNumberFormat="1" applyFont="1" applyFill="1" applyBorder="1" applyAlignment="1">
      <alignment horizontal="center"/>
    </xf>
    <xf numFmtId="0" fontId="30" fillId="12" borderId="26" xfId="0" applyNumberFormat="1" applyFont="1" applyFill="1" applyBorder="1" applyAlignment="1">
      <alignment horizontal="center"/>
    </xf>
    <xf numFmtId="0" fontId="13" fillId="12" borderId="3" xfId="0" applyNumberFormat="1" applyFont="1" applyFill="1" applyBorder="1" applyAlignment="1">
      <alignment horizontal="center" vertical="center"/>
    </xf>
    <xf numFmtId="0" fontId="13" fillId="23" borderId="1" xfId="0" applyNumberFormat="1" applyFont="1" applyFill="1" applyBorder="1" applyAlignment="1">
      <alignment horizontal="center" vertical="center"/>
    </xf>
    <xf numFmtId="0" fontId="13" fillId="23" borderId="26" xfId="0" applyNumberFormat="1" applyFont="1" applyFill="1" applyBorder="1" applyAlignment="1">
      <alignment horizontal="center" vertical="center"/>
    </xf>
    <xf numFmtId="0" fontId="13" fillId="12" borderId="1" xfId="0" applyNumberFormat="1" applyFont="1" applyFill="1" applyBorder="1" applyAlignment="1" applyProtection="1">
      <alignment horizontal="center" vertical="center"/>
    </xf>
    <xf numFmtId="0" fontId="11" fillId="0" borderId="0" xfId="0" applyNumberFormat="1" applyFont="1" applyFill="1" applyBorder="1"/>
    <xf numFmtId="0" fontId="30" fillId="12" borderId="1" xfId="0" applyNumberFormat="1" applyFont="1" applyFill="1" applyBorder="1" applyAlignment="1">
      <alignment horizontal="center"/>
    </xf>
    <xf numFmtId="49" fontId="6" fillId="11" borderId="1" xfId="0" applyNumberFormat="1" applyFont="1" applyFill="1" applyBorder="1" applyAlignment="1" applyProtection="1">
      <alignment horizontal="center"/>
      <protection locked="0"/>
    </xf>
    <xf numFmtId="0" fontId="6" fillId="11" borderId="1" xfId="0" applyNumberFormat="1" applyFont="1" applyFill="1" applyBorder="1" applyAlignment="1" applyProtection="1">
      <alignment horizontal="center"/>
      <protection locked="0"/>
    </xf>
    <xf numFmtId="0" fontId="6" fillId="11" borderId="4" xfId="0" applyNumberFormat="1" applyFont="1" applyFill="1" applyBorder="1" applyAlignment="1" applyProtection="1">
      <alignment horizontal="center"/>
      <protection locked="0"/>
    </xf>
    <xf numFmtId="0" fontId="11" fillId="11" borderId="1" xfId="0" applyNumberFormat="1" applyFont="1" applyFill="1" applyBorder="1" applyAlignment="1" applyProtection="1">
      <alignment horizontal="center"/>
      <protection locked="0"/>
    </xf>
    <xf numFmtId="0" fontId="13" fillId="12" borderId="1" xfId="3" applyNumberFormat="1" applyFont="1" applyFill="1" applyBorder="1" applyAlignment="1" applyProtection="1">
      <alignment horizontal="center"/>
    </xf>
    <xf numFmtId="0" fontId="11" fillId="11" borderId="1" xfId="3" applyNumberFormat="1" applyFont="1" applyFill="1" applyBorder="1" applyAlignment="1" applyProtection="1">
      <alignment horizontal="center"/>
      <protection locked="0"/>
    </xf>
    <xf numFmtId="0" fontId="11" fillId="0" borderId="0" xfId="3" applyNumberFormat="1" applyFont="1" applyFill="1" applyBorder="1" applyAlignment="1" applyProtection="1">
      <alignment horizontal="center"/>
    </xf>
    <xf numFmtId="0" fontId="6" fillId="0" borderId="0" xfId="0" applyNumberFormat="1" applyFont="1" applyFill="1" applyBorder="1" applyAlignment="1">
      <alignment horizontal="center"/>
    </xf>
    <xf numFmtId="0" fontId="6" fillId="0" borderId="0" xfId="0" applyNumberFormat="1" applyFont="1" applyFill="1" applyBorder="1"/>
    <xf numFmtId="0" fontId="11" fillId="11" borderId="4" xfId="3" applyNumberFormat="1" applyFont="1" applyFill="1" applyBorder="1" applyAlignment="1" applyProtection="1">
      <alignment horizontal="center"/>
      <protection locked="0"/>
    </xf>
    <xf numFmtId="0" fontId="13" fillId="23" borderId="1" xfId="3" applyNumberFormat="1" applyFont="1" applyFill="1" applyBorder="1" applyAlignment="1" applyProtection="1">
      <alignment horizontal="center"/>
    </xf>
    <xf numFmtId="0" fontId="13" fillId="23" borderId="4" xfId="3" applyNumberFormat="1" applyFont="1" applyFill="1" applyBorder="1" applyAlignment="1" applyProtection="1">
      <alignment horizontal="center"/>
    </xf>
    <xf numFmtId="0" fontId="13" fillId="12" borderId="1" xfId="0" applyNumberFormat="1" applyFont="1" applyFill="1" applyBorder="1" applyAlignment="1" applyProtection="1">
      <alignment horizontal="center"/>
    </xf>
    <xf numFmtId="0" fontId="13" fillId="12" borderId="4" xfId="0" applyNumberFormat="1" applyFont="1" applyFill="1" applyBorder="1" applyAlignment="1" applyProtection="1">
      <alignment horizontal="center"/>
    </xf>
    <xf numFmtId="0" fontId="13" fillId="0" borderId="0" xfId="0" applyNumberFormat="1" applyFont="1" applyFill="1" applyBorder="1" applyAlignment="1" applyProtection="1">
      <alignment horizontal="center"/>
    </xf>
    <xf numFmtId="0" fontId="6" fillId="0" borderId="0" xfId="0" applyNumberFormat="1" applyFont="1" applyBorder="1"/>
    <xf numFmtId="0" fontId="6" fillId="0" borderId="0" xfId="0" applyNumberFormat="1" applyFont="1" applyBorder="1" applyAlignment="1">
      <alignment horizontal="center"/>
    </xf>
    <xf numFmtId="0" fontId="13" fillId="23" borderId="1" xfId="0" applyNumberFormat="1" applyFont="1" applyFill="1" applyBorder="1" applyAlignment="1" applyProtection="1">
      <alignment horizontal="center"/>
    </xf>
    <xf numFmtId="0" fontId="11" fillId="11" borderId="1" xfId="0" applyNumberFormat="1" applyFont="1" applyFill="1" applyBorder="1" applyAlignment="1" applyProtection="1">
      <alignment horizontal="center" vertical="center"/>
      <protection locked="0"/>
    </xf>
    <xf numFmtId="0" fontId="11" fillId="11" borderId="4" xfId="0" applyNumberFormat="1" applyFont="1" applyFill="1" applyBorder="1" applyAlignment="1" applyProtection="1">
      <alignment horizontal="center" vertical="center"/>
      <protection locked="0"/>
    </xf>
    <xf numFmtId="0" fontId="6" fillId="11" borderId="63" xfId="0" applyNumberFormat="1" applyFont="1" applyFill="1" applyBorder="1" applyAlignment="1" applyProtection="1">
      <alignment horizontal="center"/>
      <protection locked="0"/>
    </xf>
    <xf numFmtId="0" fontId="6" fillId="11" borderId="64" xfId="0" applyNumberFormat="1" applyFont="1" applyFill="1" applyBorder="1" applyAlignment="1" applyProtection="1">
      <alignment horizontal="center"/>
      <protection locked="0"/>
    </xf>
    <xf numFmtId="0" fontId="6" fillId="11" borderId="2" xfId="0" applyNumberFormat="1" applyFont="1" applyFill="1" applyBorder="1" applyAlignment="1" applyProtection="1">
      <alignment horizontal="center"/>
      <protection locked="0"/>
    </xf>
    <xf numFmtId="0" fontId="6" fillId="11" borderId="54" xfId="0" applyNumberFormat="1" applyFont="1" applyFill="1" applyBorder="1" applyAlignment="1" applyProtection="1">
      <alignment horizontal="center"/>
      <protection locked="0"/>
    </xf>
    <xf numFmtId="0" fontId="6" fillId="11" borderId="23" xfId="0" applyNumberFormat="1" applyFont="1" applyFill="1" applyBorder="1" applyAlignment="1" applyProtection="1">
      <alignment horizontal="center"/>
      <protection locked="0"/>
    </xf>
    <xf numFmtId="0" fontId="6" fillId="11" borderId="57" xfId="0" applyNumberFormat="1" applyFont="1" applyFill="1" applyBorder="1" applyAlignment="1" applyProtection="1">
      <alignment horizontal="center"/>
      <protection locked="0"/>
    </xf>
    <xf numFmtId="0" fontId="6" fillId="11" borderId="69" xfId="0" applyNumberFormat="1" applyFont="1" applyFill="1" applyBorder="1" applyAlignment="1" applyProtection="1">
      <alignment horizontal="center"/>
      <protection locked="0"/>
    </xf>
    <xf numFmtId="0" fontId="6" fillId="11" borderId="80" xfId="0" applyNumberFormat="1" applyFont="1" applyFill="1" applyBorder="1" applyAlignment="1" applyProtection="1">
      <alignment horizontal="center"/>
      <protection locked="0"/>
    </xf>
    <xf numFmtId="0" fontId="6" fillId="11" borderId="99" xfId="0" applyNumberFormat="1" applyFont="1" applyFill="1" applyBorder="1" applyAlignment="1" applyProtection="1">
      <alignment horizontal="center"/>
      <protection locked="0"/>
    </xf>
    <xf numFmtId="0" fontId="6" fillId="11" borderId="114" xfId="0" applyNumberFormat="1" applyFont="1" applyFill="1" applyBorder="1" applyAlignment="1" applyProtection="1">
      <alignment horizontal="center"/>
      <protection locked="0"/>
    </xf>
    <xf numFmtId="0" fontId="6" fillId="11" borderId="92" xfId="0" applyNumberFormat="1" applyFont="1" applyFill="1" applyBorder="1" applyAlignment="1" applyProtection="1">
      <alignment horizontal="center" vertical="center"/>
      <protection locked="0"/>
    </xf>
    <xf numFmtId="0" fontId="36" fillId="0" borderId="0" xfId="0" applyNumberFormat="1" applyFont="1" applyFill="1" applyBorder="1" applyAlignment="1" applyProtection="1">
      <alignment horizontal="center"/>
    </xf>
    <xf numFmtId="0" fontId="30" fillId="12" borderId="1" xfId="0" applyNumberFormat="1" applyFont="1" applyFill="1" applyBorder="1" applyAlignment="1" applyProtection="1">
      <alignment horizontal="center"/>
    </xf>
    <xf numFmtId="49" fontId="11" fillId="11" borderId="1" xfId="0" applyNumberFormat="1" applyFont="1" applyFill="1" applyBorder="1" applyAlignment="1" applyProtection="1">
      <alignment horizontal="center" vertical="center"/>
      <protection locked="0"/>
    </xf>
    <xf numFmtId="0" fontId="30" fillId="12" borderId="26" xfId="0" applyNumberFormat="1" applyFont="1" applyFill="1" applyBorder="1" applyAlignment="1" applyProtection="1">
      <alignment horizontal="center"/>
    </xf>
    <xf numFmtId="0" fontId="11" fillId="11" borderId="71" xfId="0" applyNumberFormat="1" applyFont="1" applyFill="1" applyBorder="1" applyAlignment="1" applyProtection="1">
      <alignment horizontal="center" vertical="center"/>
      <protection locked="0"/>
    </xf>
    <xf numFmtId="0" fontId="11" fillId="11" borderId="72" xfId="0" applyNumberFormat="1" applyFont="1" applyFill="1" applyBorder="1" applyAlignment="1" applyProtection="1">
      <alignment horizontal="center" vertical="center"/>
      <protection locked="0"/>
    </xf>
    <xf numFmtId="0" fontId="11" fillId="11" borderId="74" xfId="0" applyNumberFormat="1" applyFont="1" applyFill="1" applyBorder="1" applyAlignment="1" applyProtection="1">
      <alignment horizontal="center" vertical="center"/>
      <protection locked="0"/>
    </xf>
    <xf numFmtId="0" fontId="11" fillId="11" borderId="75" xfId="0" applyNumberFormat="1" applyFont="1" applyFill="1" applyBorder="1" applyAlignment="1" applyProtection="1">
      <alignment horizontal="center" vertical="center"/>
      <protection locked="0"/>
    </xf>
    <xf numFmtId="0" fontId="11" fillId="11" borderId="78" xfId="0" applyNumberFormat="1" applyFont="1" applyFill="1" applyBorder="1" applyAlignment="1" applyProtection="1">
      <alignment horizontal="center" vertical="center"/>
      <protection locked="0"/>
    </xf>
    <xf numFmtId="0" fontId="11" fillId="11" borderId="77" xfId="0" applyNumberFormat="1" applyFont="1" applyFill="1" applyBorder="1" applyAlignment="1" applyProtection="1">
      <alignment horizontal="center" vertical="center"/>
      <protection locked="0"/>
    </xf>
    <xf numFmtId="0" fontId="11" fillId="11" borderId="93" xfId="0" applyNumberFormat="1" applyFont="1" applyFill="1" applyBorder="1" applyAlignment="1" applyProtection="1">
      <alignment horizontal="center" vertical="center"/>
      <protection locked="0"/>
    </xf>
    <xf numFmtId="0" fontId="11" fillId="11" borderId="16" xfId="0" applyNumberFormat="1" applyFont="1" applyFill="1" applyBorder="1" applyAlignment="1" applyProtection="1">
      <alignment horizontal="center" vertical="center"/>
      <protection locked="0"/>
    </xf>
    <xf numFmtId="0" fontId="6" fillId="11" borderId="64" xfId="0" applyNumberFormat="1" applyFont="1" applyFill="1" applyBorder="1" applyAlignment="1" applyProtection="1">
      <alignment horizontal="center" vertical="center"/>
      <protection locked="0"/>
    </xf>
    <xf numFmtId="0" fontId="11" fillId="11" borderId="24" xfId="0" applyNumberFormat="1" applyFont="1" applyFill="1" applyBorder="1" applyAlignment="1" applyProtection="1">
      <alignment horizontal="center" vertical="center"/>
      <protection locked="0"/>
    </xf>
    <xf numFmtId="0" fontId="11" fillId="11" borderId="27" xfId="0" applyNumberFormat="1" applyFont="1" applyFill="1" applyBorder="1" applyAlignment="1" applyProtection="1">
      <alignment horizontal="center" vertical="center"/>
      <protection locked="0"/>
    </xf>
    <xf numFmtId="0" fontId="11" fillId="11" borderId="1" xfId="3" applyNumberFormat="1" applyFont="1" applyFill="1" applyBorder="1" applyAlignment="1" applyProtection="1">
      <alignment horizontal="center" vertical="center"/>
      <protection locked="0"/>
    </xf>
    <xf numFmtId="0" fontId="11" fillId="11" borderId="57" xfId="3" applyNumberFormat="1" applyFont="1" applyFill="1" applyBorder="1" applyAlignment="1" applyProtection="1">
      <alignment horizontal="center" vertical="center"/>
      <protection locked="0"/>
    </xf>
    <xf numFmtId="0" fontId="13" fillId="23" borderId="1" xfId="3" applyNumberFormat="1" applyFont="1" applyFill="1" applyBorder="1" applyAlignment="1" applyProtection="1">
      <alignment horizontal="center" vertical="center" wrapText="1"/>
    </xf>
    <xf numFmtId="0" fontId="13" fillId="12" borderId="1" xfId="3" applyNumberFormat="1" applyFont="1" applyFill="1" applyBorder="1" applyAlignment="1" applyProtection="1">
      <alignment horizontal="center" vertical="center"/>
    </xf>
    <xf numFmtId="0" fontId="13" fillId="23" borderId="1" xfId="3" applyNumberFormat="1" applyFont="1" applyFill="1" applyBorder="1" applyAlignment="1" applyProtection="1">
      <alignment horizontal="center" vertical="center"/>
    </xf>
    <xf numFmtId="0" fontId="6" fillId="0" borderId="0" xfId="0" applyNumberFormat="1" applyFont="1" applyBorder="1" applyProtection="1"/>
    <xf numFmtId="0" fontId="13" fillId="12" borderId="26" xfId="3" applyNumberFormat="1" applyFont="1" applyFill="1" applyBorder="1" applyAlignment="1" applyProtection="1">
      <alignment horizontal="center" vertical="center"/>
    </xf>
    <xf numFmtId="0" fontId="13" fillId="12" borderId="26" xfId="0" applyNumberFormat="1" applyFont="1" applyFill="1" applyBorder="1" applyAlignment="1" applyProtection="1">
      <alignment horizontal="center" vertical="center"/>
    </xf>
    <xf numFmtId="0" fontId="11" fillId="11" borderId="24" xfId="3" applyNumberFormat="1" applyFont="1" applyFill="1" applyBorder="1" applyAlignment="1" applyProtection="1">
      <alignment horizontal="center" vertical="center"/>
      <protection locked="0"/>
    </xf>
    <xf numFmtId="0" fontId="13" fillId="12" borderId="24" xfId="0" applyNumberFormat="1" applyFont="1" applyFill="1" applyBorder="1" applyAlignment="1" applyProtection="1">
      <alignment horizontal="center" vertical="center"/>
    </xf>
    <xf numFmtId="0" fontId="11" fillId="11" borderId="24" xfId="3" applyNumberFormat="1" applyFont="1" applyFill="1" applyBorder="1" applyAlignment="1" applyProtection="1">
      <alignment horizontal="center"/>
      <protection locked="0"/>
    </xf>
    <xf numFmtId="0" fontId="13" fillId="12" borderId="24" xfId="3" applyNumberFormat="1" applyFont="1" applyFill="1" applyBorder="1" applyAlignment="1" applyProtection="1">
      <alignment horizontal="center" vertical="center"/>
    </xf>
    <xf numFmtId="0" fontId="6" fillId="0" borderId="11" xfId="0" applyNumberFormat="1" applyFont="1" applyBorder="1" applyProtection="1"/>
    <xf numFmtId="0" fontId="13" fillId="12" borderId="27" xfId="0" applyNumberFormat="1" applyFont="1" applyFill="1" applyBorder="1" applyAlignment="1" applyProtection="1">
      <alignment horizontal="center" vertical="center"/>
    </xf>
    <xf numFmtId="0" fontId="11" fillId="0" borderId="0" xfId="3" applyNumberFormat="1" applyFont="1" applyFill="1" applyBorder="1" applyAlignment="1" applyProtection="1">
      <alignment horizontal="center" vertical="center"/>
    </xf>
    <xf numFmtId="49" fontId="11" fillId="11" borderId="26" xfId="0" applyNumberFormat="1" applyFont="1" applyFill="1" applyBorder="1" applyAlignment="1" applyProtection="1">
      <alignment horizontal="center" vertical="center"/>
      <protection locked="0"/>
    </xf>
    <xf numFmtId="0" fontId="37" fillId="11" borderId="1" xfId="0" applyNumberFormat="1" applyFont="1" applyFill="1" applyBorder="1" applyAlignment="1" applyProtection="1">
      <alignment horizontal="center" vertical="center" wrapText="1"/>
      <protection locked="0"/>
    </xf>
    <xf numFmtId="0" fontId="37" fillId="0" borderId="0" xfId="0" applyNumberFormat="1" applyFont="1" applyFill="1" applyBorder="1" applyAlignment="1" applyProtection="1">
      <alignment horizontal="left" vertical="center" wrapText="1"/>
    </xf>
    <xf numFmtId="0" fontId="13" fillId="12" borderId="3" xfId="0" applyNumberFormat="1" applyFont="1" applyFill="1" applyBorder="1" applyAlignment="1" applyProtection="1">
      <alignment horizontal="center" vertical="center"/>
    </xf>
    <xf numFmtId="0" fontId="35" fillId="0" borderId="0" xfId="3" applyNumberFormat="1" applyFont="1" applyBorder="1" applyAlignment="1" applyProtection="1">
      <alignment horizontal="center" vertical="center"/>
    </xf>
    <xf numFmtId="0" fontId="30" fillId="12" borderId="1" xfId="3" applyNumberFormat="1" applyFont="1" applyFill="1" applyBorder="1" applyAlignment="1" applyProtection="1">
      <alignment horizontal="center" vertical="center"/>
    </xf>
    <xf numFmtId="0" fontId="13" fillId="23" borderId="24" xfId="0" applyNumberFormat="1" applyFont="1" applyFill="1" applyBorder="1" applyAlignment="1" applyProtection="1">
      <alignment horizontal="center" vertical="center"/>
    </xf>
    <xf numFmtId="0" fontId="6" fillId="0" borderId="0" xfId="0" applyNumberFormat="1" applyFont="1" applyBorder="1" applyAlignment="1" applyProtection="1">
      <alignment horizontal="center" vertical="center"/>
    </xf>
    <xf numFmtId="0" fontId="6" fillId="0" borderId="11" xfId="0" applyNumberFormat="1" applyFont="1" applyBorder="1" applyAlignment="1" applyProtection="1">
      <alignment horizontal="center" vertical="center"/>
    </xf>
    <xf numFmtId="0" fontId="13" fillId="23" borderId="26" xfId="0" applyNumberFormat="1" applyFont="1" applyFill="1" applyBorder="1" applyAlignment="1" applyProtection="1">
      <alignment horizontal="center" vertical="center"/>
    </xf>
    <xf numFmtId="0" fontId="6" fillId="0" borderId="59" xfId="0" applyNumberFormat="1" applyFont="1" applyBorder="1" applyProtection="1"/>
    <xf numFmtId="0" fontId="6" fillId="0" borderId="13" xfId="0" applyNumberFormat="1" applyFont="1" applyBorder="1" applyProtection="1"/>
    <xf numFmtId="0" fontId="11" fillId="11" borderId="63" xfId="0" applyNumberFormat="1" applyFont="1" applyFill="1" applyBorder="1" applyAlignment="1" applyProtection="1">
      <alignment horizontal="center"/>
      <protection locked="0"/>
    </xf>
    <xf numFmtId="0" fontId="11" fillId="11" borderId="64" xfId="0" applyNumberFormat="1" applyFont="1" applyFill="1" applyBorder="1" applyAlignment="1" applyProtection="1">
      <alignment horizontal="center"/>
      <protection locked="0"/>
    </xf>
    <xf numFmtId="0" fontId="11" fillId="11" borderId="2" xfId="0" applyNumberFormat="1" applyFont="1" applyFill="1" applyBorder="1" applyAlignment="1" applyProtection="1">
      <alignment horizontal="center"/>
      <protection locked="0"/>
    </xf>
    <xf numFmtId="0" fontId="11" fillId="11" borderId="54" xfId="0" applyNumberFormat="1" applyFont="1" applyFill="1" applyBorder="1" applyAlignment="1" applyProtection="1">
      <alignment horizontal="center"/>
      <protection locked="0"/>
    </xf>
    <xf numFmtId="0" fontId="11" fillId="11" borderId="63" xfId="0" applyNumberFormat="1" applyFont="1" applyFill="1" applyBorder="1" applyAlignment="1" applyProtection="1">
      <alignment horizontal="center" wrapText="1"/>
      <protection locked="0"/>
    </xf>
    <xf numFmtId="0" fontId="11" fillId="11" borderId="23" xfId="0" applyNumberFormat="1" applyFont="1" applyFill="1" applyBorder="1" applyAlignment="1" applyProtection="1">
      <alignment horizontal="center"/>
      <protection locked="0"/>
    </xf>
    <xf numFmtId="0" fontId="11" fillId="11" borderId="24" xfId="0" applyNumberFormat="1" applyFont="1" applyFill="1" applyBorder="1" applyAlignment="1" applyProtection="1">
      <alignment horizontal="center"/>
      <protection locked="0"/>
    </xf>
    <xf numFmtId="0" fontId="11" fillId="11" borderId="4" xfId="0" applyNumberFormat="1" applyFont="1" applyFill="1" applyBorder="1" applyAlignment="1" applyProtection="1">
      <alignment horizontal="center"/>
      <protection locked="0"/>
    </xf>
    <xf numFmtId="0" fontId="11" fillId="11" borderId="57" xfId="0" applyNumberFormat="1" applyFont="1" applyFill="1" applyBorder="1" applyAlignment="1" applyProtection="1">
      <alignment horizontal="center"/>
      <protection locked="0"/>
    </xf>
    <xf numFmtId="0" fontId="11" fillId="11" borderId="23" xfId="0" applyNumberFormat="1" applyFont="1" applyFill="1" applyBorder="1" applyAlignment="1" applyProtection="1">
      <alignment horizontal="center" wrapText="1"/>
      <protection locked="0"/>
    </xf>
    <xf numFmtId="0" fontId="11" fillId="11" borderId="25" xfId="0" applyNumberFormat="1" applyFont="1" applyFill="1" applyBorder="1" applyAlignment="1" applyProtection="1">
      <alignment horizontal="center"/>
      <protection locked="0"/>
    </xf>
    <xf numFmtId="0" fontId="11" fillId="11" borderId="27" xfId="0" applyNumberFormat="1" applyFont="1" applyFill="1" applyBorder="1" applyAlignment="1" applyProtection="1">
      <alignment horizontal="center"/>
      <protection locked="0"/>
    </xf>
    <xf numFmtId="0" fontId="11" fillId="11" borderId="46" xfId="0" applyNumberFormat="1" applyFont="1" applyFill="1" applyBorder="1" applyAlignment="1" applyProtection="1">
      <alignment horizontal="center"/>
      <protection locked="0"/>
    </xf>
    <xf numFmtId="0" fontId="11" fillId="11" borderId="82" xfId="0" applyNumberFormat="1" applyFont="1" applyFill="1" applyBorder="1" applyAlignment="1" applyProtection="1">
      <alignment horizontal="center"/>
      <protection locked="0"/>
    </xf>
    <xf numFmtId="0" fontId="11" fillId="11" borderId="25" xfId="0" applyNumberFormat="1" applyFont="1" applyFill="1" applyBorder="1" applyAlignment="1" applyProtection="1">
      <alignment horizontal="center" wrapText="1"/>
      <protection locked="0"/>
    </xf>
    <xf numFmtId="0" fontId="11" fillId="11" borderId="88" xfId="0" applyNumberFormat="1" applyFont="1" applyFill="1" applyBorder="1" applyAlignment="1" applyProtection="1">
      <alignment horizontal="center"/>
      <protection locked="0"/>
    </xf>
    <xf numFmtId="0" fontId="11" fillId="11" borderId="48" xfId="0" applyNumberFormat="1" applyFont="1" applyFill="1" applyBorder="1" applyAlignment="1" applyProtection="1">
      <alignment horizontal="center"/>
      <protection locked="0"/>
    </xf>
    <xf numFmtId="0" fontId="13" fillId="12" borderId="88" xfId="0" applyNumberFormat="1" applyFont="1" applyFill="1" applyBorder="1" applyAlignment="1" applyProtection="1">
      <alignment horizontal="center" vertical="center"/>
    </xf>
    <xf numFmtId="0" fontId="13" fillId="12" borderId="48" xfId="0" applyNumberFormat="1" applyFont="1" applyFill="1" applyBorder="1" applyAlignment="1" applyProtection="1">
      <alignment horizontal="center" vertical="center"/>
    </xf>
    <xf numFmtId="0" fontId="6" fillId="0" borderId="0" xfId="0" applyNumberFormat="1" applyFont="1" applyFill="1" applyBorder="1" applyProtection="1"/>
    <xf numFmtId="0" fontId="6" fillId="0" borderId="106" xfId="0" applyNumberFormat="1" applyFont="1" applyFill="1" applyBorder="1" applyAlignment="1" applyProtection="1">
      <alignment horizontal="center"/>
    </xf>
    <xf numFmtId="0" fontId="13" fillId="12" borderId="4" xfId="0" applyNumberFormat="1" applyFont="1" applyFill="1" applyBorder="1" applyAlignment="1" applyProtection="1">
      <alignment horizontal="center" vertical="center"/>
    </xf>
    <xf numFmtId="0" fontId="6" fillId="0" borderId="107" xfId="0" applyNumberFormat="1" applyFont="1" applyFill="1" applyBorder="1" applyAlignment="1" applyProtection="1">
      <alignment horizontal="center"/>
    </xf>
    <xf numFmtId="0" fontId="6" fillId="0" borderId="108" xfId="0" applyNumberFormat="1" applyFont="1" applyFill="1" applyBorder="1" applyAlignment="1" applyProtection="1">
      <alignment horizontal="center"/>
    </xf>
    <xf numFmtId="0" fontId="13" fillId="12" borderId="46"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horizontal="center" vertical="center"/>
    </xf>
    <xf numFmtId="165" fontId="13" fillId="12" borderId="1" xfId="3" applyNumberFormat="1" applyFont="1" applyFill="1" applyBorder="1" applyAlignment="1" applyProtection="1">
      <alignment horizontal="center" vertical="center" wrapText="1"/>
    </xf>
    <xf numFmtId="0" fontId="11" fillId="11" borderId="24" xfId="6" applyNumberFormat="1" applyFont="1" applyFill="1" applyBorder="1" applyAlignment="1" applyProtection="1">
      <alignment horizontal="left" vertical="center"/>
      <protection locked="0"/>
    </xf>
    <xf numFmtId="0" fontId="11" fillId="11" borderId="27" xfId="6" applyNumberFormat="1" applyFont="1" applyFill="1" applyBorder="1" applyAlignment="1" applyProtection="1">
      <alignment horizontal="left" vertical="center"/>
      <protection locked="0"/>
    </xf>
    <xf numFmtId="164" fontId="6" fillId="0" borderId="10" xfId="0" applyNumberFormat="1" applyFont="1" applyFill="1" applyBorder="1" applyAlignment="1">
      <alignment horizontal="center"/>
    </xf>
    <xf numFmtId="164" fontId="6" fillId="0" borderId="0" xfId="0" applyNumberFormat="1" applyFont="1" applyFill="1" applyBorder="1" applyAlignment="1">
      <alignment horizontal="center"/>
    </xf>
    <xf numFmtId="1" fontId="12" fillId="0" borderId="144" xfId="0" applyNumberFormat="1" applyFont="1" applyFill="1" applyBorder="1" applyAlignment="1">
      <alignment horizontal="left"/>
    </xf>
    <xf numFmtId="2" fontId="30" fillId="12" borderId="24" xfId="3" applyNumberFormat="1" applyFont="1" applyFill="1" applyBorder="1" applyAlignment="1" applyProtection="1">
      <alignment horizontal="center" vertical="center"/>
    </xf>
    <xf numFmtId="0" fontId="6" fillId="0" borderId="177" xfId="0" applyFont="1" applyFill="1" applyBorder="1" applyProtection="1"/>
    <xf numFmtId="0" fontId="13" fillId="12" borderId="42" xfId="3" applyNumberFormat="1" applyFont="1" applyFill="1" applyBorder="1" applyAlignment="1" applyProtection="1">
      <alignment horizontal="center" vertical="center"/>
    </xf>
    <xf numFmtId="0" fontId="6" fillId="0" borderId="10" xfId="0" applyFont="1" applyFill="1" applyBorder="1" applyProtection="1"/>
    <xf numFmtId="0" fontId="6" fillId="0" borderId="143" xfId="0" applyFont="1" applyBorder="1" applyAlignment="1" applyProtection="1">
      <alignment horizontal="left" vertical="center" wrapText="1"/>
    </xf>
    <xf numFmtId="0" fontId="6" fillId="0" borderId="143" xfId="0" applyFont="1" applyBorder="1" applyAlignment="1" applyProtection="1">
      <alignment horizontal="left" vertical="center"/>
    </xf>
    <xf numFmtId="0" fontId="6" fillId="0" borderId="10" xfId="0" applyFont="1" applyBorder="1" applyProtection="1"/>
    <xf numFmtId="0" fontId="6" fillId="0" borderId="143" xfId="0" applyFont="1" applyFill="1" applyBorder="1" applyProtection="1"/>
    <xf numFmtId="0" fontId="6" fillId="0" borderId="146" xfId="0" applyFont="1" applyFill="1" applyBorder="1" applyProtection="1"/>
    <xf numFmtId="0" fontId="12" fillId="0" borderId="178" xfId="3" applyFont="1" applyBorder="1" applyAlignment="1" applyProtection="1">
      <alignment horizontal="left" vertical="center"/>
    </xf>
    <xf numFmtId="0" fontId="11" fillId="0" borderId="38" xfId="0" applyFont="1" applyFill="1" applyBorder="1" applyProtection="1"/>
    <xf numFmtId="0" fontId="11" fillId="0" borderId="39" xfId="5" applyFont="1" applyBorder="1" applyProtection="1"/>
    <xf numFmtId="164" fontId="7" fillId="0" borderId="31" xfId="5" applyNumberFormat="1" applyFont="1" applyBorder="1" applyAlignment="1">
      <alignment horizontal="left"/>
    </xf>
    <xf numFmtId="0" fontId="6" fillId="0" borderId="0" xfId="0" applyFont="1" applyFill="1" applyBorder="1" applyAlignment="1">
      <alignment horizontal="left"/>
    </xf>
    <xf numFmtId="0" fontId="6" fillId="0" borderId="143" xfId="0" applyFont="1" applyBorder="1" applyAlignment="1">
      <alignment horizontal="right" wrapText="1"/>
    </xf>
    <xf numFmtId="0" fontId="11" fillId="9" borderId="18" xfId="4" applyFont="1" applyFill="1" applyBorder="1" applyAlignment="1" applyProtection="1">
      <alignment horizontal="left" vertical="center" wrapText="1"/>
    </xf>
    <xf numFmtId="0" fontId="11" fillId="9" borderId="20" xfId="4" applyFont="1" applyFill="1" applyBorder="1" applyAlignment="1" applyProtection="1">
      <alignment horizontal="left" vertical="center" wrapText="1"/>
    </xf>
    <xf numFmtId="0" fontId="11" fillId="9" borderId="12" xfId="4" applyFont="1" applyFill="1" applyBorder="1" applyAlignment="1" applyProtection="1">
      <alignment horizontal="left" vertical="center" wrapText="1"/>
    </xf>
    <xf numFmtId="0" fontId="11" fillId="9" borderId="13" xfId="4" applyFont="1" applyFill="1" applyBorder="1" applyAlignment="1" applyProtection="1">
      <alignment horizontal="left" vertical="center" wrapText="1"/>
    </xf>
    <xf numFmtId="0" fontId="12" fillId="4" borderId="21" xfId="4" applyFont="1" applyBorder="1" applyAlignment="1" applyProtection="1">
      <alignment horizontal="left" vertical="center"/>
    </xf>
    <xf numFmtId="0" fontId="12" fillId="4" borderId="22" xfId="4" applyFont="1" applyBorder="1" applyAlignment="1" applyProtection="1">
      <alignment horizontal="left" vertic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8" fillId="6" borderId="152" xfId="0" applyFont="1" applyFill="1" applyBorder="1" applyAlignment="1">
      <alignment horizontal="center" vertical="center"/>
    </xf>
    <xf numFmtId="0" fontId="8" fillId="6" borderId="6" xfId="0" applyFont="1" applyFill="1" applyBorder="1" applyAlignment="1">
      <alignment horizontal="center" vertical="center"/>
    </xf>
    <xf numFmtId="0" fontId="8" fillId="6" borderId="7" xfId="0" applyFont="1" applyFill="1" applyBorder="1" applyAlignment="1">
      <alignment horizontal="center" vertical="center"/>
    </xf>
    <xf numFmtId="0" fontId="10" fillId="0" borderId="21" xfId="7" applyBorder="1" applyAlignment="1" applyProtection="1">
      <protection locked="0"/>
    </xf>
    <xf numFmtId="0" fontId="10" fillId="0" borderId="22" xfId="7" applyBorder="1" applyAlignment="1" applyProtection="1">
      <protection locked="0"/>
    </xf>
    <xf numFmtId="0" fontId="12" fillId="6" borderId="21" xfId="0" applyFont="1" applyFill="1" applyBorder="1" applyAlignment="1" applyProtection="1">
      <alignment horizontal="left"/>
    </xf>
    <xf numFmtId="0" fontId="12" fillId="6" borderId="22" xfId="0" applyFont="1" applyFill="1" applyBorder="1" applyAlignment="1" applyProtection="1">
      <alignment horizontal="left"/>
    </xf>
    <xf numFmtId="0" fontId="6" fillId="0" borderId="125" xfId="5" applyFont="1" applyBorder="1" applyAlignment="1" applyProtection="1">
      <alignment horizontal="left"/>
    </xf>
    <xf numFmtId="0" fontId="6" fillId="0" borderId="121" xfId="5" applyFont="1" applyBorder="1" applyAlignment="1" applyProtection="1">
      <alignment horizontal="left"/>
    </xf>
    <xf numFmtId="0" fontId="6" fillId="0" borderId="127" xfId="5" applyFont="1" applyBorder="1" applyAlignment="1" applyProtection="1">
      <alignment horizontal="left"/>
    </xf>
    <xf numFmtId="0" fontId="6" fillId="0" borderId="128" xfId="5" applyFont="1" applyBorder="1" applyAlignment="1" applyProtection="1">
      <alignment horizontal="left"/>
    </xf>
    <xf numFmtId="0" fontId="12" fillId="14" borderId="18" xfId="4" applyFont="1" applyFill="1" applyBorder="1" applyAlignment="1" applyProtection="1">
      <alignment horizontal="left" vertical="center" wrapText="1"/>
    </xf>
    <xf numFmtId="0" fontId="12" fillId="14" borderId="19" xfId="4" applyFont="1" applyFill="1" applyBorder="1" applyAlignment="1" applyProtection="1">
      <alignment horizontal="left" vertical="center" wrapText="1"/>
    </xf>
    <xf numFmtId="0" fontId="12" fillId="14" borderId="20" xfId="4" applyFont="1" applyFill="1" applyBorder="1" applyAlignment="1" applyProtection="1">
      <alignment horizontal="left" vertical="center" wrapText="1"/>
    </xf>
    <xf numFmtId="0" fontId="12" fillId="14" borderId="10" xfId="4" applyFont="1" applyFill="1" applyBorder="1" applyAlignment="1" applyProtection="1">
      <alignment horizontal="left" vertical="center" wrapText="1"/>
    </xf>
    <xf numFmtId="0" fontId="12" fillId="14" borderId="0" xfId="4" applyFont="1" applyFill="1" applyBorder="1" applyAlignment="1" applyProtection="1">
      <alignment horizontal="left" vertical="center" wrapText="1"/>
    </xf>
    <xf numFmtId="0" fontId="12" fillId="14" borderId="11" xfId="4" applyFont="1" applyFill="1" applyBorder="1" applyAlignment="1" applyProtection="1">
      <alignment horizontal="left" vertical="center" wrapText="1"/>
    </xf>
    <xf numFmtId="0" fontId="12" fillId="14" borderId="12" xfId="4" applyFont="1" applyFill="1" applyBorder="1" applyAlignment="1" applyProtection="1">
      <alignment horizontal="left" vertical="center" wrapText="1"/>
    </xf>
    <xf numFmtId="0" fontId="12" fillId="14" borderId="59" xfId="4" applyFont="1" applyFill="1" applyBorder="1" applyAlignment="1" applyProtection="1">
      <alignment horizontal="left" vertical="center" wrapText="1"/>
    </xf>
    <xf numFmtId="0" fontId="12" fillId="14" borderId="13" xfId="4" applyFont="1" applyFill="1" applyBorder="1" applyAlignment="1" applyProtection="1">
      <alignment horizontal="left" vertical="center" wrapText="1"/>
    </xf>
    <xf numFmtId="0" fontId="8" fillId="0" borderId="63" xfId="5" applyFont="1" applyBorder="1" applyAlignment="1" applyProtection="1">
      <alignment horizontal="center"/>
    </xf>
    <xf numFmtId="0" fontId="8" fillId="0" borderId="3" xfId="5" applyFont="1" applyBorder="1" applyAlignment="1" applyProtection="1">
      <alignment horizontal="center"/>
    </xf>
    <xf numFmtId="0" fontId="6" fillId="0" borderId="123" xfId="5" applyFont="1" applyBorder="1" applyAlignment="1" applyProtection="1">
      <alignment horizontal="left"/>
    </xf>
    <xf numFmtId="0" fontId="6" fillId="0" borderId="122" xfId="5" applyFont="1" applyBorder="1" applyAlignment="1" applyProtection="1">
      <alignment horizontal="left"/>
    </xf>
    <xf numFmtId="0" fontId="15" fillId="6" borderId="21" xfId="0" applyFont="1" applyFill="1" applyBorder="1" applyAlignment="1" applyProtection="1">
      <alignment horizontal="left" vertical="center" wrapText="1"/>
    </xf>
    <xf numFmtId="0" fontId="15" fillId="6" borderId="62" xfId="0" applyFont="1" applyFill="1" applyBorder="1" applyAlignment="1" applyProtection="1">
      <alignment horizontal="left" vertical="center" wrapText="1"/>
    </xf>
    <xf numFmtId="0" fontId="15" fillId="6" borderId="22" xfId="0" applyFont="1" applyFill="1" applyBorder="1" applyAlignment="1" applyProtection="1">
      <alignment horizontal="left" vertical="center" wrapText="1"/>
    </xf>
    <xf numFmtId="49" fontId="6" fillId="11" borderId="10" xfId="0" applyNumberFormat="1" applyFont="1" applyFill="1" applyBorder="1" applyAlignment="1" applyProtection="1">
      <alignment horizontal="left" vertical="top" wrapText="1"/>
      <protection locked="0"/>
    </xf>
    <xf numFmtId="49" fontId="6" fillId="11" borderId="0" xfId="0" applyNumberFormat="1" applyFont="1" applyFill="1" applyBorder="1" applyAlignment="1" applyProtection="1">
      <alignment horizontal="left" vertical="top" wrapText="1"/>
      <protection locked="0"/>
    </xf>
    <xf numFmtId="49" fontId="6" fillId="11" borderId="11" xfId="0" applyNumberFormat="1" applyFont="1" applyFill="1" applyBorder="1" applyAlignment="1" applyProtection="1">
      <alignment horizontal="left" vertical="top" wrapText="1"/>
      <protection locked="0"/>
    </xf>
    <xf numFmtId="49" fontId="6" fillId="11" borderId="12" xfId="0" applyNumberFormat="1" applyFont="1" applyFill="1" applyBorder="1" applyAlignment="1" applyProtection="1">
      <alignment horizontal="left" vertical="top" wrapText="1"/>
      <protection locked="0"/>
    </xf>
    <xf numFmtId="49" fontId="6" fillId="11" borderId="59" xfId="0" applyNumberFormat="1" applyFont="1" applyFill="1" applyBorder="1" applyAlignment="1" applyProtection="1">
      <alignment horizontal="left" vertical="top" wrapText="1"/>
      <protection locked="0"/>
    </xf>
    <xf numFmtId="49" fontId="6" fillId="11" borderId="13" xfId="0" applyNumberFormat="1" applyFont="1" applyFill="1" applyBorder="1" applyAlignment="1" applyProtection="1">
      <alignment horizontal="left" vertical="top" wrapText="1"/>
      <protection locked="0"/>
    </xf>
    <xf numFmtId="0" fontId="8" fillId="6" borderId="21" xfId="0" applyFont="1" applyFill="1" applyBorder="1" applyAlignment="1" applyProtection="1">
      <alignment horizontal="left" vertical="top"/>
    </xf>
    <xf numFmtId="0" fontId="8" fillId="6" borderId="62" xfId="0" applyFont="1" applyFill="1" applyBorder="1" applyAlignment="1" applyProtection="1">
      <alignment horizontal="left" vertical="top"/>
    </xf>
    <xf numFmtId="0" fontId="8" fillId="6" borderId="22" xfId="0" applyFont="1" applyFill="1" applyBorder="1" applyAlignment="1" applyProtection="1">
      <alignment horizontal="left" vertical="top"/>
    </xf>
    <xf numFmtId="0" fontId="8" fillId="0" borderId="64" xfId="5" applyFont="1" applyFill="1" applyBorder="1" applyAlignment="1" applyProtection="1">
      <alignment horizontal="center" vertical="center" wrapText="1"/>
    </xf>
    <xf numFmtId="0" fontId="8" fillId="0" borderId="27" xfId="5" applyFont="1" applyFill="1" applyBorder="1" applyAlignment="1" applyProtection="1">
      <alignment horizontal="center" vertical="center" wrapText="1"/>
    </xf>
    <xf numFmtId="0" fontId="12" fillId="4" borderId="62" xfId="4" applyFont="1" applyBorder="1" applyAlignment="1" applyProtection="1">
      <alignment horizontal="left" vertical="center"/>
    </xf>
    <xf numFmtId="0" fontId="12" fillId="4" borderId="21" xfId="4" applyFont="1" applyBorder="1" applyAlignment="1" applyProtection="1">
      <alignment horizontal="left" vertical="top"/>
    </xf>
    <xf numFmtId="0" fontId="12" fillId="4" borderId="62" xfId="4" applyFont="1" applyBorder="1" applyAlignment="1" applyProtection="1">
      <alignment horizontal="left" vertical="top"/>
    </xf>
    <xf numFmtId="0" fontId="12" fillId="4" borderId="22" xfId="4" applyFont="1" applyBorder="1" applyAlignment="1" applyProtection="1">
      <alignment horizontal="left" vertical="top"/>
    </xf>
    <xf numFmtId="49" fontId="6" fillId="11" borderId="10" xfId="5" applyNumberFormat="1" applyFont="1" applyFill="1" applyBorder="1" applyAlignment="1" applyProtection="1">
      <alignment horizontal="left" vertical="top" wrapText="1"/>
      <protection locked="0"/>
    </xf>
    <xf numFmtId="49" fontId="6" fillId="11" borderId="0" xfId="5" applyNumberFormat="1" applyFont="1" applyFill="1" applyBorder="1" applyAlignment="1" applyProtection="1">
      <alignment horizontal="left" vertical="top" wrapText="1"/>
      <protection locked="0"/>
    </xf>
    <xf numFmtId="49" fontId="6" fillId="11" borderId="11" xfId="5" applyNumberFormat="1" applyFont="1" applyFill="1" applyBorder="1" applyAlignment="1" applyProtection="1">
      <alignment horizontal="left" vertical="top" wrapText="1"/>
      <protection locked="0"/>
    </xf>
    <xf numFmtId="49" fontId="6" fillId="11" borderId="12" xfId="5" applyNumberFormat="1" applyFont="1" applyFill="1" applyBorder="1" applyAlignment="1" applyProtection="1">
      <alignment horizontal="left" vertical="top" wrapText="1"/>
      <protection locked="0"/>
    </xf>
    <xf numFmtId="49" fontId="6" fillId="11" borderId="59" xfId="5" applyNumberFormat="1" applyFont="1" applyFill="1" applyBorder="1" applyAlignment="1" applyProtection="1">
      <alignment horizontal="left" vertical="top" wrapText="1"/>
      <protection locked="0"/>
    </xf>
    <xf numFmtId="49" fontId="6" fillId="11" borderId="13" xfId="5" applyNumberFormat="1" applyFont="1" applyFill="1" applyBorder="1" applyAlignment="1" applyProtection="1">
      <alignment horizontal="left" vertical="top" wrapText="1"/>
      <protection locked="0"/>
    </xf>
    <xf numFmtId="0" fontId="8" fillId="0" borderId="3" xfId="5" applyFont="1" applyBorder="1" applyAlignment="1" applyProtection="1">
      <alignment horizontal="center" vertical="center"/>
    </xf>
    <xf numFmtId="0" fontId="8" fillId="0" borderId="63" xfId="5" applyFont="1" applyFill="1" applyBorder="1" applyAlignment="1" applyProtection="1">
      <alignment horizontal="center" vertical="center"/>
    </xf>
    <xf numFmtId="0" fontId="8" fillId="0" borderId="25" xfId="5" applyFont="1" applyFill="1" applyBorder="1" applyAlignment="1" applyProtection="1">
      <alignment horizontal="center" vertical="center"/>
    </xf>
    <xf numFmtId="0" fontId="8" fillId="0" borderId="3" xfId="5" applyFont="1" applyFill="1" applyBorder="1" applyAlignment="1" applyProtection="1">
      <alignment horizontal="center" vertical="center"/>
    </xf>
    <xf numFmtId="0" fontId="8" fillId="0" borderId="26" xfId="5" applyFont="1" applyFill="1" applyBorder="1" applyAlignment="1" applyProtection="1">
      <alignment horizontal="center" vertical="center"/>
    </xf>
    <xf numFmtId="0" fontId="8" fillId="0" borderId="3" xfId="5" applyFont="1" applyFill="1" applyBorder="1" applyAlignment="1" applyProtection="1">
      <alignment horizontal="center" vertical="center" wrapText="1"/>
    </xf>
    <xf numFmtId="0" fontId="8" fillId="0" borderId="26" xfId="5" applyFont="1" applyFill="1" applyBorder="1" applyAlignment="1" applyProtection="1">
      <alignment horizontal="center" vertical="center" wrapText="1"/>
    </xf>
    <xf numFmtId="0" fontId="8" fillId="0" borderId="26" xfId="0" applyFont="1" applyBorder="1" applyAlignment="1">
      <alignment horizontal="center" vertical="center"/>
    </xf>
    <xf numFmtId="0" fontId="8" fillId="0" borderId="3" xfId="5" applyFont="1" applyBorder="1" applyAlignment="1" applyProtection="1">
      <alignment horizontal="center" vertical="center" wrapText="1"/>
    </xf>
    <xf numFmtId="0" fontId="8" fillId="0" borderId="26" xfId="5" applyFont="1" applyBorder="1" applyAlignment="1" applyProtection="1">
      <alignment horizontal="center" vertical="center" wrapText="1"/>
    </xf>
    <xf numFmtId="0" fontId="7" fillId="0" borderId="128" xfId="5" applyFont="1" applyBorder="1" applyAlignment="1" applyProtection="1">
      <alignment horizontal="left" wrapText="1"/>
    </xf>
    <xf numFmtId="0" fontId="7" fillId="0" borderId="129" xfId="5" applyFont="1" applyBorder="1" applyAlignment="1" applyProtection="1">
      <alignment horizontal="left" wrapText="1"/>
    </xf>
    <xf numFmtId="0" fontId="7" fillId="0" borderId="122" xfId="5" applyFont="1" applyBorder="1" applyAlignment="1" applyProtection="1">
      <alignment horizontal="left" wrapText="1"/>
    </xf>
    <xf numFmtId="0" fontId="7" fillId="0" borderId="124" xfId="5" applyFont="1" applyBorder="1" applyAlignment="1" applyProtection="1">
      <alignment horizontal="left" wrapText="1"/>
    </xf>
    <xf numFmtId="0" fontId="7" fillId="0" borderId="121" xfId="5" applyFont="1" applyBorder="1" applyAlignment="1" applyProtection="1">
      <alignment horizontal="left" wrapText="1"/>
    </xf>
    <xf numFmtId="0" fontId="7" fillId="0" borderId="126" xfId="5" applyFont="1" applyBorder="1" applyAlignment="1" applyProtection="1">
      <alignment horizontal="left" wrapText="1"/>
    </xf>
    <xf numFmtId="14" fontId="7" fillId="0" borderId="121" xfId="5" applyNumberFormat="1" applyFont="1" applyBorder="1" applyAlignment="1" applyProtection="1">
      <alignment horizontal="left" wrapText="1"/>
    </xf>
    <xf numFmtId="14" fontId="7" fillId="0" borderId="126" xfId="5" applyNumberFormat="1" applyFont="1" applyBorder="1" applyAlignment="1" applyProtection="1">
      <alignment horizontal="left" wrapText="1"/>
    </xf>
    <xf numFmtId="0" fontId="15" fillId="20" borderId="21" xfId="0" applyFont="1" applyFill="1" applyBorder="1" applyAlignment="1">
      <alignment horizontal="left"/>
    </xf>
    <xf numFmtId="0" fontId="15" fillId="20" borderId="62" xfId="0" applyFont="1" applyFill="1" applyBorder="1" applyAlignment="1">
      <alignment horizontal="left"/>
    </xf>
    <xf numFmtId="0" fontId="15" fillId="20" borderId="22" xfId="0" applyFont="1" applyFill="1" applyBorder="1" applyAlignment="1">
      <alignment horizontal="left"/>
    </xf>
    <xf numFmtId="0" fontId="39" fillId="0" borderId="0" xfId="7" applyFont="1" applyBorder="1" applyAlignment="1" applyProtection="1">
      <alignment horizontal="left"/>
      <protection locked="0"/>
    </xf>
    <xf numFmtId="0" fontId="12" fillId="4" borderId="130" xfId="4" applyFont="1" applyBorder="1" applyAlignment="1">
      <alignment horizontal="left" vertical="center"/>
    </xf>
    <xf numFmtId="0" fontId="12" fillId="4" borderId="131" xfId="4" applyFont="1" applyBorder="1" applyAlignment="1">
      <alignment horizontal="left" vertical="center"/>
    </xf>
    <xf numFmtId="0" fontId="12" fillId="4" borderId="132" xfId="4" applyFont="1" applyBorder="1" applyAlignment="1">
      <alignment horizontal="left" vertical="center"/>
    </xf>
    <xf numFmtId="0" fontId="6" fillId="0" borderId="120" xfId="0" applyFont="1" applyFill="1" applyBorder="1" applyAlignment="1" applyProtection="1">
      <alignment horizontal="center" vertical="center"/>
    </xf>
    <xf numFmtId="0" fontId="6" fillId="0" borderId="122" xfId="0" applyFont="1" applyFill="1" applyBorder="1" applyAlignment="1" applyProtection="1">
      <alignment horizontal="center" vertical="center"/>
    </xf>
    <xf numFmtId="0" fontId="15" fillId="21" borderId="21" xfId="0" applyFont="1" applyFill="1" applyBorder="1" applyAlignment="1" applyProtection="1">
      <alignment horizontal="left" vertical="center"/>
    </xf>
    <xf numFmtId="0" fontId="15" fillId="21" borderId="62" xfId="0" applyFont="1" applyFill="1" applyBorder="1" applyAlignment="1" applyProtection="1">
      <alignment horizontal="left" vertical="center"/>
    </xf>
    <xf numFmtId="0" fontId="15" fillId="21" borderId="22" xfId="0" applyFont="1" applyFill="1" applyBorder="1" applyAlignment="1" applyProtection="1">
      <alignment horizontal="left" vertical="center"/>
    </xf>
    <xf numFmtId="0" fontId="6" fillId="0" borderId="149" xfId="0" applyFont="1" applyFill="1" applyBorder="1" applyAlignment="1" applyProtection="1">
      <alignment horizontal="left" vertical="center"/>
    </xf>
    <xf numFmtId="0" fontId="6" fillId="0" borderId="150" xfId="0" applyFont="1" applyFill="1" applyBorder="1" applyAlignment="1" applyProtection="1">
      <alignment horizontal="left" vertical="center"/>
    </xf>
    <xf numFmtId="0" fontId="6" fillId="0" borderId="151" xfId="0" applyFont="1" applyFill="1" applyBorder="1" applyAlignment="1" applyProtection="1">
      <alignment horizontal="left" vertical="center"/>
    </xf>
    <xf numFmtId="0" fontId="8" fillId="14" borderId="90" xfId="0" applyFont="1" applyFill="1" applyBorder="1" applyAlignment="1" applyProtection="1">
      <alignment horizontal="left" vertical="center"/>
    </xf>
    <xf numFmtId="0" fontId="8" fillId="14" borderId="91" xfId="0" applyFont="1" applyFill="1" applyBorder="1" applyAlignment="1" applyProtection="1">
      <alignment horizontal="left" vertical="center"/>
    </xf>
    <xf numFmtId="0" fontId="8" fillId="14" borderId="89" xfId="0" applyFont="1" applyFill="1" applyBorder="1" applyAlignment="1" applyProtection="1">
      <alignment horizontal="left" vertical="center"/>
    </xf>
    <xf numFmtId="0" fontId="6" fillId="0" borderId="118" xfId="0" applyFont="1" applyFill="1" applyBorder="1" applyAlignment="1" applyProtection="1">
      <alignment horizontal="center" vertical="center"/>
    </xf>
    <xf numFmtId="0" fontId="6" fillId="0" borderId="119" xfId="0" applyFont="1" applyFill="1" applyBorder="1" applyAlignment="1" applyProtection="1">
      <alignment horizontal="center" vertical="center"/>
    </xf>
    <xf numFmtId="0" fontId="6" fillId="0" borderId="120" xfId="0" applyFont="1" applyFill="1" applyBorder="1" applyAlignment="1" applyProtection="1">
      <alignment horizontal="center" vertical="center" wrapText="1"/>
    </xf>
    <xf numFmtId="0" fontId="6" fillId="0" borderId="122" xfId="0" applyFont="1" applyFill="1" applyBorder="1" applyAlignment="1" applyProtection="1">
      <alignment horizontal="center" vertical="center" wrapText="1"/>
    </xf>
    <xf numFmtId="0" fontId="6" fillId="0" borderId="149" xfId="0" applyFont="1" applyFill="1" applyBorder="1" applyAlignment="1" applyProtection="1">
      <alignment horizontal="left" vertical="center" wrapText="1"/>
    </xf>
    <xf numFmtId="0" fontId="6" fillId="0" borderId="150" xfId="0" applyFont="1" applyFill="1" applyBorder="1" applyAlignment="1" applyProtection="1">
      <alignment horizontal="left" vertical="center" wrapText="1"/>
    </xf>
    <xf numFmtId="0" fontId="6" fillId="0" borderId="151" xfId="0" applyFont="1" applyFill="1" applyBorder="1" applyAlignment="1" applyProtection="1">
      <alignment horizontal="left" vertical="center" wrapText="1"/>
    </xf>
    <xf numFmtId="0" fontId="6" fillId="0" borderId="14" xfId="0" applyFont="1" applyFill="1" applyBorder="1" applyAlignment="1" applyProtection="1">
      <alignment horizontal="left" vertical="center" wrapText="1"/>
    </xf>
    <xf numFmtId="0" fontId="6" fillId="0" borderId="60" xfId="0" applyFont="1" applyFill="1" applyBorder="1" applyAlignment="1" applyProtection="1">
      <alignment horizontal="left" vertical="center" wrapText="1"/>
    </xf>
    <xf numFmtId="0" fontId="6" fillId="0" borderId="58" xfId="0" applyFont="1" applyFill="1" applyBorder="1" applyAlignment="1" applyProtection="1">
      <alignment horizontal="left" vertical="center" wrapText="1"/>
    </xf>
    <xf numFmtId="0" fontId="6" fillId="0" borderId="121" xfId="0" applyFont="1" applyFill="1" applyBorder="1" applyAlignment="1" applyProtection="1">
      <alignment horizontal="center" vertical="center"/>
    </xf>
    <xf numFmtId="0" fontId="6" fillId="0" borderId="156" xfId="0" applyFont="1" applyFill="1" applyBorder="1" applyAlignment="1" applyProtection="1">
      <alignment horizontal="left" vertical="center" wrapText="1"/>
    </xf>
    <xf numFmtId="0" fontId="6" fillId="0" borderId="157" xfId="0" applyFont="1" applyFill="1" applyBorder="1" applyAlignment="1" applyProtection="1">
      <alignment horizontal="left" vertical="center" wrapText="1"/>
    </xf>
    <xf numFmtId="0" fontId="6" fillId="0" borderId="158" xfId="0" applyFont="1" applyFill="1" applyBorder="1" applyAlignment="1" applyProtection="1">
      <alignment horizontal="left" vertical="center" wrapText="1"/>
    </xf>
    <xf numFmtId="0" fontId="6" fillId="0" borderId="149" xfId="0" applyFont="1" applyBorder="1" applyAlignment="1" applyProtection="1">
      <alignment horizontal="left" vertical="center" wrapText="1"/>
    </xf>
    <xf numFmtId="0" fontId="6" fillId="0" borderId="150" xfId="0" applyFont="1" applyBorder="1" applyAlignment="1" applyProtection="1">
      <alignment horizontal="left" vertical="center" wrapText="1"/>
    </xf>
    <xf numFmtId="0" fontId="6" fillId="0" borderId="151" xfId="0" applyFont="1" applyBorder="1" applyAlignment="1" applyProtection="1">
      <alignment horizontal="left" vertical="center" wrapText="1"/>
    </xf>
    <xf numFmtId="0" fontId="6" fillId="0" borderId="159" xfId="0" applyFont="1" applyFill="1" applyBorder="1" applyAlignment="1" applyProtection="1">
      <alignment horizontal="center" vertical="center"/>
    </xf>
    <xf numFmtId="0" fontId="8" fillId="14" borderId="90" xfId="0" applyFont="1" applyFill="1" applyBorder="1" applyAlignment="1" applyProtection="1">
      <alignment horizontal="left" vertical="center" wrapText="1"/>
    </xf>
    <xf numFmtId="0" fontId="8" fillId="6" borderId="21" xfId="5" applyFont="1" applyFill="1" applyBorder="1" applyAlignment="1" applyProtection="1">
      <alignment horizontal="left" vertical="center"/>
    </xf>
    <xf numFmtId="0" fontId="8" fillId="6" borderId="62" xfId="5" applyFont="1" applyFill="1" applyBorder="1" applyAlignment="1" applyProtection="1">
      <alignment horizontal="left" vertical="center"/>
    </xf>
    <xf numFmtId="0" fontId="8" fillId="6" borderId="22" xfId="5" applyFont="1" applyFill="1" applyBorder="1" applyAlignment="1" applyProtection="1">
      <alignment horizontal="left" vertical="center"/>
    </xf>
    <xf numFmtId="0" fontId="6" fillId="0" borderId="49" xfId="0" applyFont="1" applyBorder="1" applyAlignment="1">
      <alignment horizontal="left" vertical="center" wrapText="1"/>
    </xf>
    <xf numFmtId="0" fontId="6" fillId="0" borderId="42" xfId="0" applyFont="1" applyBorder="1" applyAlignment="1">
      <alignment horizontal="left" vertical="center" wrapText="1"/>
    </xf>
    <xf numFmtId="0" fontId="6" fillId="0" borderId="48" xfId="0" applyFont="1" applyBorder="1" applyAlignment="1">
      <alignment horizontal="left" vertical="center" wrapText="1"/>
    </xf>
    <xf numFmtId="0" fontId="6" fillId="0" borderId="23" xfId="0" applyFont="1" applyBorder="1" applyAlignment="1">
      <alignment horizontal="left" vertical="center" wrapText="1"/>
    </xf>
    <xf numFmtId="0" fontId="6" fillId="0" borderId="1" xfId="0" applyFont="1" applyBorder="1" applyAlignment="1">
      <alignment horizontal="left" vertical="center" wrapText="1"/>
    </xf>
    <xf numFmtId="0" fontId="6" fillId="0" borderId="24" xfId="0" applyFont="1" applyBorder="1" applyAlignment="1">
      <alignment horizontal="left" vertical="center" wrapText="1"/>
    </xf>
    <xf numFmtId="0" fontId="30" fillId="12" borderId="104" xfId="0" applyFont="1" applyFill="1" applyBorder="1" applyAlignment="1">
      <alignment horizontal="left" vertical="top" wrapText="1"/>
    </xf>
    <xf numFmtId="0" fontId="30" fillId="12" borderId="102" xfId="0" applyFont="1" applyFill="1" applyBorder="1" applyAlignment="1">
      <alignment horizontal="left" vertical="top" wrapText="1"/>
    </xf>
    <xf numFmtId="0" fontId="6" fillId="0" borderId="61" xfId="5" applyFont="1" applyFill="1" applyBorder="1" applyAlignment="1" applyProtection="1">
      <alignment horizontal="left" vertical="center" wrapText="1"/>
    </xf>
    <xf numFmtId="0" fontId="6" fillId="0" borderId="95" xfId="5" applyFont="1" applyFill="1" applyBorder="1" applyAlignment="1" applyProtection="1">
      <alignment horizontal="left" vertical="center" wrapText="1"/>
    </xf>
    <xf numFmtId="0" fontId="6" fillId="0" borderId="28" xfId="5" applyFont="1" applyFill="1" applyBorder="1" applyAlignment="1" applyProtection="1">
      <alignment horizontal="left" vertical="center" wrapText="1"/>
    </xf>
    <xf numFmtId="0" fontId="8" fillId="6" borderId="21" xfId="0" applyFont="1" applyFill="1" applyBorder="1" applyAlignment="1">
      <alignment horizontal="left" vertical="center"/>
    </xf>
    <xf numFmtId="0" fontId="8" fillId="6" borderId="62" xfId="0" applyFont="1" applyFill="1" applyBorder="1" applyAlignment="1">
      <alignment horizontal="left" vertical="center"/>
    </xf>
    <xf numFmtId="0" fontId="8" fillId="6" borderId="22" xfId="0" applyFont="1" applyFill="1" applyBorder="1" applyAlignment="1">
      <alignment horizontal="left" vertical="center"/>
    </xf>
    <xf numFmtId="0" fontId="7" fillId="0" borderId="128" xfId="5" applyFont="1" applyBorder="1" applyAlignment="1" applyProtection="1">
      <alignment horizontal="left" vertical="center" wrapText="1"/>
    </xf>
    <xf numFmtId="0" fontId="7" fillId="0" borderId="129" xfId="5" applyFont="1" applyBorder="1" applyAlignment="1" applyProtection="1">
      <alignment horizontal="left" vertical="center" wrapText="1"/>
    </xf>
    <xf numFmtId="0" fontId="6" fillId="0" borderId="143" xfId="5" applyFont="1" applyFill="1" applyBorder="1" applyAlignment="1" applyProtection="1">
      <alignment horizontal="left" vertical="center"/>
    </xf>
    <xf numFmtId="0" fontId="6" fillId="0" borderId="144" xfId="5" applyFont="1" applyFill="1" applyBorder="1" applyAlignment="1" applyProtection="1">
      <alignment horizontal="left" vertical="center"/>
    </xf>
    <xf numFmtId="0" fontId="12" fillId="4" borderId="130" xfId="4" applyFont="1" applyBorder="1" applyAlignment="1" applyProtection="1">
      <alignment horizontal="left" vertical="center"/>
    </xf>
    <xf numFmtId="0" fontId="12" fillId="4" borderId="131" xfId="4" applyFont="1" applyBorder="1" applyAlignment="1" applyProtection="1">
      <alignment horizontal="left" vertical="center"/>
    </xf>
    <xf numFmtId="0" fontId="12" fillId="4" borderId="132" xfId="4" applyFont="1" applyBorder="1" applyAlignment="1" applyProtection="1">
      <alignment horizontal="left" vertical="center"/>
    </xf>
    <xf numFmtId="0" fontId="7" fillId="0" borderId="122" xfId="5" applyFont="1" applyBorder="1" applyAlignment="1" applyProtection="1">
      <alignment horizontal="left" vertical="center" wrapText="1"/>
    </xf>
    <xf numFmtId="0" fontId="7" fillId="0" borderId="124" xfId="5" applyFont="1" applyBorder="1" applyAlignment="1" applyProtection="1">
      <alignment horizontal="left" vertical="center" wrapText="1"/>
    </xf>
    <xf numFmtId="0" fontId="7" fillId="0" borderId="121" xfId="5" applyFont="1" applyBorder="1" applyAlignment="1" applyProtection="1">
      <alignment horizontal="left" vertical="center" wrapText="1"/>
    </xf>
    <xf numFmtId="0" fontId="7" fillId="0" borderId="126" xfId="5" applyFont="1" applyBorder="1" applyAlignment="1" applyProtection="1">
      <alignment horizontal="left" vertical="center" wrapText="1"/>
    </xf>
    <xf numFmtId="14" fontId="7" fillId="0" borderId="121" xfId="5" applyNumberFormat="1" applyFont="1" applyBorder="1" applyAlignment="1" applyProtection="1">
      <alignment horizontal="left" vertical="center" wrapText="1"/>
    </xf>
    <xf numFmtId="14" fontId="7" fillId="0" borderId="126" xfId="5" applyNumberFormat="1" applyFont="1" applyBorder="1" applyAlignment="1" applyProtection="1">
      <alignment horizontal="left" vertical="center" wrapText="1"/>
    </xf>
    <xf numFmtId="0" fontId="8" fillId="0" borderId="8" xfId="0" applyNumberFormat="1" applyFont="1" applyFill="1" applyBorder="1" applyAlignment="1">
      <alignment horizontal="center" vertical="center"/>
    </xf>
    <xf numFmtId="0" fontId="8" fillId="0" borderId="9" xfId="0" applyNumberFormat="1" applyFont="1" applyFill="1" applyBorder="1" applyAlignment="1">
      <alignment horizontal="center" vertical="center"/>
    </xf>
    <xf numFmtId="0" fontId="8" fillId="0" borderId="15" xfId="0" applyNumberFormat="1" applyFont="1" applyFill="1" applyBorder="1" applyAlignment="1">
      <alignment horizontal="center" vertical="center"/>
    </xf>
    <xf numFmtId="0" fontId="20" fillId="0" borderId="8" xfId="0" applyNumberFormat="1" applyFont="1" applyBorder="1" applyAlignment="1">
      <alignment horizontal="center" vertical="center"/>
    </xf>
    <xf numFmtId="0" fontId="20" fillId="0" borderId="47" xfId="0" applyNumberFormat="1" applyFont="1" applyBorder="1" applyAlignment="1">
      <alignment horizontal="center" vertical="center"/>
    </xf>
    <xf numFmtId="0" fontId="20" fillId="0" borderId="9" xfId="0" applyNumberFormat="1" applyFont="1" applyBorder="1" applyAlignment="1">
      <alignment horizontal="center" vertical="center"/>
    </xf>
    <xf numFmtId="0" fontId="20" fillId="0" borderId="113" xfId="0" applyNumberFormat="1" applyFont="1" applyBorder="1" applyAlignment="1">
      <alignment horizontal="center" vertical="center"/>
    </xf>
    <xf numFmtId="0" fontId="15" fillId="6" borderId="21" xfId="0" applyFont="1" applyFill="1" applyBorder="1" applyAlignment="1">
      <alignment horizontal="left"/>
    </xf>
    <xf numFmtId="0" fontId="15" fillId="6" borderId="62" xfId="0" applyFont="1" applyFill="1" applyBorder="1" applyAlignment="1">
      <alignment horizontal="left"/>
    </xf>
    <xf numFmtId="0" fontId="15" fillId="6" borderId="22" xfId="0" applyFont="1" applyFill="1" applyBorder="1" applyAlignment="1">
      <alignment horizontal="left"/>
    </xf>
    <xf numFmtId="0" fontId="20" fillId="0" borderId="8" xfId="0" applyFont="1" applyBorder="1" applyAlignment="1">
      <alignment horizontal="center" vertical="center"/>
    </xf>
    <xf numFmtId="0" fontId="20" fillId="0" borderId="47" xfId="0" applyFont="1" applyBorder="1" applyAlignment="1">
      <alignment horizontal="center" vertical="center"/>
    </xf>
    <xf numFmtId="0" fontId="6" fillId="0" borderId="67" xfId="0" applyFont="1" applyFill="1" applyBorder="1" applyAlignment="1">
      <alignment horizontal="center" vertical="center"/>
    </xf>
    <xf numFmtId="0" fontId="6" fillId="0" borderId="63" xfId="0" applyFont="1" applyFill="1" applyBorder="1" applyAlignment="1">
      <alignment horizontal="center" vertical="center"/>
    </xf>
    <xf numFmtId="0" fontId="6" fillId="0" borderId="81" xfId="0" applyFont="1" applyFill="1" applyBorder="1" applyAlignment="1">
      <alignment horizontal="center" vertical="center"/>
    </xf>
    <xf numFmtId="0" fontId="6" fillId="0" borderId="9"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15" xfId="0" applyFont="1" applyFill="1" applyBorder="1" applyAlignment="1">
      <alignment horizontal="center" vertical="center"/>
    </xf>
    <xf numFmtId="0" fontId="37" fillId="0" borderId="18" xfId="0" applyFont="1" applyBorder="1" applyAlignment="1">
      <alignment horizontal="left" vertical="center" wrapText="1"/>
    </xf>
    <xf numFmtId="0" fontId="37" fillId="0" borderId="19" xfId="0" applyFont="1" applyBorder="1" applyAlignment="1">
      <alignment horizontal="left" vertical="center" wrapText="1"/>
    </xf>
    <xf numFmtId="0" fontId="37" fillId="0" borderId="20" xfId="0" applyFont="1" applyBorder="1" applyAlignment="1">
      <alignment horizontal="left" vertical="center" wrapText="1"/>
    </xf>
    <xf numFmtId="0" fontId="6" fillId="0" borderId="14" xfId="0" applyFont="1" applyFill="1" applyBorder="1" applyAlignment="1">
      <alignment horizontal="center"/>
    </xf>
    <xf numFmtId="0" fontId="6" fillId="0" borderId="4" xfId="0" applyFont="1" applyFill="1" applyBorder="1" applyAlignment="1">
      <alignment horizontal="center"/>
    </xf>
    <xf numFmtId="0" fontId="6" fillId="0" borderId="57" xfId="0" applyFont="1" applyBorder="1" applyAlignment="1">
      <alignment horizontal="center"/>
    </xf>
    <xf numFmtId="0" fontId="6" fillId="0" borderId="4" xfId="0" applyFont="1" applyBorder="1" applyAlignment="1">
      <alignment horizontal="center"/>
    </xf>
    <xf numFmtId="0" fontId="6" fillId="0" borderId="58" xfId="0" applyFont="1" applyBorder="1" applyAlignment="1">
      <alignment horizontal="center"/>
    </xf>
    <xf numFmtId="0" fontId="20" fillId="0" borderId="68" xfId="0" applyFont="1" applyBorder="1" applyAlignment="1">
      <alignment horizontal="center" vertical="center"/>
    </xf>
    <xf numFmtId="0" fontId="20" fillId="0" borderId="113" xfId="0" applyFont="1" applyBorder="1" applyAlignment="1">
      <alignment horizontal="center" vertical="center"/>
    </xf>
    <xf numFmtId="0" fontId="6" fillId="0" borderId="144" xfId="0" applyFont="1" applyFill="1" applyBorder="1" applyAlignment="1">
      <alignment horizontal="left"/>
    </xf>
    <xf numFmtId="0" fontId="6" fillId="0" borderId="140" xfId="0" applyFont="1" applyFill="1" applyBorder="1" applyAlignment="1">
      <alignment horizontal="left"/>
    </xf>
    <xf numFmtId="0" fontId="11" fillId="0" borderId="144" xfId="0" applyFont="1" applyBorder="1" applyAlignment="1">
      <alignment horizontal="left"/>
    </xf>
    <xf numFmtId="0" fontId="11" fillId="0" borderId="140" xfId="0" applyFont="1" applyBorder="1" applyAlignment="1">
      <alignment horizontal="left"/>
    </xf>
    <xf numFmtId="0" fontId="8" fillId="21" borderId="21" xfId="0" applyFont="1" applyFill="1" applyBorder="1" applyAlignment="1" applyProtection="1">
      <alignment horizontal="left" vertical="center"/>
    </xf>
    <xf numFmtId="0" fontId="8" fillId="21" borderId="22" xfId="0" applyFont="1" applyFill="1" applyBorder="1" applyAlignment="1" applyProtection="1">
      <alignment horizontal="left" vertical="center"/>
    </xf>
    <xf numFmtId="0" fontId="6" fillId="0" borderId="54" xfId="0" applyFont="1" applyFill="1" applyBorder="1" applyAlignment="1">
      <alignment horizontal="center" vertical="center"/>
    </xf>
    <xf numFmtId="0" fontId="6" fillId="0" borderId="68" xfId="0" applyFont="1" applyFill="1" applyBorder="1" applyAlignment="1">
      <alignment horizontal="center" vertical="center"/>
    </xf>
    <xf numFmtId="0" fontId="8" fillId="21" borderId="62" xfId="0" applyFont="1" applyFill="1" applyBorder="1" applyAlignment="1" applyProtection="1">
      <alignment horizontal="left" vertical="center"/>
    </xf>
    <xf numFmtId="0" fontId="6" fillId="0" borderId="81" xfId="0" applyFont="1" applyBorder="1" applyAlignment="1" applyProtection="1">
      <alignment horizontal="center"/>
    </xf>
    <xf numFmtId="0" fontId="6" fillId="0" borderId="88" xfId="0" applyFont="1" applyBorder="1" applyAlignment="1" applyProtection="1">
      <alignment horizontal="center"/>
    </xf>
    <xf numFmtId="0" fontId="8" fillId="6" borderId="21" xfId="0" applyFont="1" applyFill="1" applyBorder="1" applyAlignment="1" applyProtection="1">
      <alignment horizontal="left"/>
    </xf>
    <xf numFmtId="0" fontId="8" fillId="6" borderId="62" xfId="0" applyFont="1" applyFill="1" applyBorder="1" applyAlignment="1" applyProtection="1">
      <alignment horizontal="left"/>
    </xf>
    <xf numFmtId="0" fontId="8" fillId="6" borderId="22" xfId="0" applyFont="1" applyFill="1" applyBorder="1" applyAlignment="1" applyProtection="1">
      <alignment horizontal="left"/>
    </xf>
    <xf numFmtId="0" fontId="6" fillId="0" borderId="67" xfId="0" applyFont="1" applyBorder="1" applyAlignment="1" applyProtection="1">
      <alignment horizontal="center" vertical="center" wrapText="1"/>
    </xf>
    <xf numFmtId="0" fontId="6" fillId="0" borderId="63" xfId="0" applyFont="1" applyBorder="1" applyAlignment="1" applyProtection="1">
      <alignment horizontal="center" vertical="center" wrapText="1"/>
    </xf>
    <xf numFmtId="0" fontId="6" fillId="0" borderId="137" xfId="0" applyFont="1" applyFill="1" applyBorder="1" applyAlignment="1" applyProtection="1">
      <alignment horizontal="left"/>
    </xf>
    <xf numFmtId="0" fontId="6" fillId="0" borderId="138" xfId="0" applyFont="1" applyFill="1" applyBorder="1" applyAlignment="1" applyProtection="1">
      <alignment horizontal="left"/>
    </xf>
    <xf numFmtId="0" fontId="6" fillId="0" borderId="139" xfId="0" applyFont="1" applyFill="1" applyBorder="1" applyAlignment="1" applyProtection="1">
      <alignment horizontal="left"/>
    </xf>
    <xf numFmtId="0" fontId="6" fillId="0" borderId="12" xfId="0" applyFont="1" applyBorder="1" applyAlignment="1" applyProtection="1">
      <alignment horizontal="left" vertical="center" wrapText="1"/>
    </xf>
    <xf numFmtId="0" fontId="6" fillId="0" borderId="59" xfId="0" applyFont="1" applyBorder="1" applyAlignment="1" applyProtection="1">
      <alignment horizontal="left" vertical="center" wrapText="1"/>
    </xf>
    <xf numFmtId="0" fontId="6" fillId="0" borderId="13" xfId="0" applyFont="1" applyBorder="1" applyAlignment="1" applyProtection="1">
      <alignment horizontal="left" vertical="center" wrapText="1"/>
    </xf>
    <xf numFmtId="0" fontId="6" fillId="0" borderId="0" xfId="0" applyFont="1" applyBorder="1" applyAlignment="1" applyProtection="1">
      <alignment horizontal="center"/>
    </xf>
    <xf numFmtId="0" fontId="6" fillId="0" borderId="134" xfId="0" applyFont="1" applyBorder="1" applyAlignment="1" applyProtection="1">
      <alignment horizontal="center"/>
    </xf>
    <xf numFmtId="0" fontId="6" fillId="0" borderId="91" xfId="0" applyFont="1" applyBorder="1" applyAlignment="1" applyProtection="1">
      <alignment horizontal="center"/>
    </xf>
    <xf numFmtId="0" fontId="15" fillId="6" borderId="21" xfId="0" applyFont="1" applyFill="1" applyBorder="1" applyAlignment="1" applyProtection="1">
      <alignment horizontal="left"/>
    </xf>
    <xf numFmtId="0" fontId="15" fillId="6" borderId="62" xfId="0" applyFont="1" applyFill="1" applyBorder="1" applyAlignment="1" applyProtection="1">
      <alignment horizontal="left"/>
    </xf>
    <xf numFmtId="0" fontId="15" fillId="6" borderId="22" xfId="0" applyFont="1" applyFill="1" applyBorder="1" applyAlignment="1" applyProtection="1">
      <alignment horizontal="left"/>
    </xf>
    <xf numFmtId="0" fontId="8" fillId="14" borderId="105" xfId="0" applyFont="1" applyFill="1" applyBorder="1" applyAlignment="1" applyProtection="1">
      <alignment horizontal="left"/>
    </xf>
    <xf numFmtId="0" fontId="8" fillId="14" borderId="91" xfId="0" applyFont="1" applyFill="1" applyBorder="1" applyAlignment="1" applyProtection="1">
      <alignment horizontal="left"/>
    </xf>
    <xf numFmtId="0" fontId="8" fillId="14" borderId="85" xfId="0" applyFont="1" applyFill="1" applyBorder="1" applyAlignment="1" applyProtection="1">
      <alignment horizontal="left"/>
    </xf>
    <xf numFmtId="0" fontId="8" fillId="14" borderId="84" xfId="0" applyFont="1" applyFill="1" applyBorder="1" applyAlignment="1" applyProtection="1">
      <alignment horizontal="left"/>
    </xf>
    <xf numFmtId="0" fontId="6" fillId="0" borderId="105" xfId="0" applyFont="1" applyBorder="1" applyAlignment="1" applyProtection="1">
      <alignment horizontal="left" vertical="center" wrapText="1"/>
    </xf>
    <xf numFmtId="0" fontId="6" fillId="0" borderId="84" xfId="0" applyFont="1" applyBorder="1" applyAlignment="1" applyProtection="1">
      <alignment horizontal="left" vertical="center" wrapText="1"/>
    </xf>
    <xf numFmtId="0" fontId="6" fillId="0" borderId="85" xfId="0" applyFont="1" applyBorder="1" applyAlignment="1" applyProtection="1">
      <alignment horizontal="left" vertical="center" wrapText="1"/>
    </xf>
    <xf numFmtId="0" fontId="37" fillId="0" borderId="111" xfId="0" applyFont="1" applyBorder="1" applyAlignment="1" applyProtection="1">
      <alignment horizontal="left" vertical="center" wrapText="1"/>
    </xf>
    <xf numFmtId="0" fontId="37" fillId="0" borderId="51" xfId="0" applyFont="1" applyBorder="1" applyAlignment="1" applyProtection="1">
      <alignment horizontal="left" vertical="center" wrapText="1"/>
    </xf>
    <xf numFmtId="0" fontId="37" fillId="0" borderId="52" xfId="0" applyFont="1" applyBorder="1" applyAlignment="1" applyProtection="1">
      <alignment horizontal="left" vertical="center" wrapText="1"/>
    </xf>
    <xf numFmtId="0" fontId="6" fillId="0" borderId="21" xfId="0" applyFont="1" applyBorder="1" applyAlignment="1" applyProtection="1">
      <alignment horizontal="left" vertical="center" wrapText="1"/>
    </xf>
    <xf numFmtId="0" fontId="6" fillId="0" borderId="62" xfId="0" applyFont="1" applyBorder="1" applyAlignment="1" applyProtection="1">
      <alignment horizontal="left" vertical="center" wrapText="1"/>
    </xf>
    <xf numFmtId="0" fontId="6" fillId="0" borderId="22" xfId="0" applyFont="1" applyBorder="1" applyAlignment="1" applyProtection="1">
      <alignment horizontal="left" vertical="center" wrapText="1"/>
    </xf>
    <xf numFmtId="0" fontId="8" fillId="21" borderId="21" xfId="0" applyFont="1" applyFill="1" applyBorder="1" applyAlignment="1" applyProtection="1">
      <alignment horizontal="left" vertical="center" wrapText="1"/>
    </xf>
    <xf numFmtId="0" fontId="8" fillId="21" borderId="62" xfId="0" applyFont="1" applyFill="1" applyBorder="1" applyAlignment="1" applyProtection="1">
      <alignment horizontal="left" vertical="center" wrapText="1"/>
    </xf>
    <xf numFmtId="0" fontId="8" fillId="21" borderId="22" xfId="0" applyFont="1" applyFill="1" applyBorder="1" applyAlignment="1" applyProtection="1">
      <alignment horizontal="left" vertical="center" wrapText="1"/>
    </xf>
    <xf numFmtId="0" fontId="6" fillId="0" borderId="8" xfId="0" applyFont="1" applyFill="1" applyBorder="1" applyAlignment="1" applyProtection="1">
      <alignment horizontal="center" wrapText="1"/>
    </xf>
    <xf numFmtId="0" fontId="6" fillId="0" borderId="9" xfId="0" applyFont="1" applyFill="1" applyBorder="1" applyAlignment="1" applyProtection="1">
      <alignment horizontal="center" wrapText="1"/>
    </xf>
    <xf numFmtId="0" fontId="6" fillId="0" borderId="15" xfId="0" applyFont="1" applyFill="1" applyBorder="1" applyAlignment="1" applyProtection="1">
      <alignment horizontal="center" wrapText="1"/>
    </xf>
    <xf numFmtId="0" fontId="8" fillId="21" borderId="62" xfId="0" applyFont="1" applyFill="1" applyBorder="1" applyAlignment="1" applyProtection="1">
      <alignment horizontal="left"/>
    </xf>
    <xf numFmtId="0" fontId="8" fillId="21" borderId="22" xfId="0" applyFont="1" applyFill="1" applyBorder="1" applyAlignment="1" applyProtection="1">
      <alignment horizontal="left"/>
    </xf>
    <xf numFmtId="0" fontId="11" fillId="0" borderId="5" xfId="0" applyFont="1" applyFill="1" applyBorder="1" applyAlignment="1" applyProtection="1">
      <alignment horizontal="center" vertical="center" wrapText="1"/>
    </xf>
    <xf numFmtId="0" fontId="11" fillId="0" borderId="7" xfId="0" applyFont="1" applyFill="1" applyBorder="1" applyAlignment="1" applyProtection="1">
      <alignment horizontal="center" vertical="center" wrapText="1"/>
    </xf>
    <xf numFmtId="0" fontId="11" fillId="0" borderId="18" xfId="0" applyFont="1" applyFill="1" applyBorder="1" applyAlignment="1" applyProtection="1">
      <alignment horizontal="center" vertical="center" wrapText="1"/>
    </xf>
    <xf numFmtId="0" fontId="11" fillId="0" borderId="12" xfId="0" applyFont="1" applyFill="1" applyBorder="1" applyAlignment="1" applyProtection="1">
      <alignment horizontal="center" vertical="center" wrapText="1"/>
    </xf>
    <xf numFmtId="0" fontId="12" fillId="21" borderId="21" xfId="0" applyFont="1" applyFill="1" applyBorder="1" applyAlignment="1" applyProtection="1">
      <alignment horizontal="left"/>
    </xf>
    <xf numFmtId="0" fontId="12" fillId="21" borderId="62" xfId="0" applyFont="1" applyFill="1" applyBorder="1" applyAlignment="1" applyProtection="1">
      <alignment horizontal="left"/>
    </xf>
    <xf numFmtId="0" fontId="12" fillId="21" borderId="22" xfId="0" applyFont="1" applyFill="1" applyBorder="1" applyAlignment="1" applyProtection="1">
      <alignment horizontal="left"/>
    </xf>
    <xf numFmtId="0" fontId="11" fillId="0" borderId="21" xfId="0" applyFont="1" applyFill="1" applyBorder="1" applyAlignment="1" applyProtection="1">
      <alignment horizontal="left" vertical="center"/>
    </xf>
    <xf numFmtId="0" fontId="11" fillId="0" borderId="62" xfId="0" applyFont="1" applyFill="1" applyBorder="1" applyAlignment="1" applyProtection="1">
      <alignment horizontal="left" vertical="center"/>
    </xf>
    <xf numFmtId="0" fontId="11" fillId="0" borderId="22" xfId="0" applyFont="1" applyFill="1" applyBorder="1" applyAlignment="1" applyProtection="1">
      <alignment horizontal="left" vertical="center"/>
    </xf>
    <xf numFmtId="0" fontId="15" fillId="6" borderId="18" xfId="0" applyFont="1" applyFill="1" applyBorder="1" applyAlignment="1" applyProtection="1">
      <alignment horizontal="left" vertical="center" wrapText="1"/>
    </xf>
    <xf numFmtId="0" fontId="15" fillId="6" borderId="19" xfId="0" applyFont="1" applyFill="1" applyBorder="1" applyAlignment="1" applyProtection="1">
      <alignment horizontal="left" vertical="center" wrapText="1"/>
    </xf>
    <xf numFmtId="0" fontId="12" fillId="6" borderId="62" xfId="3" applyFont="1" applyFill="1" applyBorder="1" applyAlignment="1" applyProtection="1">
      <alignment horizontal="left" vertical="center" wrapText="1"/>
    </xf>
    <xf numFmtId="0" fontId="12" fillId="6" borderId="22" xfId="3" applyFont="1" applyFill="1" applyBorder="1" applyAlignment="1" applyProtection="1">
      <alignment horizontal="left" vertical="center" wrapText="1"/>
    </xf>
    <xf numFmtId="0" fontId="8" fillId="6" borderId="21" xfId="0" applyFont="1" applyFill="1" applyBorder="1" applyAlignment="1" applyProtection="1">
      <alignment horizontal="left" vertical="center" wrapText="1"/>
    </xf>
    <xf numFmtId="0" fontId="8" fillId="6" borderId="62" xfId="0" applyFont="1" applyFill="1" applyBorder="1" applyAlignment="1" applyProtection="1">
      <alignment horizontal="left" vertical="center" wrapText="1"/>
    </xf>
    <xf numFmtId="0" fontId="8" fillId="6" borderId="22" xfId="0" applyFont="1" applyFill="1" applyBorder="1" applyAlignment="1" applyProtection="1">
      <alignment horizontal="left" vertical="center" wrapText="1"/>
    </xf>
    <xf numFmtId="164" fontId="11" fillId="0" borderId="122" xfId="3" applyNumberFormat="1" applyFont="1" applyFill="1" applyBorder="1" applyAlignment="1" applyProtection="1">
      <alignment horizontal="center" vertical="center" wrapText="1"/>
    </xf>
    <xf numFmtId="164" fontId="11" fillId="0" borderId="163" xfId="3" applyNumberFormat="1" applyFont="1" applyFill="1" applyBorder="1" applyAlignment="1" applyProtection="1">
      <alignment horizontal="center" vertical="center" wrapText="1"/>
    </xf>
    <xf numFmtId="164" fontId="11" fillId="0" borderId="124" xfId="3" applyNumberFormat="1" applyFont="1" applyFill="1" applyBorder="1" applyAlignment="1" applyProtection="1">
      <alignment horizontal="center" vertical="center" wrapText="1"/>
    </xf>
    <xf numFmtId="164" fontId="11" fillId="0" borderId="119" xfId="3" applyNumberFormat="1" applyFont="1" applyFill="1" applyBorder="1" applyAlignment="1" applyProtection="1">
      <alignment horizontal="center" vertical="center" wrapText="1"/>
    </xf>
    <xf numFmtId="0" fontId="11" fillId="0" borderId="166" xfId="3" applyFont="1" applyBorder="1" applyAlignment="1" applyProtection="1">
      <alignment horizontal="left" vertical="center"/>
    </xf>
    <xf numFmtId="0" fontId="11" fillId="0" borderId="167" xfId="3" applyFont="1" applyBorder="1" applyAlignment="1" applyProtection="1">
      <alignment horizontal="left" vertical="center"/>
    </xf>
    <xf numFmtId="0" fontId="11" fillId="0" borderId="168" xfId="3" applyFont="1" applyBorder="1" applyAlignment="1" applyProtection="1">
      <alignment horizontal="left" vertical="center"/>
    </xf>
    <xf numFmtId="0" fontId="15" fillId="6" borderId="19" xfId="0" applyFont="1" applyFill="1" applyBorder="1" applyAlignment="1" applyProtection="1">
      <alignment horizontal="left"/>
    </xf>
    <xf numFmtId="0" fontId="6" fillId="11" borderId="18" xfId="0" applyFont="1" applyFill="1" applyBorder="1" applyAlignment="1" applyProtection="1">
      <alignment horizontal="center"/>
      <protection locked="0"/>
    </xf>
    <xf numFmtId="0" fontId="6" fillId="11" borderId="19" xfId="0" applyFont="1" applyFill="1" applyBorder="1" applyAlignment="1" applyProtection="1">
      <alignment horizontal="center"/>
      <protection locked="0"/>
    </xf>
    <xf numFmtId="0" fontId="6" fillId="11" borderId="20" xfId="0" applyFont="1" applyFill="1" applyBorder="1" applyAlignment="1" applyProtection="1">
      <alignment horizontal="center"/>
      <protection locked="0"/>
    </xf>
    <xf numFmtId="0" fontId="6" fillId="11" borderId="10" xfId="0" applyFont="1" applyFill="1" applyBorder="1" applyAlignment="1" applyProtection="1">
      <alignment horizontal="center"/>
      <protection locked="0"/>
    </xf>
    <xf numFmtId="0" fontId="6" fillId="11" borderId="0" xfId="0" applyFont="1" applyFill="1" applyBorder="1" applyAlignment="1" applyProtection="1">
      <alignment horizontal="center"/>
      <protection locked="0"/>
    </xf>
    <xf numFmtId="0" fontId="6" fillId="11" borderId="11" xfId="0" applyFont="1" applyFill="1" applyBorder="1" applyAlignment="1" applyProtection="1">
      <alignment horizontal="center"/>
      <protection locked="0"/>
    </xf>
    <xf numFmtId="0" fontId="6" fillId="11" borderId="12" xfId="0" applyFont="1" applyFill="1" applyBorder="1" applyAlignment="1" applyProtection="1">
      <alignment horizontal="center"/>
      <protection locked="0"/>
    </xf>
    <xf numFmtId="0" fontId="6" fillId="11" borderId="59" xfId="0" applyFont="1" applyFill="1" applyBorder="1" applyAlignment="1" applyProtection="1">
      <alignment horizontal="center"/>
      <protection locked="0"/>
    </xf>
    <xf numFmtId="0" fontId="6" fillId="11" borderId="13" xfId="0" applyFont="1" applyFill="1" applyBorder="1" applyAlignment="1" applyProtection="1">
      <alignment horizontal="center"/>
      <protection locked="0"/>
    </xf>
    <xf numFmtId="0" fontId="8" fillId="20" borderId="21" xfId="0" applyFont="1" applyFill="1" applyBorder="1" applyAlignment="1" applyProtection="1">
      <alignment horizontal="left"/>
    </xf>
    <xf numFmtId="0" fontId="8" fillId="20" borderId="62" xfId="0" applyFont="1" applyFill="1" applyBorder="1" applyAlignment="1" applyProtection="1">
      <alignment horizontal="left"/>
    </xf>
    <xf numFmtId="0" fontId="8" fillId="20" borderId="22" xfId="0" applyFont="1" applyFill="1" applyBorder="1" applyAlignment="1" applyProtection="1">
      <alignment horizontal="left"/>
    </xf>
    <xf numFmtId="0" fontId="39" fillId="0" borderId="0" xfId="7" applyFont="1" applyBorder="1" applyAlignment="1" applyProtection="1">
      <alignment horizontal="center"/>
      <protection locked="0"/>
    </xf>
    <xf numFmtId="49" fontId="6" fillId="11" borderId="65" xfId="0" applyNumberFormat="1" applyFont="1" applyFill="1" applyBorder="1" applyAlignment="1" applyProtection="1">
      <alignment horizontal="left" vertical="top" wrapText="1"/>
      <protection locked="0"/>
    </xf>
    <xf numFmtId="49" fontId="6" fillId="11" borderId="56" xfId="0" applyNumberFormat="1" applyFont="1" applyFill="1" applyBorder="1" applyAlignment="1" applyProtection="1">
      <alignment horizontal="left" vertical="top" wrapText="1"/>
      <protection locked="0"/>
    </xf>
    <xf numFmtId="49" fontId="6" fillId="11" borderId="66" xfId="0" applyNumberFormat="1" applyFont="1" applyFill="1" applyBorder="1" applyAlignment="1" applyProtection="1">
      <alignment horizontal="left" vertical="top" wrapText="1"/>
      <protection locked="0"/>
    </xf>
    <xf numFmtId="49" fontId="6" fillId="11" borderId="17" xfId="0" applyNumberFormat="1" applyFont="1" applyFill="1" applyBorder="1" applyAlignment="1" applyProtection="1">
      <alignment horizontal="left" vertical="top" wrapText="1"/>
      <protection locked="0"/>
    </xf>
    <xf numFmtId="49" fontId="6" fillId="11" borderId="55" xfId="0" applyNumberFormat="1" applyFont="1" applyFill="1" applyBorder="1" applyAlignment="1" applyProtection="1">
      <alignment horizontal="left" vertical="top" wrapText="1"/>
      <protection locked="0"/>
    </xf>
    <xf numFmtId="49" fontId="6" fillId="11" borderId="68" xfId="0" applyNumberFormat="1" applyFont="1" applyFill="1" applyBorder="1" applyAlignment="1" applyProtection="1">
      <alignment horizontal="left" vertical="top" wrapText="1"/>
      <protection locked="0"/>
    </xf>
    <xf numFmtId="0" fontId="6" fillId="0" borderId="47" xfId="5" applyFont="1" applyBorder="1" applyAlignment="1" applyProtection="1">
      <alignment horizontal="left"/>
    </xf>
    <xf numFmtId="0" fontId="6" fillId="0" borderId="46" xfId="5" applyFont="1" applyBorder="1" applyAlignment="1" applyProtection="1">
      <alignment horizontal="left"/>
    </xf>
    <xf numFmtId="0" fontId="11" fillId="14" borderId="10" xfId="4" applyFont="1" applyFill="1" applyBorder="1" applyAlignment="1" applyProtection="1">
      <alignment horizontal="left" vertical="center" wrapText="1"/>
    </xf>
    <xf numFmtId="0" fontId="11" fillId="14" borderId="0" xfId="4" applyFont="1" applyFill="1" applyBorder="1" applyAlignment="1" applyProtection="1">
      <alignment horizontal="left" vertical="center" wrapText="1"/>
    </xf>
    <xf numFmtId="0" fontId="11" fillId="14" borderId="11" xfId="4" applyFont="1" applyFill="1" applyBorder="1" applyAlignment="1" applyProtection="1">
      <alignment horizontal="left" vertical="center" wrapText="1"/>
    </xf>
    <xf numFmtId="0" fontId="11" fillId="14" borderId="12" xfId="4" applyFont="1" applyFill="1" applyBorder="1" applyAlignment="1" applyProtection="1">
      <alignment horizontal="left" vertical="center" wrapText="1"/>
    </xf>
    <xf numFmtId="0" fontId="11" fillId="14" borderId="59" xfId="4" applyFont="1" applyFill="1" applyBorder="1" applyAlignment="1" applyProtection="1">
      <alignment horizontal="left" vertical="center" wrapText="1"/>
    </xf>
    <xf numFmtId="0" fontId="11" fillId="14" borderId="13" xfId="4" applyFont="1" applyFill="1" applyBorder="1" applyAlignment="1" applyProtection="1">
      <alignment horizontal="left" vertical="center" wrapText="1"/>
    </xf>
    <xf numFmtId="0" fontId="8" fillId="0" borderId="21" xfId="5" applyFont="1" applyBorder="1" applyAlignment="1" applyProtection="1">
      <alignment horizontal="center"/>
    </xf>
    <xf numFmtId="0" fontId="8" fillId="0" borderId="50" xfId="5" applyFont="1" applyBorder="1" applyAlignment="1" applyProtection="1">
      <alignment horizontal="center"/>
    </xf>
    <xf numFmtId="0" fontId="6" fillId="0" borderId="8" xfId="5" applyFont="1" applyBorder="1" applyAlignment="1" applyProtection="1">
      <alignment horizontal="left"/>
    </xf>
    <xf numFmtId="0" fontId="6" fillId="0" borderId="88" xfId="5" applyFont="1" applyBorder="1" applyAlignment="1" applyProtection="1">
      <alignment horizontal="left"/>
    </xf>
    <xf numFmtId="0" fontId="6" fillId="0" borderId="14" xfId="5" applyFont="1" applyBorder="1" applyAlignment="1" applyProtection="1">
      <alignment horizontal="left"/>
    </xf>
    <xf numFmtId="0" fontId="6" fillId="0" borderId="4" xfId="5" applyFont="1" applyBorder="1" applyAlignment="1" applyProtection="1">
      <alignment horizontal="left"/>
    </xf>
    <xf numFmtId="0" fontId="42" fillId="7" borderId="18" xfId="0" applyFont="1" applyFill="1" applyBorder="1" applyAlignment="1">
      <alignment horizontal="center" vertical="center"/>
    </xf>
    <xf numFmtId="0" fontId="42" fillId="7" borderId="19" xfId="0" applyFont="1" applyFill="1" applyBorder="1" applyAlignment="1">
      <alignment horizontal="center" vertical="center"/>
    </xf>
    <xf numFmtId="0" fontId="42" fillId="7" borderId="20" xfId="0" applyFont="1" applyFill="1" applyBorder="1" applyAlignment="1">
      <alignment horizontal="center" vertical="center"/>
    </xf>
    <xf numFmtId="0" fontId="42" fillId="7" borderId="12" xfId="0" applyFont="1" applyFill="1" applyBorder="1" applyAlignment="1">
      <alignment horizontal="center" vertical="center"/>
    </xf>
    <xf numFmtId="0" fontId="42" fillId="7" borderId="59" xfId="0" applyFont="1" applyFill="1" applyBorder="1" applyAlignment="1">
      <alignment horizontal="center" vertical="center"/>
    </xf>
    <xf numFmtId="0" fontId="42" fillId="7" borderId="13" xfId="0" applyFont="1" applyFill="1" applyBorder="1" applyAlignment="1">
      <alignment horizontal="center" vertical="center"/>
    </xf>
    <xf numFmtId="0" fontId="6" fillId="7" borderId="49" xfId="0" applyFont="1" applyFill="1" applyBorder="1" applyAlignment="1" applyProtection="1">
      <alignment horizontal="center" vertical="center"/>
    </xf>
    <xf numFmtId="0" fontId="6" fillId="7" borderId="48" xfId="0" applyFont="1" applyFill="1" applyBorder="1" applyAlignment="1" applyProtection="1">
      <alignment horizontal="center" vertical="center"/>
    </xf>
    <xf numFmtId="0" fontId="6" fillId="7" borderId="49" xfId="0" applyFont="1" applyFill="1" applyBorder="1" applyAlignment="1" applyProtection="1">
      <alignment horizontal="center"/>
    </xf>
    <xf numFmtId="0" fontId="6" fillId="7" borderId="48" xfId="0" applyFont="1" applyFill="1" applyBorder="1" applyAlignment="1" applyProtection="1">
      <alignment horizontal="center"/>
    </xf>
    <xf numFmtId="0" fontId="7" fillId="0" borderId="128" xfId="5" applyFont="1" applyBorder="1" applyAlignment="1" applyProtection="1">
      <alignment horizontal="left"/>
    </xf>
    <xf numFmtId="0" fontId="7" fillId="0" borderId="129" xfId="5" applyFont="1" applyBorder="1" applyAlignment="1" applyProtection="1">
      <alignment horizontal="left"/>
    </xf>
    <xf numFmtId="0" fontId="7" fillId="0" borderId="122" xfId="5" applyFont="1" applyBorder="1" applyAlignment="1" applyProtection="1">
      <alignment horizontal="left"/>
    </xf>
    <xf numFmtId="0" fontId="7" fillId="0" borderId="124" xfId="5" applyFont="1" applyBorder="1" applyAlignment="1" applyProtection="1">
      <alignment horizontal="left"/>
    </xf>
    <xf numFmtId="0" fontId="7" fillId="0" borderId="121" xfId="5" applyFont="1" applyBorder="1" applyAlignment="1" applyProtection="1">
      <alignment horizontal="left"/>
    </xf>
    <xf numFmtId="0" fontId="7" fillId="0" borderId="126" xfId="5" applyFont="1" applyBorder="1" applyAlignment="1" applyProtection="1">
      <alignment horizontal="left"/>
    </xf>
    <xf numFmtId="14" fontId="7" fillId="0" borderId="121" xfId="5" applyNumberFormat="1" applyFont="1" applyBorder="1" applyAlignment="1" applyProtection="1">
      <alignment horizontal="left"/>
    </xf>
    <xf numFmtId="14" fontId="7" fillId="0" borderId="126" xfId="5" applyNumberFormat="1" applyFont="1" applyBorder="1" applyAlignment="1" applyProtection="1">
      <alignment horizontal="left"/>
    </xf>
    <xf numFmtId="0" fontId="6" fillId="0" borderId="97" xfId="0" applyFont="1" applyBorder="1" applyAlignment="1" applyProtection="1">
      <alignment horizontal="center" vertical="center"/>
    </xf>
    <xf numFmtId="0" fontId="6" fillId="0" borderId="28" xfId="0" applyFont="1" applyBorder="1" applyAlignment="1" applyProtection="1">
      <alignment horizontal="center" vertical="center"/>
    </xf>
    <xf numFmtId="0" fontId="6" fillId="0" borderId="101" xfId="0" applyFont="1" applyBorder="1" applyAlignment="1" applyProtection="1">
      <alignment horizontal="center" vertical="center"/>
    </xf>
    <xf numFmtId="0" fontId="6" fillId="24" borderId="14" xfId="0" applyFont="1" applyFill="1" applyBorder="1" applyAlignment="1" applyProtection="1">
      <alignment horizontal="center"/>
    </xf>
    <xf numFmtId="0" fontId="6" fillId="24" borderId="60" xfId="0" applyFont="1" applyFill="1" applyBorder="1" applyAlignment="1" applyProtection="1">
      <alignment horizontal="center"/>
    </xf>
    <xf numFmtId="0" fontId="6" fillId="24" borderId="58" xfId="0" applyFont="1" applyFill="1" applyBorder="1" applyAlignment="1" applyProtection="1">
      <alignment horizontal="center"/>
    </xf>
    <xf numFmtId="0" fontId="6" fillId="0" borderId="67" xfId="0" applyFont="1" applyBorder="1" applyAlignment="1" applyProtection="1">
      <alignment horizontal="center" vertical="center"/>
    </xf>
    <xf numFmtId="0" fontId="6" fillId="0" borderId="61" xfId="0" applyFont="1" applyBorder="1" applyAlignment="1" applyProtection="1">
      <alignment horizontal="center" vertical="center"/>
    </xf>
    <xf numFmtId="0" fontId="6" fillId="0" borderId="104" xfId="0" applyFont="1" applyBorder="1" applyAlignment="1" applyProtection="1">
      <alignment horizontal="center" vertical="center"/>
    </xf>
    <xf numFmtId="0" fontId="8" fillId="21" borderId="5" xfId="5" applyFont="1" applyFill="1" applyBorder="1" applyAlignment="1" applyProtection="1">
      <alignment horizontal="center" vertical="center"/>
    </xf>
    <xf numFmtId="0" fontId="8" fillId="21" borderId="6" xfId="5" applyFont="1" applyFill="1" applyBorder="1" applyAlignment="1" applyProtection="1">
      <alignment horizontal="center" vertical="center"/>
    </xf>
    <xf numFmtId="0" fontId="8" fillId="21" borderId="7" xfId="5" applyFont="1" applyFill="1" applyBorder="1" applyAlignment="1" applyProtection="1">
      <alignment horizontal="center" vertical="center"/>
    </xf>
    <xf numFmtId="0" fontId="6" fillId="0" borderId="81" xfId="0" applyFont="1" applyBorder="1" applyAlignment="1" applyProtection="1">
      <alignment horizontal="center" vertical="center"/>
    </xf>
    <xf numFmtId="0" fontId="6" fillId="0" borderId="9" xfId="0" applyFont="1" applyBorder="1" applyAlignment="1" applyProtection="1">
      <alignment horizontal="center" vertical="center"/>
    </xf>
    <xf numFmtId="0" fontId="6" fillId="0" borderId="63" xfId="0" applyFont="1" applyBorder="1" applyAlignment="1" applyProtection="1">
      <alignment horizontal="center" vertical="center"/>
    </xf>
    <xf numFmtId="0" fontId="6" fillId="0" borderId="3" xfId="0" applyFont="1" applyBorder="1" applyAlignment="1">
      <alignment horizontal="center"/>
    </xf>
    <xf numFmtId="0" fontId="8" fillId="21" borderId="8" xfId="0" applyFont="1" applyFill="1" applyBorder="1" applyAlignment="1" applyProtection="1">
      <alignment horizontal="left"/>
    </xf>
    <xf numFmtId="0" fontId="8" fillId="21" borderId="15" xfId="0" applyFont="1" applyFill="1" applyBorder="1" applyAlignment="1" applyProtection="1">
      <alignment horizontal="left"/>
    </xf>
    <xf numFmtId="0" fontId="8" fillId="21" borderId="9" xfId="0" applyFont="1" applyFill="1" applyBorder="1" applyAlignment="1" applyProtection="1">
      <alignment horizontal="left"/>
    </xf>
    <xf numFmtId="0" fontId="6" fillId="0" borderId="121" xfId="5" applyNumberFormat="1" applyFont="1" applyBorder="1" applyAlignment="1" applyProtection="1">
      <alignment horizontal="left"/>
    </xf>
    <xf numFmtId="0" fontId="6" fillId="0" borderId="126" xfId="5" applyNumberFormat="1" applyFont="1" applyBorder="1" applyAlignment="1" applyProtection="1">
      <alignment horizontal="left"/>
    </xf>
    <xf numFmtId="0" fontId="8" fillId="6" borderId="111" xfId="5" applyFont="1" applyFill="1" applyBorder="1" applyAlignment="1">
      <alignment horizontal="left" vertical="center"/>
    </xf>
    <xf numFmtId="0" fontId="8" fillId="6" borderId="51" xfId="5" applyFont="1" applyFill="1" applyBorder="1" applyAlignment="1">
      <alignment horizontal="left" vertical="center"/>
    </xf>
    <xf numFmtId="0" fontId="8" fillId="6" borderId="52" xfId="5" applyFont="1" applyFill="1" applyBorder="1" applyAlignment="1">
      <alignment horizontal="left" vertical="center"/>
    </xf>
    <xf numFmtId="0" fontId="6" fillId="0" borderId="63" xfId="5" applyFont="1" applyFill="1" applyBorder="1" applyAlignment="1">
      <alignment horizontal="left"/>
    </xf>
    <xf numFmtId="0" fontId="6" fillId="0" borderId="3" xfId="5" applyFont="1" applyFill="1" applyBorder="1" applyAlignment="1">
      <alignment horizontal="left"/>
    </xf>
    <xf numFmtId="0" fontId="6" fillId="0" borderId="64" xfId="5" applyFont="1" applyFill="1" applyBorder="1" applyAlignment="1">
      <alignment horizontal="left"/>
    </xf>
    <xf numFmtId="0" fontId="12" fillId="4" borderId="21" xfId="4" applyFont="1" applyBorder="1" applyAlignment="1">
      <alignment horizontal="left" vertical="center"/>
    </xf>
    <xf numFmtId="0" fontId="12" fillId="4" borderId="62" xfId="4" applyFont="1" applyBorder="1" applyAlignment="1">
      <alignment horizontal="left" vertical="center"/>
    </xf>
    <xf numFmtId="0" fontId="12" fillId="4" borderId="22" xfId="4" applyFont="1" applyBorder="1" applyAlignment="1">
      <alignment horizontal="left" vertical="center"/>
    </xf>
    <xf numFmtId="14" fontId="6" fillId="0" borderId="121" xfId="5" applyNumberFormat="1" applyFont="1" applyBorder="1" applyAlignment="1" applyProtection="1">
      <alignment horizontal="left"/>
    </xf>
    <xf numFmtId="14" fontId="6" fillId="0" borderId="126" xfId="5" applyNumberFormat="1" applyFont="1" applyBorder="1" applyAlignment="1" applyProtection="1">
      <alignment horizontal="left"/>
    </xf>
    <xf numFmtId="0" fontId="6" fillId="0" borderId="128" xfId="5" applyNumberFormat="1" applyFont="1" applyBorder="1" applyAlignment="1" applyProtection="1">
      <alignment horizontal="left"/>
    </xf>
    <xf numFmtId="0" fontId="6" fillId="0" borderId="129" xfId="5" applyNumberFormat="1" applyFont="1" applyBorder="1" applyAlignment="1" applyProtection="1">
      <alignment horizontal="left"/>
    </xf>
  </cellXfs>
  <cellStyles count="30">
    <cellStyle name="20% - Accent2 2" xfId="28" xr:uid="{00000000-0005-0000-0000-000000000000}"/>
    <cellStyle name="40% - Accent1" xfId="1" builtinId="31"/>
    <cellStyle name="40% - Accent1 2" xfId="27" xr:uid="{00000000-0005-0000-0000-000002000000}"/>
    <cellStyle name="60% - Accent2" xfId="2" builtinId="36"/>
    <cellStyle name="60% - Accent2 2" xfId="25" xr:uid="{00000000-0005-0000-0000-000004000000}"/>
    <cellStyle name="Auto Populated Cells" xfId="10" xr:uid="{00000000-0005-0000-0000-000005000000}"/>
    <cellStyle name="Calculation 2" xfId="11" xr:uid="{00000000-0005-0000-0000-000006000000}"/>
    <cellStyle name="Conditional Cell" xfId="12" xr:uid="{00000000-0005-0000-0000-000007000000}"/>
    <cellStyle name="Explanatory Text 2" xfId="13" xr:uid="{00000000-0005-0000-0000-000008000000}"/>
    <cellStyle name="Explanatory Text 3" xfId="14" xr:uid="{00000000-0005-0000-0000-000009000000}"/>
    <cellStyle name="Fixed Values" xfId="15" xr:uid="{00000000-0005-0000-0000-00000A000000}"/>
    <cellStyle name="Heading 4 2" xfId="4" xr:uid="{00000000-0005-0000-0000-00000B000000}"/>
    <cellStyle name="Hyperlink" xfId="7" builtinId="8"/>
    <cellStyle name="Hyperlink 2" xfId="9" xr:uid="{00000000-0005-0000-0000-00000D000000}"/>
    <cellStyle name="Input 2" xfId="16" xr:uid="{00000000-0005-0000-0000-00000E000000}"/>
    <cellStyle name="Input 3" xfId="6" xr:uid="{00000000-0005-0000-0000-00000F000000}"/>
    <cellStyle name="Normal" xfId="0" builtinId="0"/>
    <cellStyle name="Normal 2" xfId="5" xr:uid="{00000000-0005-0000-0000-000011000000}"/>
    <cellStyle name="Normal 2 2" xfId="17" xr:uid="{00000000-0005-0000-0000-000012000000}"/>
    <cellStyle name="Normal 3" xfId="18" xr:uid="{00000000-0005-0000-0000-000013000000}"/>
    <cellStyle name="Normal 3 2" xfId="19" xr:uid="{00000000-0005-0000-0000-000014000000}"/>
    <cellStyle name="Normal 3 3" xfId="26" xr:uid="{00000000-0005-0000-0000-000015000000}"/>
    <cellStyle name="Normal 4" xfId="8" xr:uid="{00000000-0005-0000-0000-000016000000}"/>
    <cellStyle name="Normal_Sheet1" xfId="3" xr:uid="{00000000-0005-0000-0000-000017000000}"/>
    <cellStyle name="Output 2" xfId="20" xr:uid="{00000000-0005-0000-0000-000018000000}"/>
    <cellStyle name="Output 2 2" xfId="29" xr:uid="{00000000-0005-0000-0000-000019000000}"/>
    <cellStyle name="Percent" xfId="24" builtinId="5"/>
    <cellStyle name="Revision Needed" xfId="21" xr:uid="{00000000-0005-0000-0000-00001B000000}"/>
    <cellStyle name="Tab Header" xfId="22" xr:uid="{00000000-0005-0000-0000-00001C000000}"/>
    <cellStyle name="Table Header" xfId="23" xr:uid="{00000000-0005-0000-0000-00001D000000}"/>
  </cellStyles>
  <dxfs count="2">
    <dxf>
      <fill>
        <patternFill patternType="darkDown"/>
      </fill>
    </dxf>
    <dxf>
      <fill>
        <patternFill patternType="darkDown"/>
      </fill>
    </dxf>
  </dxfs>
  <tableStyles count="0" defaultTableStyle="TableStyleMedium2" defaultPivotStyle="PivotStyleLight16"/>
  <colors>
    <mruColors>
      <color rgb="FF800000"/>
      <color rgb="FFFF5050"/>
      <color rgb="FF99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876350390998656E-3"/>
          <c:y val="6.8217054263565891E-2"/>
          <c:w val="0.97818120504326111"/>
          <c:h val="0.60926130745284757"/>
        </c:manualLayout>
      </c:layout>
      <c:scatterChart>
        <c:scatterStyle val="lineMarker"/>
        <c:varyColors val="0"/>
        <c:ser>
          <c:idx val="2"/>
          <c:order val="0"/>
          <c:tx>
            <c:strRef>
              <c:f>'1st-Hr Rating Test'!$AH$12</c:f>
              <c:strCache>
                <c:ptCount val="1"/>
                <c:pt idx="0">
                  <c:v>1 Hour</c:v>
                </c:pt>
              </c:strCache>
            </c:strRef>
          </c:tx>
          <c:spPr>
            <a:ln w="38100" cap="rnd">
              <a:solidFill>
                <a:schemeClr val="tx1"/>
              </a:solidFill>
              <a:round/>
            </a:ln>
            <a:effectLst/>
          </c:spPr>
          <c:marker>
            <c:symbol val="none"/>
          </c:marker>
          <c:dPt>
            <c:idx val="1"/>
            <c:marker>
              <c:symbol val="none"/>
            </c:marker>
            <c:bubble3D val="0"/>
            <c:extLst>
              <c:ext xmlns:c16="http://schemas.microsoft.com/office/drawing/2014/chart" uri="{C3380CC4-5D6E-409C-BE32-E72D297353CC}">
                <c16:uniqueId val="{00000000-4CC2-4018-9A84-0FB077CF7DA4}"/>
              </c:ext>
            </c:extLst>
          </c:dPt>
          <c:xVal>
            <c:numRef>
              <c:f>'1st-Hr Rating Test'!$AH$14:$AH$15</c:f>
              <c:numCache>
                <c:formatCode>General</c:formatCode>
                <c:ptCount val="2"/>
                <c:pt idx="0">
                  <c:v>3600</c:v>
                </c:pt>
                <c:pt idx="1">
                  <c:v>3600</c:v>
                </c:pt>
              </c:numCache>
            </c:numRef>
          </c:xVal>
          <c:yVal>
            <c:numRef>
              <c:f>'1st-Hr Rating Test'!$AI$14:$AI$15</c:f>
              <c:numCache>
                <c:formatCode>General</c:formatCode>
                <c:ptCount val="2"/>
                <c:pt idx="0">
                  <c:v>0</c:v>
                </c:pt>
                <c:pt idx="1">
                  <c:v>4</c:v>
                </c:pt>
              </c:numCache>
            </c:numRef>
          </c:yVal>
          <c:smooth val="0"/>
          <c:extLst>
            <c:ext xmlns:c16="http://schemas.microsoft.com/office/drawing/2014/chart" uri="{C3380CC4-5D6E-409C-BE32-E72D297353CC}">
              <c16:uniqueId val="{00000001-4CC2-4018-9A84-0FB077CF7DA4}"/>
            </c:ext>
          </c:extLst>
        </c:ser>
        <c:ser>
          <c:idx val="0"/>
          <c:order val="1"/>
          <c:tx>
            <c:strRef>
              <c:f>'1st-Hr Rating Test'!$AD$12</c:f>
              <c:strCache>
                <c:ptCount val="1"/>
                <c:pt idx="0">
                  <c:v>Draw</c:v>
                </c:pt>
              </c:strCache>
            </c:strRef>
          </c:tx>
          <c:spPr>
            <a:ln w="38100" cap="rnd">
              <a:solidFill>
                <a:schemeClr val="accent1"/>
              </a:solidFill>
              <a:round/>
            </a:ln>
            <a:effectLst/>
          </c:spPr>
          <c:marker>
            <c:symbol val="circle"/>
            <c:size val="8"/>
            <c:spPr>
              <a:solidFill>
                <a:schemeClr val="accent1"/>
              </a:solidFill>
              <a:ln w="9525">
                <a:solidFill>
                  <a:schemeClr val="accent1"/>
                </a:solidFill>
              </a:ln>
              <a:effectLst/>
            </c:spPr>
          </c:marker>
          <c:xVal>
            <c:numRef>
              <c:f>'1st-Hr Rating Test'!$AD$14:$AD$57</c:f>
              <c:numCache>
                <c:formatCode>0.0</c:formatCode>
                <c:ptCount val="44"/>
                <c:pt idx="0">
                  <c:v>0</c:v>
                </c:pt>
                <c:pt idx="1">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xVal>
          <c:yVal>
            <c:numRef>
              <c:f>'1st-Hr Rating Test'!$AE$14:$AE$57</c:f>
              <c:numCache>
                <c:formatCode>General</c:formatCode>
                <c:ptCount val="44"/>
                <c:pt idx="0">
                  <c:v>0</c:v>
                </c:pt>
                <c:pt idx="1">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2-4CC2-4018-9A84-0FB077CF7DA4}"/>
            </c:ext>
          </c:extLst>
        </c:ser>
        <c:ser>
          <c:idx val="1"/>
          <c:order val="2"/>
          <c:tx>
            <c:strRef>
              <c:f>'1st-Hr Rating Test'!$AF$12</c:f>
              <c:strCache>
                <c:ptCount val="1"/>
                <c:pt idx="0">
                  <c:v>Recovery</c:v>
                </c:pt>
              </c:strCache>
            </c:strRef>
          </c:tx>
          <c:spPr>
            <a:ln w="38100" cap="rnd">
              <a:solidFill>
                <a:srgbClr val="FF0000"/>
              </a:solidFill>
              <a:round/>
            </a:ln>
            <a:effectLst/>
          </c:spPr>
          <c:marker>
            <c:symbol val="circle"/>
            <c:size val="8"/>
            <c:spPr>
              <a:solidFill>
                <a:srgbClr val="FF0000"/>
              </a:solidFill>
              <a:ln w="9525">
                <a:solidFill>
                  <a:srgbClr val="FF0000"/>
                </a:solidFill>
              </a:ln>
              <a:effectLst/>
            </c:spPr>
          </c:marker>
          <c:xVal>
            <c:numRef>
              <c:f>'1st-Hr Rating Test'!$AF$14:$AF$57</c:f>
              <c:numCache>
                <c:formatCode>0.0</c:formatCode>
                <c:ptCount val="44"/>
                <c:pt idx="0">
                  <c:v>0</c:v>
                </c:pt>
                <c:pt idx="1">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xVal>
          <c:yVal>
            <c:numRef>
              <c:f>'1st-Hr Rating Test'!$AG$14:$AG$57</c:f>
              <c:numCache>
                <c:formatCode>General</c:formatCode>
                <c:ptCount val="44"/>
                <c:pt idx="0">
                  <c:v>0</c:v>
                </c:pt>
                <c:pt idx="1">
                  <c:v>0</c:v>
                </c:pt>
                <c:pt idx="3">
                  <c:v>0</c:v>
                </c:pt>
                <c:pt idx="4">
                  <c:v>0</c:v>
                </c:pt>
                <c:pt idx="6">
                  <c:v>0</c:v>
                </c:pt>
                <c:pt idx="7">
                  <c:v>0</c:v>
                </c:pt>
                <c:pt idx="9">
                  <c:v>0</c:v>
                </c:pt>
                <c:pt idx="10">
                  <c:v>0</c:v>
                </c:pt>
                <c:pt idx="12">
                  <c:v>0</c:v>
                </c:pt>
                <c:pt idx="13">
                  <c:v>0</c:v>
                </c:pt>
                <c:pt idx="15">
                  <c:v>0</c:v>
                </c:pt>
                <c:pt idx="16">
                  <c:v>0</c:v>
                </c:pt>
                <c:pt idx="18">
                  <c:v>0</c:v>
                </c:pt>
                <c:pt idx="19">
                  <c:v>0</c:v>
                </c:pt>
                <c:pt idx="21">
                  <c:v>0</c:v>
                </c:pt>
                <c:pt idx="22">
                  <c:v>0</c:v>
                </c:pt>
                <c:pt idx="24">
                  <c:v>0</c:v>
                </c:pt>
                <c:pt idx="25">
                  <c:v>0</c:v>
                </c:pt>
                <c:pt idx="27">
                  <c:v>0</c:v>
                </c:pt>
                <c:pt idx="28">
                  <c:v>0</c:v>
                </c:pt>
                <c:pt idx="30">
                  <c:v>0</c:v>
                </c:pt>
                <c:pt idx="31">
                  <c:v>0</c:v>
                </c:pt>
                <c:pt idx="33">
                  <c:v>0</c:v>
                </c:pt>
                <c:pt idx="34">
                  <c:v>0</c:v>
                </c:pt>
                <c:pt idx="36">
                  <c:v>0</c:v>
                </c:pt>
                <c:pt idx="37">
                  <c:v>0</c:v>
                </c:pt>
                <c:pt idx="39">
                  <c:v>0</c:v>
                </c:pt>
                <c:pt idx="40">
                  <c:v>0</c:v>
                </c:pt>
                <c:pt idx="42">
                  <c:v>0</c:v>
                </c:pt>
                <c:pt idx="43">
                  <c:v>0</c:v>
                </c:pt>
              </c:numCache>
            </c:numRef>
          </c:yVal>
          <c:smooth val="0"/>
          <c:extLst>
            <c:ext xmlns:c16="http://schemas.microsoft.com/office/drawing/2014/chart" uri="{C3380CC4-5D6E-409C-BE32-E72D297353CC}">
              <c16:uniqueId val="{00000003-4CC2-4018-9A84-0FB077CF7DA4}"/>
            </c:ext>
          </c:extLst>
        </c:ser>
        <c:dLbls>
          <c:showLegendKey val="0"/>
          <c:showVal val="0"/>
          <c:showCatName val="0"/>
          <c:showSerName val="0"/>
          <c:showPercent val="0"/>
          <c:showBubbleSize val="0"/>
        </c:dLbls>
        <c:axId val="293214152"/>
        <c:axId val="293214544"/>
      </c:scatterChart>
      <c:valAx>
        <c:axId val="293214152"/>
        <c:scaling>
          <c:orientation val="minMax"/>
          <c:max val="5000"/>
          <c:min val="0"/>
        </c:scaling>
        <c:delete val="0"/>
        <c:axPos val="b"/>
        <c:majorGridlines>
          <c:spPr>
            <a:ln w="9525" cap="flat" cmpd="sng" algn="ctr">
              <a:solidFill>
                <a:schemeClr val="bg1">
                  <a:lumMod val="50000"/>
                </a:schemeClr>
              </a:solidFill>
              <a:prstDash val="lgDash"/>
              <a:round/>
            </a:ln>
            <a:effectLst/>
          </c:spPr>
        </c:majorGridlines>
        <c:minorGridlines>
          <c:spPr>
            <a:ln w="9525" cap="flat" cmpd="sng" algn="ctr">
              <a:solidFill>
                <a:schemeClr val="bg1">
                  <a:lumMod val="65000"/>
                </a:schemeClr>
              </a:solidFill>
              <a:prstDash val="sysDot"/>
              <a:round/>
            </a:ln>
            <a:effectLst/>
          </c:spPr>
        </c:minorGridlines>
        <c:title>
          <c:tx>
            <c:rich>
              <a:bodyPr rot="0" spcFirstLastPara="1" vertOverflow="ellipsis" vert="horz" wrap="square" anchor="ctr" anchorCtr="1"/>
              <a:lstStyle/>
              <a:p>
                <a:pPr>
                  <a:defRPr sz="1600" b="1" i="0" u="none" strike="noStrike" kern="1200" baseline="0">
                    <a:solidFill>
                      <a:sysClr val="windowText" lastClr="000000"/>
                    </a:solidFill>
                    <a:latin typeface="Palatino Linotype" panose="02040502050505030304" pitchFamily="18" charset="0"/>
                    <a:ea typeface="+mn-ea"/>
                    <a:cs typeface="+mn-cs"/>
                  </a:defRPr>
                </a:pPr>
                <a:r>
                  <a:rPr lang="en-US" sz="1600" b="1">
                    <a:solidFill>
                      <a:sysClr val="windowText" lastClr="000000"/>
                    </a:solidFill>
                    <a:latin typeface="Palatino Linotype" panose="02040502050505030304" pitchFamily="18" charset="0"/>
                  </a:rPr>
                  <a:t>Time,</a:t>
                </a:r>
                <a:r>
                  <a:rPr lang="en-US" sz="1600" b="1" baseline="0">
                    <a:solidFill>
                      <a:sysClr val="windowText" lastClr="000000"/>
                    </a:solidFill>
                    <a:latin typeface="Palatino Linotype" panose="02040502050505030304" pitchFamily="18" charset="0"/>
                  </a:rPr>
                  <a:t> seconds</a:t>
                </a:r>
                <a:endParaRPr lang="en-US" sz="1600" b="1">
                  <a:solidFill>
                    <a:sysClr val="windowText" lastClr="000000"/>
                  </a:solidFill>
                  <a:latin typeface="Palatino Linotype" panose="02040502050505030304" pitchFamily="18" charset="0"/>
                </a:endParaRPr>
              </a:p>
            </c:rich>
          </c:tx>
          <c:layout>
            <c:manualLayout>
              <c:xMode val="edge"/>
              <c:yMode val="edge"/>
              <c:x val="0.4698724758985211"/>
              <c:y val="0.81652688762741876"/>
            </c:manualLayout>
          </c:layout>
          <c:overlay val="0"/>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Palatino Linotype" panose="02040502050505030304" pitchFamily="18" charset="0"/>
                  <a:ea typeface="+mn-ea"/>
                  <a:cs typeface="+mn-cs"/>
                </a:defRPr>
              </a:pPr>
              <a:endParaRPr lang="en-US"/>
            </a:p>
          </c:txPr>
        </c:title>
        <c:numFmt formatCode="0" sourceLinked="0"/>
        <c:majorTickMark val="cross"/>
        <c:minorTickMark val="cross"/>
        <c:tickLblPos val="nextTo"/>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Palatino Linotype" panose="02040502050505030304" pitchFamily="18" charset="0"/>
                <a:ea typeface="+mn-ea"/>
                <a:cs typeface="+mn-cs"/>
              </a:defRPr>
            </a:pPr>
            <a:endParaRPr lang="en-US"/>
          </a:p>
        </c:txPr>
        <c:crossAx val="293214544"/>
        <c:crosses val="autoZero"/>
        <c:crossBetween val="midCat"/>
        <c:majorUnit val="500"/>
        <c:minorUnit val="100"/>
      </c:valAx>
      <c:valAx>
        <c:axId val="293214544"/>
        <c:scaling>
          <c:orientation val="minMax"/>
          <c:max val="3.5"/>
          <c:min val="1.5"/>
        </c:scaling>
        <c:delete val="1"/>
        <c:axPos val="l"/>
        <c:numFmt formatCode="General" sourceLinked="1"/>
        <c:majorTickMark val="out"/>
        <c:minorTickMark val="none"/>
        <c:tickLblPos val="nextTo"/>
        <c:crossAx val="293214152"/>
        <c:crosses val="autoZero"/>
        <c:crossBetween val="midCat"/>
        <c:majorUnit val="1"/>
        <c:minorUnit val="0.5"/>
      </c:valAx>
      <c:spPr>
        <a:noFill/>
        <a:ln>
          <a:solidFill>
            <a:schemeClr val="tx1"/>
          </a:solidFill>
        </a:ln>
        <a:effectLst/>
      </c:spPr>
    </c:plotArea>
    <c:legend>
      <c:legendPos val="r"/>
      <c:layout>
        <c:manualLayout>
          <c:xMode val="edge"/>
          <c:yMode val="edge"/>
          <c:x val="0.92513470849137258"/>
          <c:y val="0.13203296099615455"/>
          <c:w val="5.4351586375638257E-2"/>
          <c:h val="0.47134224501007144"/>
        </c:manualLayout>
      </c:layout>
      <c:overlay val="1"/>
      <c:spPr>
        <a:solidFill>
          <a:schemeClr val="bg2"/>
        </a:solidFill>
        <a:ln>
          <a:solidFill>
            <a:schemeClr val="tx1"/>
          </a:solidFill>
        </a:ln>
        <a:effectLst/>
      </c:spPr>
      <c:txPr>
        <a:bodyPr rot="0" spcFirstLastPara="1" vertOverflow="ellipsis" vert="horz" wrap="square" anchor="ctr" anchorCtr="1"/>
        <a:lstStyle/>
        <a:p>
          <a:pPr>
            <a:defRPr sz="1600" b="1" i="0" u="none" strike="noStrike" kern="1200" baseline="0">
              <a:solidFill>
                <a:sysClr val="windowText" lastClr="000000"/>
              </a:solidFill>
              <a:latin typeface="Palatino Linotype" panose="02040502050505030304" pitchFamily="18" charset="0"/>
              <a:ea typeface="+mn-ea"/>
              <a:cs typeface="+mn-cs"/>
            </a:defRPr>
          </a:pPr>
          <a:endParaRPr lang="en-US"/>
        </a:p>
      </c:txPr>
    </c:legend>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425336057369338E-2"/>
          <c:y val="3.6008604365672221E-2"/>
          <c:w val="0.95422799202173869"/>
          <c:h val="0.9086305187984246"/>
        </c:manualLayout>
      </c:layout>
      <c:scatterChart>
        <c:scatterStyle val="lineMarker"/>
        <c:varyColors val="0"/>
        <c:ser>
          <c:idx val="0"/>
          <c:order val="0"/>
          <c:tx>
            <c:strRef>
              <c:f>'24-Hr Simulated Use Test'!$D$412</c:f>
              <c:strCache>
                <c:ptCount val="1"/>
                <c:pt idx="0">
                  <c:v>Mean Tank Temperature (°F)</c:v>
                </c:pt>
              </c:strCache>
            </c:strRef>
          </c:tx>
          <c:marker>
            <c:symbol val="none"/>
          </c:marker>
          <c:xVal>
            <c:numRef>
              <c:f>('24-Hr Simulated Use Test'!$C$413:$C$1853,'24-Hr Simulated Use Test'!$I$413:$I$892)</c:f>
              <c:numCache>
                <c:formatCode>0</c:formatCode>
                <c:ptCount val="192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pt idx="111">
                  <c:v>111</c:v>
                </c:pt>
                <c:pt idx="112">
                  <c:v>112</c:v>
                </c:pt>
                <c:pt idx="113">
                  <c:v>113</c:v>
                </c:pt>
                <c:pt idx="114">
                  <c:v>114</c:v>
                </c:pt>
                <c:pt idx="115">
                  <c:v>115</c:v>
                </c:pt>
                <c:pt idx="116">
                  <c:v>116</c:v>
                </c:pt>
                <c:pt idx="117">
                  <c:v>117</c:v>
                </c:pt>
                <c:pt idx="118">
                  <c:v>118</c:v>
                </c:pt>
                <c:pt idx="119">
                  <c:v>119</c:v>
                </c:pt>
                <c:pt idx="120">
                  <c:v>120</c:v>
                </c:pt>
                <c:pt idx="121">
                  <c:v>121</c:v>
                </c:pt>
                <c:pt idx="122">
                  <c:v>122</c:v>
                </c:pt>
                <c:pt idx="123">
                  <c:v>123</c:v>
                </c:pt>
                <c:pt idx="124">
                  <c:v>124</c:v>
                </c:pt>
                <c:pt idx="125">
                  <c:v>125</c:v>
                </c:pt>
                <c:pt idx="126">
                  <c:v>126</c:v>
                </c:pt>
                <c:pt idx="127">
                  <c:v>127</c:v>
                </c:pt>
                <c:pt idx="128">
                  <c:v>128</c:v>
                </c:pt>
                <c:pt idx="129">
                  <c:v>129</c:v>
                </c:pt>
                <c:pt idx="130">
                  <c:v>130</c:v>
                </c:pt>
                <c:pt idx="131">
                  <c:v>131</c:v>
                </c:pt>
                <c:pt idx="132">
                  <c:v>132</c:v>
                </c:pt>
                <c:pt idx="133">
                  <c:v>133</c:v>
                </c:pt>
                <c:pt idx="134">
                  <c:v>134</c:v>
                </c:pt>
                <c:pt idx="135">
                  <c:v>135</c:v>
                </c:pt>
                <c:pt idx="136">
                  <c:v>136</c:v>
                </c:pt>
                <c:pt idx="137">
                  <c:v>137</c:v>
                </c:pt>
                <c:pt idx="138">
                  <c:v>138</c:v>
                </c:pt>
                <c:pt idx="139">
                  <c:v>139</c:v>
                </c:pt>
                <c:pt idx="140">
                  <c:v>140</c:v>
                </c:pt>
                <c:pt idx="141">
                  <c:v>141</c:v>
                </c:pt>
                <c:pt idx="142">
                  <c:v>142</c:v>
                </c:pt>
                <c:pt idx="143">
                  <c:v>143</c:v>
                </c:pt>
                <c:pt idx="144">
                  <c:v>144</c:v>
                </c:pt>
                <c:pt idx="145">
                  <c:v>145</c:v>
                </c:pt>
                <c:pt idx="146">
                  <c:v>146</c:v>
                </c:pt>
                <c:pt idx="147">
                  <c:v>147</c:v>
                </c:pt>
                <c:pt idx="148">
                  <c:v>148</c:v>
                </c:pt>
                <c:pt idx="149">
                  <c:v>149</c:v>
                </c:pt>
                <c:pt idx="150">
                  <c:v>150</c:v>
                </c:pt>
                <c:pt idx="151">
                  <c:v>151</c:v>
                </c:pt>
                <c:pt idx="152">
                  <c:v>152</c:v>
                </c:pt>
                <c:pt idx="153">
                  <c:v>153</c:v>
                </c:pt>
                <c:pt idx="154">
                  <c:v>154</c:v>
                </c:pt>
                <c:pt idx="155">
                  <c:v>155</c:v>
                </c:pt>
                <c:pt idx="156">
                  <c:v>156</c:v>
                </c:pt>
                <c:pt idx="157">
                  <c:v>157</c:v>
                </c:pt>
                <c:pt idx="158">
                  <c:v>158</c:v>
                </c:pt>
                <c:pt idx="159">
                  <c:v>159</c:v>
                </c:pt>
                <c:pt idx="160">
                  <c:v>160</c:v>
                </c:pt>
                <c:pt idx="161">
                  <c:v>161</c:v>
                </c:pt>
                <c:pt idx="162">
                  <c:v>162</c:v>
                </c:pt>
                <c:pt idx="163">
                  <c:v>163</c:v>
                </c:pt>
                <c:pt idx="164">
                  <c:v>164</c:v>
                </c:pt>
                <c:pt idx="165">
                  <c:v>165</c:v>
                </c:pt>
                <c:pt idx="166">
                  <c:v>166</c:v>
                </c:pt>
                <c:pt idx="167">
                  <c:v>167</c:v>
                </c:pt>
                <c:pt idx="168">
                  <c:v>168</c:v>
                </c:pt>
                <c:pt idx="169">
                  <c:v>169</c:v>
                </c:pt>
                <c:pt idx="170">
                  <c:v>170</c:v>
                </c:pt>
                <c:pt idx="171">
                  <c:v>171</c:v>
                </c:pt>
                <c:pt idx="172">
                  <c:v>172</c:v>
                </c:pt>
                <c:pt idx="173">
                  <c:v>173</c:v>
                </c:pt>
                <c:pt idx="174">
                  <c:v>174</c:v>
                </c:pt>
                <c:pt idx="175">
                  <c:v>175</c:v>
                </c:pt>
                <c:pt idx="176">
                  <c:v>176</c:v>
                </c:pt>
                <c:pt idx="177">
                  <c:v>177</c:v>
                </c:pt>
                <c:pt idx="178">
                  <c:v>178</c:v>
                </c:pt>
                <c:pt idx="179">
                  <c:v>179</c:v>
                </c:pt>
                <c:pt idx="180">
                  <c:v>180</c:v>
                </c:pt>
                <c:pt idx="181">
                  <c:v>181</c:v>
                </c:pt>
                <c:pt idx="182">
                  <c:v>182</c:v>
                </c:pt>
                <c:pt idx="183">
                  <c:v>183</c:v>
                </c:pt>
                <c:pt idx="184">
                  <c:v>184</c:v>
                </c:pt>
                <c:pt idx="185">
                  <c:v>185</c:v>
                </c:pt>
                <c:pt idx="186">
                  <c:v>186</c:v>
                </c:pt>
                <c:pt idx="187">
                  <c:v>187</c:v>
                </c:pt>
                <c:pt idx="188">
                  <c:v>188</c:v>
                </c:pt>
                <c:pt idx="189">
                  <c:v>189</c:v>
                </c:pt>
                <c:pt idx="190">
                  <c:v>190</c:v>
                </c:pt>
                <c:pt idx="191">
                  <c:v>191</c:v>
                </c:pt>
                <c:pt idx="192">
                  <c:v>192</c:v>
                </c:pt>
                <c:pt idx="193">
                  <c:v>193</c:v>
                </c:pt>
                <c:pt idx="194">
                  <c:v>194</c:v>
                </c:pt>
                <c:pt idx="195">
                  <c:v>195</c:v>
                </c:pt>
                <c:pt idx="196">
                  <c:v>196</c:v>
                </c:pt>
                <c:pt idx="197">
                  <c:v>197</c:v>
                </c:pt>
                <c:pt idx="198">
                  <c:v>198</c:v>
                </c:pt>
                <c:pt idx="199">
                  <c:v>199</c:v>
                </c:pt>
                <c:pt idx="200">
                  <c:v>200</c:v>
                </c:pt>
                <c:pt idx="201">
                  <c:v>201</c:v>
                </c:pt>
                <c:pt idx="202">
                  <c:v>202</c:v>
                </c:pt>
                <c:pt idx="203">
                  <c:v>203</c:v>
                </c:pt>
                <c:pt idx="204">
                  <c:v>204</c:v>
                </c:pt>
                <c:pt idx="205">
                  <c:v>205</c:v>
                </c:pt>
                <c:pt idx="206">
                  <c:v>206</c:v>
                </c:pt>
                <c:pt idx="207">
                  <c:v>207</c:v>
                </c:pt>
                <c:pt idx="208">
                  <c:v>208</c:v>
                </c:pt>
                <c:pt idx="209">
                  <c:v>209</c:v>
                </c:pt>
                <c:pt idx="210">
                  <c:v>210</c:v>
                </c:pt>
                <c:pt idx="211">
                  <c:v>211</c:v>
                </c:pt>
                <c:pt idx="212">
                  <c:v>212</c:v>
                </c:pt>
                <c:pt idx="213">
                  <c:v>213</c:v>
                </c:pt>
                <c:pt idx="214">
                  <c:v>214</c:v>
                </c:pt>
                <c:pt idx="215">
                  <c:v>215</c:v>
                </c:pt>
                <c:pt idx="216">
                  <c:v>216</c:v>
                </c:pt>
                <c:pt idx="217">
                  <c:v>217</c:v>
                </c:pt>
                <c:pt idx="218">
                  <c:v>218</c:v>
                </c:pt>
                <c:pt idx="219">
                  <c:v>219</c:v>
                </c:pt>
                <c:pt idx="220">
                  <c:v>220</c:v>
                </c:pt>
                <c:pt idx="221">
                  <c:v>221</c:v>
                </c:pt>
                <c:pt idx="222">
                  <c:v>222</c:v>
                </c:pt>
                <c:pt idx="223">
                  <c:v>223</c:v>
                </c:pt>
                <c:pt idx="224">
                  <c:v>224</c:v>
                </c:pt>
                <c:pt idx="225">
                  <c:v>225</c:v>
                </c:pt>
                <c:pt idx="226">
                  <c:v>226</c:v>
                </c:pt>
                <c:pt idx="227">
                  <c:v>227</c:v>
                </c:pt>
                <c:pt idx="228">
                  <c:v>228</c:v>
                </c:pt>
                <c:pt idx="229">
                  <c:v>229</c:v>
                </c:pt>
                <c:pt idx="230">
                  <c:v>230</c:v>
                </c:pt>
                <c:pt idx="231">
                  <c:v>231</c:v>
                </c:pt>
                <c:pt idx="232">
                  <c:v>232</c:v>
                </c:pt>
                <c:pt idx="233">
                  <c:v>233</c:v>
                </c:pt>
                <c:pt idx="234">
                  <c:v>234</c:v>
                </c:pt>
                <c:pt idx="235">
                  <c:v>235</c:v>
                </c:pt>
                <c:pt idx="236">
                  <c:v>236</c:v>
                </c:pt>
                <c:pt idx="237">
                  <c:v>237</c:v>
                </c:pt>
                <c:pt idx="238">
                  <c:v>238</c:v>
                </c:pt>
                <c:pt idx="239">
                  <c:v>239</c:v>
                </c:pt>
                <c:pt idx="240">
                  <c:v>240</c:v>
                </c:pt>
                <c:pt idx="241">
                  <c:v>241</c:v>
                </c:pt>
                <c:pt idx="242">
                  <c:v>242</c:v>
                </c:pt>
                <c:pt idx="243">
                  <c:v>243</c:v>
                </c:pt>
                <c:pt idx="244">
                  <c:v>244</c:v>
                </c:pt>
                <c:pt idx="245">
                  <c:v>245</c:v>
                </c:pt>
                <c:pt idx="246">
                  <c:v>246</c:v>
                </c:pt>
                <c:pt idx="247">
                  <c:v>247</c:v>
                </c:pt>
                <c:pt idx="248">
                  <c:v>248</c:v>
                </c:pt>
                <c:pt idx="249">
                  <c:v>249</c:v>
                </c:pt>
                <c:pt idx="250">
                  <c:v>250</c:v>
                </c:pt>
                <c:pt idx="251">
                  <c:v>251</c:v>
                </c:pt>
                <c:pt idx="252">
                  <c:v>252</c:v>
                </c:pt>
                <c:pt idx="253">
                  <c:v>253</c:v>
                </c:pt>
                <c:pt idx="254">
                  <c:v>254</c:v>
                </c:pt>
                <c:pt idx="255">
                  <c:v>255</c:v>
                </c:pt>
                <c:pt idx="256">
                  <c:v>256</c:v>
                </c:pt>
                <c:pt idx="257">
                  <c:v>257</c:v>
                </c:pt>
                <c:pt idx="258">
                  <c:v>258</c:v>
                </c:pt>
                <c:pt idx="259">
                  <c:v>259</c:v>
                </c:pt>
                <c:pt idx="260">
                  <c:v>260</c:v>
                </c:pt>
                <c:pt idx="261">
                  <c:v>261</c:v>
                </c:pt>
                <c:pt idx="262">
                  <c:v>262</c:v>
                </c:pt>
                <c:pt idx="263">
                  <c:v>263</c:v>
                </c:pt>
                <c:pt idx="264">
                  <c:v>264</c:v>
                </c:pt>
                <c:pt idx="265">
                  <c:v>265</c:v>
                </c:pt>
                <c:pt idx="266">
                  <c:v>266</c:v>
                </c:pt>
                <c:pt idx="267">
                  <c:v>267</c:v>
                </c:pt>
                <c:pt idx="268">
                  <c:v>268</c:v>
                </c:pt>
                <c:pt idx="269">
                  <c:v>269</c:v>
                </c:pt>
                <c:pt idx="270">
                  <c:v>270</c:v>
                </c:pt>
                <c:pt idx="271">
                  <c:v>271</c:v>
                </c:pt>
                <c:pt idx="272">
                  <c:v>272</c:v>
                </c:pt>
                <c:pt idx="273">
                  <c:v>273</c:v>
                </c:pt>
                <c:pt idx="274">
                  <c:v>274</c:v>
                </c:pt>
                <c:pt idx="275">
                  <c:v>275</c:v>
                </c:pt>
                <c:pt idx="276">
                  <c:v>276</c:v>
                </c:pt>
                <c:pt idx="277">
                  <c:v>277</c:v>
                </c:pt>
                <c:pt idx="278">
                  <c:v>278</c:v>
                </c:pt>
                <c:pt idx="279">
                  <c:v>279</c:v>
                </c:pt>
                <c:pt idx="280">
                  <c:v>280</c:v>
                </c:pt>
                <c:pt idx="281">
                  <c:v>281</c:v>
                </c:pt>
                <c:pt idx="282">
                  <c:v>282</c:v>
                </c:pt>
                <c:pt idx="283">
                  <c:v>283</c:v>
                </c:pt>
                <c:pt idx="284">
                  <c:v>284</c:v>
                </c:pt>
                <c:pt idx="285">
                  <c:v>285</c:v>
                </c:pt>
                <c:pt idx="286">
                  <c:v>286</c:v>
                </c:pt>
                <c:pt idx="287">
                  <c:v>287</c:v>
                </c:pt>
                <c:pt idx="288">
                  <c:v>288</c:v>
                </c:pt>
                <c:pt idx="289">
                  <c:v>289</c:v>
                </c:pt>
                <c:pt idx="290">
                  <c:v>290</c:v>
                </c:pt>
                <c:pt idx="291">
                  <c:v>291</c:v>
                </c:pt>
                <c:pt idx="292">
                  <c:v>292</c:v>
                </c:pt>
                <c:pt idx="293">
                  <c:v>293</c:v>
                </c:pt>
                <c:pt idx="294">
                  <c:v>294</c:v>
                </c:pt>
                <c:pt idx="295">
                  <c:v>295</c:v>
                </c:pt>
                <c:pt idx="296">
                  <c:v>296</c:v>
                </c:pt>
                <c:pt idx="297">
                  <c:v>297</c:v>
                </c:pt>
                <c:pt idx="298">
                  <c:v>298</c:v>
                </c:pt>
                <c:pt idx="299">
                  <c:v>299</c:v>
                </c:pt>
                <c:pt idx="300">
                  <c:v>300</c:v>
                </c:pt>
                <c:pt idx="301">
                  <c:v>301</c:v>
                </c:pt>
                <c:pt idx="302">
                  <c:v>302</c:v>
                </c:pt>
                <c:pt idx="303">
                  <c:v>303</c:v>
                </c:pt>
                <c:pt idx="304">
                  <c:v>304</c:v>
                </c:pt>
                <c:pt idx="305">
                  <c:v>305</c:v>
                </c:pt>
                <c:pt idx="306">
                  <c:v>306</c:v>
                </c:pt>
                <c:pt idx="307">
                  <c:v>307</c:v>
                </c:pt>
                <c:pt idx="308">
                  <c:v>308</c:v>
                </c:pt>
                <c:pt idx="309">
                  <c:v>309</c:v>
                </c:pt>
                <c:pt idx="310">
                  <c:v>310</c:v>
                </c:pt>
                <c:pt idx="311">
                  <c:v>311</c:v>
                </c:pt>
                <c:pt idx="312">
                  <c:v>312</c:v>
                </c:pt>
                <c:pt idx="313">
                  <c:v>313</c:v>
                </c:pt>
                <c:pt idx="314">
                  <c:v>314</c:v>
                </c:pt>
                <c:pt idx="315">
                  <c:v>315</c:v>
                </c:pt>
                <c:pt idx="316">
                  <c:v>316</c:v>
                </c:pt>
                <c:pt idx="317">
                  <c:v>317</c:v>
                </c:pt>
                <c:pt idx="318">
                  <c:v>318</c:v>
                </c:pt>
                <c:pt idx="319">
                  <c:v>319</c:v>
                </c:pt>
                <c:pt idx="320">
                  <c:v>320</c:v>
                </c:pt>
                <c:pt idx="321">
                  <c:v>321</c:v>
                </c:pt>
                <c:pt idx="322">
                  <c:v>322</c:v>
                </c:pt>
                <c:pt idx="323">
                  <c:v>323</c:v>
                </c:pt>
                <c:pt idx="324">
                  <c:v>324</c:v>
                </c:pt>
                <c:pt idx="325">
                  <c:v>325</c:v>
                </c:pt>
                <c:pt idx="326">
                  <c:v>326</c:v>
                </c:pt>
                <c:pt idx="327">
                  <c:v>327</c:v>
                </c:pt>
                <c:pt idx="328">
                  <c:v>328</c:v>
                </c:pt>
                <c:pt idx="329">
                  <c:v>329</c:v>
                </c:pt>
                <c:pt idx="330">
                  <c:v>330</c:v>
                </c:pt>
                <c:pt idx="331">
                  <c:v>331</c:v>
                </c:pt>
                <c:pt idx="332">
                  <c:v>332</c:v>
                </c:pt>
                <c:pt idx="333">
                  <c:v>333</c:v>
                </c:pt>
                <c:pt idx="334">
                  <c:v>334</c:v>
                </c:pt>
                <c:pt idx="335">
                  <c:v>335</c:v>
                </c:pt>
                <c:pt idx="336">
                  <c:v>336</c:v>
                </c:pt>
                <c:pt idx="337">
                  <c:v>337</c:v>
                </c:pt>
                <c:pt idx="338">
                  <c:v>338</c:v>
                </c:pt>
                <c:pt idx="339">
                  <c:v>339</c:v>
                </c:pt>
                <c:pt idx="340">
                  <c:v>340</c:v>
                </c:pt>
                <c:pt idx="341">
                  <c:v>341</c:v>
                </c:pt>
                <c:pt idx="342">
                  <c:v>342</c:v>
                </c:pt>
                <c:pt idx="343">
                  <c:v>343</c:v>
                </c:pt>
                <c:pt idx="344">
                  <c:v>344</c:v>
                </c:pt>
                <c:pt idx="345">
                  <c:v>345</c:v>
                </c:pt>
                <c:pt idx="346">
                  <c:v>346</c:v>
                </c:pt>
                <c:pt idx="347">
                  <c:v>347</c:v>
                </c:pt>
                <c:pt idx="348">
                  <c:v>348</c:v>
                </c:pt>
                <c:pt idx="349">
                  <c:v>349</c:v>
                </c:pt>
                <c:pt idx="350">
                  <c:v>350</c:v>
                </c:pt>
                <c:pt idx="351">
                  <c:v>351</c:v>
                </c:pt>
                <c:pt idx="352">
                  <c:v>352</c:v>
                </c:pt>
                <c:pt idx="353">
                  <c:v>353</c:v>
                </c:pt>
                <c:pt idx="354">
                  <c:v>354</c:v>
                </c:pt>
                <c:pt idx="355">
                  <c:v>355</c:v>
                </c:pt>
                <c:pt idx="356">
                  <c:v>356</c:v>
                </c:pt>
                <c:pt idx="357">
                  <c:v>357</c:v>
                </c:pt>
                <c:pt idx="358">
                  <c:v>358</c:v>
                </c:pt>
                <c:pt idx="359">
                  <c:v>359</c:v>
                </c:pt>
                <c:pt idx="360">
                  <c:v>360</c:v>
                </c:pt>
                <c:pt idx="361">
                  <c:v>361</c:v>
                </c:pt>
                <c:pt idx="362">
                  <c:v>362</c:v>
                </c:pt>
                <c:pt idx="363">
                  <c:v>363</c:v>
                </c:pt>
                <c:pt idx="364">
                  <c:v>364</c:v>
                </c:pt>
                <c:pt idx="365">
                  <c:v>365</c:v>
                </c:pt>
                <c:pt idx="366">
                  <c:v>366</c:v>
                </c:pt>
                <c:pt idx="367">
                  <c:v>367</c:v>
                </c:pt>
                <c:pt idx="368">
                  <c:v>368</c:v>
                </c:pt>
                <c:pt idx="369">
                  <c:v>369</c:v>
                </c:pt>
                <c:pt idx="370">
                  <c:v>370</c:v>
                </c:pt>
                <c:pt idx="371">
                  <c:v>371</c:v>
                </c:pt>
                <c:pt idx="372">
                  <c:v>372</c:v>
                </c:pt>
                <c:pt idx="373">
                  <c:v>373</c:v>
                </c:pt>
                <c:pt idx="374">
                  <c:v>374</c:v>
                </c:pt>
                <c:pt idx="375">
                  <c:v>375</c:v>
                </c:pt>
                <c:pt idx="376">
                  <c:v>376</c:v>
                </c:pt>
                <c:pt idx="377">
                  <c:v>377</c:v>
                </c:pt>
                <c:pt idx="378">
                  <c:v>378</c:v>
                </c:pt>
                <c:pt idx="379">
                  <c:v>379</c:v>
                </c:pt>
                <c:pt idx="380">
                  <c:v>380</c:v>
                </c:pt>
                <c:pt idx="381">
                  <c:v>381</c:v>
                </c:pt>
                <c:pt idx="382">
                  <c:v>382</c:v>
                </c:pt>
                <c:pt idx="383">
                  <c:v>383</c:v>
                </c:pt>
                <c:pt idx="384">
                  <c:v>384</c:v>
                </c:pt>
                <c:pt idx="385">
                  <c:v>385</c:v>
                </c:pt>
                <c:pt idx="386">
                  <c:v>386</c:v>
                </c:pt>
                <c:pt idx="387">
                  <c:v>387</c:v>
                </c:pt>
                <c:pt idx="388">
                  <c:v>388</c:v>
                </c:pt>
                <c:pt idx="389">
                  <c:v>389</c:v>
                </c:pt>
                <c:pt idx="390">
                  <c:v>390</c:v>
                </c:pt>
                <c:pt idx="391">
                  <c:v>391</c:v>
                </c:pt>
                <c:pt idx="392">
                  <c:v>392</c:v>
                </c:pt>
                <c:pt idx="393">
                  <c:v>393</c:v>
                </c:pt>
                <c:pt idx="394">
                  <c:v>394</c:v>
                </c:pt>
                <c:pt idx="395">
                  <c:v>395</c:v>
                </c:pt>
                <c:pt idx="396">
                  <c:v>396</c:v>
                </c:pt>
                <c:pt idx="397">
                  <c:v>397</c:v>
                </c:pt>
                <c:pt idx="398">
                  <c:v>398</c:v>
                </c:pt>
                <c:pt idx="399">
                  <c:v>399</c:v>
                </c:pt>
                <c:pt idx="400">
                  <c:v>400</c:v>
                </c:pt>
                <c:pt idx="401">
                  <c:v>401</c:v>
                </c:pt>
                <c:pt idx="402">
                  <c:v>402</c:v>
                </c:pt>
                <c:pt idx="403">
                  <c:v>403</c:v>
                </c:pt>
                <c:pt idx="404">
                  <c:v>404</c:v>
                </c:pt>
                <c:pt idx="405">
                  <c:v>405</c:v>
                </c:pt>
                <c:pt idx="406">
                  <c:v>406</c:v>
                </c:pt>
                <c:pt idx="407">
                  <c:v>407</c:v>
                </c:pt>
                <c:pt idx="408">
                  <c:v>408</c:v>
                </c:pt>
                <c:pt idx="409">
                  <c:v>409</c:v>
                </c:pt>
                <c:pt idx="410">
                  <c:v>410</c:v>
                </c:pt>
                <c:pt idx="411">
                  <c:v>411</c:v>
                </c:pt>
                <c:pt idx="412">
                  <c:v>412</c:v>
                </c:pt>
                <c:pt idx="413">
                  <c:v>413</c:v>
                </c:pt>
                <c:pt idx="414">
                  <c:v>414</c:v>
                </c:pt>
                <c:pt idx="415">
                  <c:v>415</c:v>
                </c:pt>
                <c:pt idx="416">
                  <c:v>416</c:v>
                </c:pt>
                <c:pt idx="417">
                  <c:v>417</c:v>
                </c:pt>
                <c:pt idx="418">
                  <c:v>418</c:v>
                </c:pt>
                <c:pt idx="419">
                  <c:v>419</c:v>
                </c:pt>
                <c:pt idx="420">
                  <c:v>420</c:v>
                </c:pt>
                <c:pt idx="421">
                  <c:v>421</c:v>
                </c:pt>
                <c:pt idx="422">
                  <c:v>422</c:v>
                </c:pt>
                <c:pt idx="423">
                  <c:v>423</c:v>
                </c:pt>
                <c:pt idx="424">
                  <c:v>424</c:v>
                </c:pt>
                <c:pt idx="425">
                  <c:v>425</c:v>
                </c:pt>
                <c:pt idx="426">
                  <c:v>426</c:v>
                </c:pt>
                <c:pt idx="427">
                  <c:v>427</c:v>
                </c:pt>
                <c:pt idx="428">
                  <c:v>428</c:v>
                </c:pt>
                <c:pt idx="429">
                  <c:v>429</c:v>
                </c:pt>
                <c:pt idx="430">
                  <c:v>430</c:v>
                </c:pt>
                <c:pt idx="431">
                  <c:v>431</c:v>
                </c:pt>
                <c:pt idx="432">
                  <c:v>432</c:v>
                </c:pt>
                <c:pt idx="433">
                  <c:v>433</c:v>
                </c:pt>
                <c:pt idx="434">
                  <c:v>434</c:v>
                </c:pt>
                <c:pt idx="435">
                  <c:v>435</c:v>
                </c:pt>
                <c:pt idx="436">
                  <c:v>436</c:v>
                </c:pt>
                <c:pt idx="437">
                  <c:v>437</c:v>
                </c:pt>
                <c:pt idx="438">
                  <c:v>438</c:v>
                </c:pt>
                <c:pt idx="439">
                  <c:v>439</c:v>
                </c:pt>
                <c:pt idx="440">
                  <c:v>440</c:v>
                </c:pt>
                <c:pt idx="441">
                  <c:v>441</c:v>
                </c:pt>
                <c:pt idx="442">
                  <c:v>442</c:v>
                </c:pt>
                <c:pt idx="443">
                  <c:v>443</c:v>
                </c:pt>
                <c:pt idx="444">
                  <c:v>444</c:v>
                </c:pt>
                <c:pt idx="445">
                  <c:v>445</c:v>
                </c:pt>
                <c:pt idx="446">
                  <c:v>446</c:v>
                </c:pt>
                <c:pt idx="447">
                  <c:v>447</c:v>
                </c:pt>
                <c:pt idx="448">
                  <c:v>448</c:v>
                </c:pt>
                <c:pt idx="449">
                  <c:v>449</c:v>
                </c:pt>
                <c:pt idx="450">
                  <c:v>450</c:v>
                </c:pt>
                <c:pt idx="451">
                  <c:v>451</c:v>
                </c:pt>
                <c:pt idx="452">
                  <c:v>452</c:v>
                </c:pt>
                <c:pt idx="453">
                  <c:v>453</c:v>
                </c:pt>
                <c:pt idx="454">
                  <c:v>454</c:v>
                </c:pt>
                <c:pt idx="455">
                  <c:v>455</c:v>
                </c:pt>
                <c:pt idx="456">
                  <c:v>456</c:v>
                </c:pt>
                <c:pt idx="457">
                  <c:v>457</c:v>
                </c:pt>
                <c:pt idx="458">
                  <c:v>458</c:v>
                </c:pt>
                <c:pt idx="459">
                  <c:v>459</c:v>
                </c:pt>
                <c:pt idx="460">
                  <c:v>460</c:v>
                </c:pt>
                <c:pt idx="461">
                  <c:v>461</c:v>
                </c:pt>
                <c:pt idx="462">
                  <c:v>462</c:v>
                </c:pt>
                <c:pt idx="463">
                  <c:v>463</c:v>
                </c:pt>
                <c:pt idx="464">
                  <c:v>464</c:v>
                </c:pt>
                <c:pt idx="465">
                  <c:v>465</c:v>
                </c:pt>
                <c:pt idx="466">
                  <c:v>466</c:v>
                </c:pt>
                <c:pt idx="467">
                  <c:v>467</c:v>
                </c:pt>
                <c:pt idx="468">
                  <c:v>468</c:v>
                </c:pt>
                <c:pt idx="469">
                  <c:v>469</c:v>
                </c:pt>
                <c:pt idx="470">
                  <c:v>470</c:v>
                </c:pt>
                <c:pt idx="471">
                  <c:v>471</c:v>
                </c:pt>
                <c:pt idx="472">
                  <c:v>472</c:v>
                </c:pt>
                <c:pt idx="473">
                  <c:v>473</c:v>
                </c:pt>
                <c:pt idx="474">
                  <c:v>474</c:v>
                </c:pt>
                <c:pt idx="475">
                  <c:v>475</c:v>
                </c:pt>
                <c:pt idx="476">
                  <c:v>476</c:v>
                </c:pt>
                <c:pt idx="477">
                  <c:v>477</c:v>
                </c:pt>
                <c:pt idx="478">
                  <c:v>478</c:v>
                </c:pt>
                <c:pt idx="479">
                  <c:v>479</c:v>
                </c:pt>
                <c:pt idx="480">
                  <c:v>480</c:v>
                </c:pt>
                <c:pt idx="481">
                  <c:v>481</c:v>
                </c:pt>
                <c:pt idx="482">
                  <c:v>482</c:v>
                </c:pt>
                <c:pt idx="483">
                  <c:v>483</c:v>
                </c:pt>
                <c:pt idx="484">
                  <c:v>484</c:v>
                </c:pt>
                <c:pt idx="485">
                  <c:v>485</c:v>
                </c:pt>
                <c:pt idx="486">
                  <c:v>486</c:v>
                </c:pt>
                <c:pt idx="487">
                  <c:v>487</c:v>
                </c:pt>
                <c:pt idx="488">
                  <c:v>488</c:v>
                </c:pt>
                <c:pt idx="489">
                  <c:v>489</c:v>
                </c:pt>
                <c:pt idx="490">
                  <c:v>490</c:v>
                </c:pt>
                <c:pt idx="491">
                  <c:v>491</c:v>
                </c:pt>
                <c:pt idx="492">
                  <c:v>492</c:v>
                </c:pt>
                <c:pt idx="493">
                  <c:v>493</c:v>
                </c:pt>
                <c:pt idx="494">
                  <c:v>494</c:v>
                </c:pt>
                <c:pt idx="495">
                  <c:v>495</c:v>
                </c:pt>
                <c:pt idx="496">
                  <c:v>496</c:v>
                </c:pt>
                <c:pt idx="497">
                  <c:v>497</c:v>
                </c:pt>
                <c:pt idx="498">
                  <c:v>498</c:v>
                </c:pt>
                <c:pt idx="499">
                  <c:v>499</c:v>
                </c:pt>
                <c:pt idx="500">
                  <c:v>500</c:v>
                </c:pt>
                <c:pt idx="501">
                  <c:v>501</c:v>
                </c:pt>
                <c:pt idx="502">
                  <c:v>502</c:v>
                </c:pt>
                <c:pt idx="503">
                  <c:v>503</c:v>
                </c:pt>
                <c:pt idx="504">
                  <c:v>504</c:v>
                </c:pt>
                <c:pt idx="505">
                  <c:v>505</c:v>
                </c:pt>
                <c:pt idx="506">
                  <c:v>506</c:v>
                </c:pt>
                <c:pt idx="507">
                  <c:v>507</c:v>
                </c:pt>
                <c:pt idx="508">
                  <c:v>508</c:v>
                </c:pt>
                <c:pt idx="509">
                  <c:v>509</c:v>
                </c:pt>
                <c:pt idx="510">
                  <c:v>510</c:v>
                </c:pt>
                <c:pt idx="511">
                  <c:v>511</c:v>
                </c:pt>
                <c:pt idx="512">
                  <c:v>512</c:v>
                </c:pt>
                <c:pt idx="513">
                  <c:v>513</c:v>
                </c:pt>
                <c:pt idx="514">
                  <c:v>514</c:v>
                </c:pt>
                <c:pt idx="515">
                  <c:v>515</c:v>
                </c:pt>
                <c:pt idx="516">
                  <c:v>516</c:v>
                </c:pt>
                <c:pt idx="517">
                  <c:v>517</c:v>
                </c:pt>
                <c:pt idx="518">
                  <c:v>518</c:v>
                </c:pt>
                <c:pt idx="519">
                  <c:v>519</c:v>
                </c:pt>
                <c:pt idx="520">
                  <c:v>520</c:v>
                </c:pt>
                <c:pt idx="521">
                  <c:v>521</c:v>
                </c:pt>
                <c:pt idx="522">
                  <c:v>522</c:v>
                </c:pt>
                <c:pt idx="523">
                  <c:v>523</c:v>
                </c:pt>
                <c:pt idx="524">
                  <c:v>524</c:v>
                </c:pt>
                <c:pt idx="525">
                  <c:v>525</c:v>
                </c:pt>
                <c:pt idx="526">
                  <c:v>526</c:v>
                </c:pt>
                <c:pt idx="527">
                  <c:v>527</c:v>
                </c:pt>
                <c:pt idx="528">
                  <c:v>528</c:v>
                </c:pt>
                <c:pt idx="529">
                  <c:v>529</c:v>
                </c:pt>
                <c:pt idx="530">
                  <c:v>530</c:v>
                </c:pt>
                <c:pt idx="531">
                  <c:v>531</c:v>
                </c:pt>
                <c:pt idx="532">
                  <c:v>532</c:v>
                </c:pt>
                <c:pt idx="533">
                  <c:v>533</c:v>
                </c:pt>
                <c:pt idx="534">
                  <c:v>534</c:v>
                </c:pt>
                <c:pt idx="535">
                  <c:v>535</c:v>
                </c:pt>
                <c:pt idx="536">
                  <c:v>536</c:v>
                </c:pt>
                <c:pt idx="537">
                  <c:v>537</c:v>
                </c:pt>
                <c:pt idx="538">
                  <c:v>538</c:v>
                </c:pt>
                <c:pt idx="539">
                  <c:v>539</c:v>
                </c:pt>
                <c:pt idx="540">
                  <c:v>540</c:v>
                </c:pt>
                <c:pt idx="541">
                  <c:v>541</c:v>
                </c:pt>
                <c:pt idx="542">
                  <c:v>542</c:v>
                </c:pt>
                <c:pt idx="543">
                  <c:v>543</c:v>
                </c:pt>
                <c:pt idx="544">
                  <c:v>544</c:v>
                </c:pt>
                <c:pt idx="545">
                  <c:v>545</c:v>
                </c:pt>
                <c:pt idx="546">
                  <c:v>546</c:v>
                </c:pt>
                <c:pt idx="547">
                  <c:v>547</c:v>
                </c:pt>
                <c:pt idx="548">
                  <c:v>548</c:v>
                </c:pt>
                <c:pt idx="549">
                  <c:v>549</c:v>
                </c:pt>
                <c:pt idx="550">
                  <c:v>550</c:v>
                </c:pt>
                <c:pt idx="551">
                  <c:v>551</c:v>
                </c:pt>
                <c:pt idx="552">
                  <c:v>552</c:v>
                </c:pt>
                <c:pt idx="553">
                  <c:v>553</c:v>
                </c:pt>
                <c:pt idx="554">
                  <c:v>554</c:v>
                </c:pt>
                <c:pt idx="555">
                  <c:v>555</c:v>
                </c:pt>
                <c:pt idx="556">
                  <c:v>556</c:v>
                </c:pt>
                <c:pt idx="557">
                  <c:v>557</c:v>
                </c:pt>
                <c:pt idx="558">
                  <c:v>558</c:v>
                </c:pt>
                <c:pt idx="559">
                  <c:v>559</c:v>
                </c:pt>
                <c:pt idx="560">
                  <c:v>560</c:v>
                </c:pt>
                <c:pt idx="561">
                  <c:v>561</c:v>
                </c:pt>
                <c:pt idx="562">
                  <c:v>562</c:v>
                </c:pt>
                <c:pt idx="563">
                  <c:v>563</c:v>
                </c:pt>
                <c:pt idx="564">
                  <c:v>564</c:v>
                </c:pt>
                <c:pt idx="565">
                  <c:v>565</c:v>
                </c:pt>
                <c:pt idx="566">
                  <c:v>566</c:v>
                </c:pt>
                <c:pt idx="567">
                  <c:v>567</c:v>
                </c:pt>
                <c:pt idx="568">
                  <c:v>568</c:v>
                </c:pt>
                <c:pt idx="569">
                  <c:v>569</c:v>
                </c:pt>
                <c:pt idx="570">
                  <c:v>570</c:v>
                </c:pt>
                <c:pt idx="571">
                  <c:v>571</c:v>
                </c:pt>
                <c:pt idx="572">
                  <c:v>572</c:v>
                </c:pt>
                <c:pt idx="573">
                  <c:v>573</c:v>
                </c:pt>
                <c:pt idx="574">
                  <c:v>574</c:v>
                </c:pt>
                <c:pt idx="575">
                  <c:v>575</c:v>
                </c:pt>
                <c:pt idx="576">
                  <c:v>576</c:v>
                </c:pt>
                <c:pt idx="577">
                  <c:v>577</c:v>
                </c:pt>
                <c:pt idx="578">
                  <c:v>578</c:v>
                </c:pt>
                <c:pt idx="579">
                  <c:v>579</c:v>
                </c:pt>
                <c:pt idx="580">
                  <c:v>580</c:v>
                </c:pt>
                <c:pt idx="581">
                  <c:v>581</c:v>
                </c:pt>
                <c:pt idx="582">
                  <c:v>582</c:v>
                </c:pt>
                <c:pt idx="583">
                  <c:v>583</c:v>
                </c:pt>
                <c:pt idx="584">
                  <c:v>584</c:v>
                </c:pt>
                <c:pt idx="585">
                  <c:v>585</c:v>
                </c:pt>
                <c:pt idx="586">
                  <c:v>586</c:v>
                </c:pt>
                <c:pt idx="587">
                  <c:v>587</c:v>
                </c:pt>
                <c:pt idx="588">
                  <c:v>588</c:v>
                </c:pt>
                <c:pt idx="589">
                  <c:v>589</c:v>
                </c:pt>
                <c:pt idx="590">
                  <c:v>590</c:v>
                </c:pt>
                <c:pt idx="591">
                  <c:v>591</c:v>
                </c:pt>
                <c:pt idx="592">
                  <c:v>592</c:v>
                </c:pt>
                <c:pt idx="593">
                  <c:v>593</c:v>
                </c:pt>
                <c:pt idx="594">
                  <c:v>594</c:v>
                </c:pt>
                <c:pt idx="595">
                  <c:v>595</c:v>
                </c:pt>
                <c:pt idx="596">
                  <c:v>596</c:v>
                </c:pt>
                <c:pt idx="597">
                  <c:v>597</c:v>
                </c:pt>
                <c:pt idx="598">
                  <c:v>598</c:v>
                </c:pt>
                <c:pt idx="599">
                  <c:v>599</c:v>
                </c:pt>
                <c:pt idx="600">
                  <c:v>600</c:v>
                </c:pt>
                <c:pt idx="601">
                  <c:v>601</c:v>
                </c:pt>
                <c:pt idx="602">
                  <c:v>602</c:v>
                </c:pt>
                <c:pt idx="603">
                  <c:v>603</c:v>
                </c:pt>
                <c:pt idx="604">
                  <c:v>604</c:v>
                </c:pt>
                <c:pt idx="605">
                  <c:v>605</c:v>
                </c:pt>
                <c:pt idx="606">
                  <c:v>606</c:v>
                </c:pt>
                <c:pt idx="607">
                  <c:v>607</c:v>
                </c:pt>
                <c:pt idx="608">
                  <c:v>608</c:v>
                </c:pt>
                <c:pt idx="609">
                  <c:v>609</c:v>
                </c:pt>
                <c:pt idx="610">
                  <c:v>610</c:v>
                </c:pt>
                <c:pt idx="611">
                  <c:v>611</c:v>
                </c:pt>
                <c:pt idx="612">
                  <c:v>612</c:v>
                </c:pt>
                <c:pt idx="613">
                  <c:v>613</c:v>
                </c:pt>
                <c:pt idx="614">
                  <c:v>614</c:v>
                </c:pt>
                <c:pt idx="615">
                  <c:v>615</c:v>
                </c:pt>
                <c:pt idx="616">
                  <c:v>616</c:v>
                </c:pt>
                <c:pt idx="617">
                  <c:v>617</c:v>
                </c:pt>
                <c:pt idx="618">
                  <c:v>618</c:v>
                </c:pt>
                <c:pt idx="619">
                  <c:v>619</c:v>
                </c:pt>
                <c:pt idx="620">
                  <c:v>620</c:v>
                </c:pt>
                <c:pt idx="621">
                  <c:v>621</c:v>
                </c:pt>
                <c:pt idx="622">
                  <c:v>622</c:v>
                </c:pt>
                <c:pt idx="623">
                  <c:v>623</c:v>
                </c:pt>
                <c:pt idx="624">
                  <c:v>624</c:v>
                </c:pt>
                <c:pt idx="625">
                  <c:v>625</c:v>
                </c:pt>
                <c:pt idx="626">
                  <c:v>626</c:v>
                </c:pt>
                <c:pt idx="627">
                  <c:v>627</c:v>
                </c:pt>
                <c:pt idx="628">
                  <c:v>628</c:v>
                </c:pt>
                <c:pt idx="629">
                  <c:v>629</c:v>
                </c:pt>
                <c:pt idx="630">
                  <c:v>630</c:v>
                </c:pt>
                <c:pt idx="631">
                  <c:v>631</c:v>
                </c:pt>
                <c:pt idx="632">
                  <c:v>632</c:v>
                </c:pt>
                <c:pt idx="633">
                  <c:v>633</c:v>
                </c:pt>
                <c:pt idx="634">
                  <c:v>634</c:v>
                </c:pt>
                <c:pt idx="635">
                  <c:v>635</c:v>
                </c:pt>
                <c:pt idx="636">
                  <c:v>636</c:v>
                </c:pt>
                <c:pt idx="637">
                  <c:v>637</c:v>
                </c:pt>
                <c:pt idx="638">
                  <c:v>638</c:v>
                </c:pt>
                <c:pt idx="639">
                  <c:v>639</c:v>
                </c:pt>
                <c:pt idx="640">
                  <c:v>640</c:v>
                </c:pt>
                <c:pt idx="641">
                  <c:v>641</c:v>
                </c:pt>
                <c:pt idx="642">
                  <c:v>642</c:v>
                </c:pt>
                <c:pt idx="643">
                  <c:v>643</c:v>
                </c:pt>
                <c:pt idx="644">
                  <c:v>644</c:v>
                </c:pt>
                <c:pt idx="645">
                  <c:v>645</c:v>
                </c:pt>
                <c:pt idx="646">
                  <c:v>646</c:v>
                </c:pt>
                <c:pt idx="647">
                  <c:v>647</c:v>
                </c:pt>
                <c:pt idx="648">
                  <c:v>648</c:v>
                </c:pt>
                <c:pt idx="649">
                  <c:v>649</c:v>
                </c:pt>
                <c:pt idx="650">
                  <c:v>650</c:v>
                </c:pt>
                <c:pt idx="651">
                  <c:v>651</c:v>
                </c:pt>
                <c:pt idx="652">
                  <c:v>652</c:v>
                </c:pt>
                <c:pt idx="653">
                  <c:v>653</c:v>
                </c:pt>
                <c:pt idx="654">
                  <c:v>654</c:v>
                </c:pt>
                <c:pt idx="655">
                  <c:v>655</c:v>
                </c:pt>
                <c:pt idx="656">
                  <c:v>656</c:v>
                </c:pt>
                <c:pt idx="657">
                  <c:v>657</c:v>
                </c:pt>
                <c:pt idx="658">
                  <c:v>658</c:v>
                </c:pt>
                <c:pt idx="659">
                  <c:v>659</c:v>
                </c:pt>
                <c:pt idx="660">
                  <c:v>660</c:v>
                </c:pt>
                <c:pt idx="661">
                  <c:v>661</c:v>
                </c:pt>
                <c:pt idx="662">
                  <c:v>662</c:v>
                </c:pt>
                <c:pt idx="663">
                  <c:v>663</c:v>
                </c:pt>
                <c:pt idx="664">
                  <c:v>664</c:v>
                </c:pt>
                <c:pt idx="665">
                  <c:v>665</c:v>
                </c:pt>
                <c:pt idx="666">
                  <c:v>666</c:v>
                </c:pt>
                <c:pt idx="667">
                  <c:v>667</c:v>
                </c:pt>
                <c:pt idx="668">
                  <c:v>668</c:v>
                </c:pt>
                <c:pt idx="669">
                  <c:v>669</c:v>
                </c:pt>
                <c:pt idx="670">
                  <c:v>670</c:v>
                </c:pt>
                <c:pt idx="671">
                  <c:v>671</c:v>
                </c:pt>
                <c:pt idx="672">
                  <c:v>672</c:v>
                </c:pt>
                <c:pt idx="673">
                  <c:v>673</c:v>
                </c:pt>
                <c:pt idx="674">
                  <c:v>674</c:v>
                </c:pt>
                <c:pt idx="675">
                  <c:v>675</c:v>
                </c:pt>
                <c:pt idx="676">
                  <c:v>676</c:v>
                </c:pt>
                <c:pt idx="677">
                  <c:v>677</c:v>
                </c:pt>
                <c:pt idx="678">
                  <c:v>678</c:v>
                </c:pt>
                <c:pt idx="679">
                  <c:v>679</c:v>
                </c:pt>
                <c:pt idx="680">
                  <c:v>680</c:v>
                </c:pt>
                <c:pt idx="681">
                  <c:v>681</c:v>
                </c:pt>
                <c:pt idx="682">
                  <c:v>682</c:v>
                </c:pt>
                <c:pt idx="683">
                  <c:v>683</c:v>
                </c:pt>
                <c:pt idx="684">
                  <c:v>684</c:v>
                </c:pt>
                <c:pt idx="685">
                  <c:v>685</c:v>
                </c:pt>
                <c:pt idx="686">
                  <c:v>686</c:v>
                </c:pt>
                <c:pt idx="687">
                  <c:v>687</c:v>
                </c:pt>
                <c:pt idx="688">
                  <c:v>688</c:v>
                </c:pt>
                <c:pt idx="689">
                  <c:v>689</c:v>
                </c:pt>
                <c:pt idx="690">
                  <c:v>690</c:v>
                </c:pt>
                <c:pt idx="691">
                  <c:v>691</c:v>
                </c:pt>
                <c:pt idx="692">
                  <c:v>692</c:v>
                </c:pt>
                <c:pt idx="693">
                  <c:v>693</c:v>
                </c:pt>
                <c:pt idx="694">
                  <c:v>694</c:v>
                </c:pt>
                <c:pt idx="695">
                  <c:v>695</c:v>
                </c:pt>
                <c:pt idx="696">
                  <c:v>696</c:v>
                </c:pt>
                <c:pt idx="697">
                  <c:v>697</c:v>
                </c:pt>
                <c:pt idx="698">
                  <c:v>698</c:v>
                </c:pt>
                <c:pt idx="699">
                  <c:v>699</c:v>
                </c:pt>
                <c:pt idx="700">
                  <c:v>700</c:v>
                </c:pt>
                <c:pt idx="701">
                  <c:v>701</c:v>
                </c:pt>
                <c:pt idx="702">
                  <c:v>702</c:v>
                </c:pt>
                <c:pt idx="703">
                  <c:v>703</c:v>
                </c:pt>
                <c:pt idx="704">
                  <c:v>704</c:v>
                </c:pt>
                <c:pt idx="705">
                  <c:v>705</c:v>
                </c:pt>
                <c:pt idx="706">
                  <c:v>706</c:v>
                </c:pt>
                <c:pt idx="707">
                  <c:v>707</c:v>
                </c:pt>
                <c:pt idx="708">
                  <c:v>708</c:v>
                </c:pt>
                <c:pt idx="709">
                  <c:v>709</c:v>
                </c:pt>
                <c:pt idx="710">
                  <c:v>710</c:v>
                </c:pt>
                <c:pt idx="711">
                  <c:v>711</c:v>
                </c:pt>
                <c:pt idx="712">
                  <c:v>712</c:v>
                </c:pt>
                <c:pt idx="713">
                  <c:v>713</c:v>
                </c:pt>
                <c:pt idx="714">
                  <c:v>714</c:v>
                </c:pt>
                <c:pt idx="715">
                  <c:v>715</c:v>
                </c:pt>
                <c:pt idx="716">
                  <c:v>716</c:v>
                </c:pt>
                <c:pt idx="717">
                  <c:v>717</c:v>
                </c:pt>
                <c:pt idx="718">
                  <c:v>718</c:v>
                </c:pt>
                <c:pt idx="719">
                  <c:v>719</c:v>
                </c:pt>
                <c:pt idx="720">
                  <c:v>720</c:v>
                </c:pt>
                <c:pt idx="721">
                  <c:v>721</c:v>
                </c:pt>
                <c:pt idx="722">
                  <c:v>722</c:v>
                </c:pt>
                <c:pt idx="723">
                  <c:v>723</c:v>
                </c:pt>
                <c:pt idx="724">
                  <c:v>724</c:v>
                </c:pt>
                <c:pt idx="725">
                  <c:v>725</c:v>
                </c:pt>
                <c:pt idx="726">
                  <c:v>726</c:v>
                </c:pt>
                <c:pt idx="727">
                  <c:v>727</c:v>
                </c:pt>
                <c:pt idx="728">
                  <c:v>728</c:v>
                </c:pt>
                <c:pt idx="729">
                  <c:v>729</c:v>
                </c:pt>
                <c:pt idx="730">
                  <c:v>730</c:v>
                </c:pt>
                <c:pt idx="731">
                  <c:v>731</c:v>
                </c:pt>
                <c:pt idx="732">
                  <c:v>732</c:v>
                </c:pt>
                <c:pt idx="733">
                  <c:v>733</c:v>
                </c:pt>
                <c:pt idx="734">
                  <c:v>734</c:v>
                </c:pt>
                <c:pt idx="735">
                  <c:v>735</c:v>
                </c:pt>
                <c:pt idx="736">
                  <c:v>736</c:v>
                </c:pt>
                <c:pt idx="737">
                  <c:v>737</c:v>
                </c:pt>
                <c:pt idx="738">
                  <c:v>738</c:v>
                </c:pt>
                <c:pt idx="739">
                  <c:v>739</c:v>
                </c:pt>
                <c:pt idx="740">
                  <c:v>740</c:v>
                </c:pt>
                <c:pt idx="741">
                  <c:v>741</c:v>
                </c:pt>
                <c:pt idx="742">
                  <c:v>742</c:v>
                </c:pt>
                <c:pt idx="743">
                  <c:v>743</c:v>
                </c:pt>
                <c:pt idx="744">
                  <c:v>744</c:v>
                </c:pt>
                <c:pt idx="745">
                  <c:v>745</c:v>
                </c:pt>
                <c:pt idx="746">
                  <c:v>746</c:v>
                </c:pt>
                <c:pt idx="747">
                  <c:v>747</c:v>
                </c:pt>
                <c:pt idx="748">
                  <c:v>748</c:v>
                </c:pt>
                <c:pt idx="749">
                  <c:v>749</c:v>
                </c:pt>
                <c:pt idx="750">
                  <c:v>750</c:v>
                </c:pt>
                <c:pt idx="751">
                  <c:v>751</c:v>
                </c:pt>
                <c:pt idx="752">
                  <c:v>752</c:v>
                </c:pt>
                <c:pt idx="753">
                  <c:v>753</c:v>
                </c:pt>
                <c:pt idx="754">
                  <c:v>754</c:v>
                </c:pt>
                <c:pt idx="755">
                  <c:v>755</c:v>
                </c:pt>
                <c:pt idx="756">
                  <c:v>756</c:v>
                </c:pt>
                <c:pt idx="757">
                  <c:v>757</c:v>
                </c:pt>
                <c:pt idx="758">
                  <c:v>758</c:v>
                </c:pt>
                <c:pt idx="759">
                  <c:v>759</c:v>
                </c:pt>
                <c:pt idx="760">
                  <c:v>760</c:v>
                </c:pt>
                <c:pt idx="761">
                  <c:v>761</c:v>
                </c:pt>
                <c:pt idx="762">
                  <c:v>762</c:v>
                </c:pt>
                <c:pt idx="763">
                  <c:v>763</c:v>
                </c:pt>
                <c:pt idx="764">
                  <c:v>764</c:v>
                </c:pt>
                <c:pt idx="765">
                  <c:v>765</c:v>
                </c:pt>
                <c:pt idx="766">
                  <c:v>766</c:v>
                </c:pt>
                <c:pt idx="767">
                  <c:v>767</c:v>
                </c:pt>
                <c:pt idx="768">
                  <c:v>768</c:v>
                </c:pt>
                <c:pt idx="769">
                  <c:v>769</c:v>
                </c:pt>
                <c:pt idx="770">
                  <c:v>770</c:v>
                </c:pt>
                <c:pt idx="771">
                  <c:v>771</c:v>
                </c:pt>
                <c:pt idx="772">
                  <c:v>772</c:v>
                </c:pt>
                <c:pt idx="773">
                  <c:v>773</c:v>
                </c:pt>
                <c:pt idx="774">
                  <c:v>774</c:v>
                </c:pt>
                <c:pt idx="775">
                  <c:v>775</c:v>
                </c:pt>
                <c:pt idx="776">
                  <c:v>776</c:v>
                </c:pt>
                <c:pt idx="777">
                  <c:v>777</c:v>
                </c:pt>
                <c:pt idx="778">
                  <c:v>778</c:v>
                </c:pt>
                <c:pt idx="779">
                  <c:v>779</c:v>
                </c:pt>
                <c:pt idx="780">
                  <c:v>780</c:v>
                </c:pt>
                <c:pt idx="781">
                  <c:v>781</c:v>
                </c:pt>
                <c:pt idx="782">
                  <c:v>782</c:v>
                </c:pt>
                <c:pt idx="783">
                  <c:v>783</c:v>
                </c:pt>
                <c:pt idx="784">
                  <c:v>784</c:v>
                </c:pt>
                <c:pt idx="785">
                  <c:v>785</c:v>
                </c:pt>
                <c:pt idx="786">
                  <c:v>786</c:v>
                </c:pt>
                <c:pt idx="787">
                  <c:v>787</c:v>
                </c:pt>
                <c:pt idx="788">
                  <c:v>788</c:v>
                </c:pt>
                <c:pt idx="789">
                  <c:v>789</c:v>
                </c:pt>
                <c:pt idx="790">
                  <c:v>790</c:v>
                </c:pt>
                <c:pt idx="791">
                  <c:v>791</c:v>
                </c:pt>
                <c:pt idx="792">
                  <c:v>792</c:v>
                </c:pt>
                <c:pt idx="793">
                  <c:v>793</c:v>
                </c:pt>
                <c:pt idx="794">
                  <c:v>794</c:v>
                </c:pt>
                <c:pt idx="795">
                  <c:v>795</c:v>
                </c:pt>
                <c:pt idx="796">
                  <c:v>796</c:v>
                </c:pt>
                <c:pt idx="797">
                  <c:v>797</c:v>
                </c:pt>
                <c:pt idx="798">
                  <c:v>798</c:v>
                </c:pt>
                <c:pt idx="799">
                  <c:v>799</c:v>
                </c:pt>
                <c:pt idx="800">
                  <c:v>800</c:v>
                </c:pt>
                <c:pt idx="801">
                  <c:v>801</c:v>
                </c:pt>
                <c:pt idx="802">
                  <c:v>802</c:v>
                </c:pt>
                <c:pt idx="803">
                  <c:v>803</c:v>
                </c:pt>
                <c:pt idx="804">
                  <c:v>804</c:v>
                </c:pt>
                <c:pt idx="805">
                  <c:v>805</c:v>
                </c:pt>
                <c:pt idx="806">
                  <c:v>806</c:v>
                </c:pt>
                <c:pt idx="807">
                  <c:v>807</c:v>
                </c:pt>
                <c:pt idx="808">
                  <c:v>808</c:v>
                </c:pt>
                <c:pt idx="809">
                  <c:v>809</c:v>
                </c:pt>
                <c:pt idx="810">
                  <c:v>810</c:v>
                </c:pt>
                <c:pt idx="811">
                  <c:v>811</c:v>
                </c:pt>
                <c:pt idx="812">
                  <c:v>812</c:v>
                </c:pt>
                <c:pt idx="813">
                  <c:v>813</c:v>
                </c:pt>
                <c:pt idx="814">
                  <c:v>814</c:v>
                </c:pt>
                <c:pt idx="815">
                  <c:v>815</c:v>
                </c:pt>
                <c:pt idx="816">
                  <c:v>816</c:v>
                </c:pt>
                <c:pt idx="817">
                  <c:v>817</c:v>
                </c:pt>
                <c:pt idx="818">
                  <c:v>818</c:v>
                </c:pt>
                <c:pt idx="819">
                  <c:v>819</c:v>
                </c:pt>
                <c:pt idx="820">
                  <c:v>820</c:v>
                </c:pt>
                <c:pt idx="821">
                  <c:v>821</c:v>
                </c:pt>
                <c:pt idx="822">
                  <c:v>822</c:v>
                </c:pt>
                <c:pt idx="823">
                  <c:v>823</c:v>
                </c:pt>
                <c:pt idx="824">
                  <c:v>824</c:v>
                </c:pt>
                <c:pt idx="825">
                  <c:v>825</c:v>
                </c:pt>
                <c:pt idx="826">
                  <c:v>826</c:v>
                </c:pt>
                <c:pt idx="827">
                  <c:v>827</c:v>
                </c:pt>
                <c:pt idx="828">
                  <c:v>828</c:v>
                </c:pt>
                <c:pt idx="829">
                  <c:v>829</c:v>
                </c:pt>
                <c:pt idx="830">
                  <c:v>830</c:v>
                </c:pt>
                <c:pt idx="831">
                  <c:v>831</c:v>
                </c:pt>
                <c:pt idx="832">
                  <c:v>832</c:v>
                </c:pt>
                <c:pt idx="833">
                  <c:v>833</c:v>
                </c:pt>
                <c:pt idx="834">
                  <c:v>834</c:v>
                </c:pt>
                <c:pt idx="835">
                  <c:v>835</c:v>
                </c:pt>
                <c:pt idx="836">
                  <c:v>836</c:v>
                </c:pt>
                <c:pt idx="837">
                  <c:v>837</c:v>
                </c:pt>
                <c:pt idx="838">
                  <c:v>838</c:v>
                </c:pt>
                <c:pt idx="839">
                  <c:v>839</c:v>
                </c:pt>
                <c:pt idx="840">
                  <c:v>840</c:v>
                </c:pt>
                <c:pt idx="841">
                  <c:v>841</c:v>
                </c:pt>
                <c:pt idx="842">
                  <c:v>842</c:v>
                </c:pt>
                <c:pt idx="843">
                  <c:v>843</c:v>
                </c:pt>
                <c:pt idx="844">
                  <c:v>844</c:v>
                </c:pt>
                <c:pt idx="845">
                  <c:v>845</c:v>
                </c:pt>
                <c:pt idx="846">
                  <c:v>846</c:v>
                </c:pt>
                <c:pt idx="847">
                  <c:v>847</c:v>
                </c:pt>
                <c:pt idx="848">
                  <c:v>848</c:v>
                </c:pt>
                <c:pt idx="849">
                  <c:v>849</c:v>
                </c:pt>
                <c:pt idx="850">
                  <c:v>850</c:v>
                </c:pt>
                <c:pt idx="851">
                  <c:v>851</c:v>
                </c:pt>
                <c:pt idx="852">
                  <c:v>852</c:v>
                </c:pt>
                <c:pt idx="853">
                  <c:v>853</c:v>
                </c:pt>
                <c:pt idx="854">
                  <c:v>854</c:v>
                </c:pt>
                <c:pt idx="855">
                  <c:v>855</c:v>
                </c:pt>
                <c:pt idx="856">
                  <c:v>856</c:v>
                </c:pt>
                <c:pt idx="857">
                  <c:v>857</c:v>
                </c:pt>
                <c:pt idx="858">
                  <c:v>858</c:v>
                </c:pt>
                <c:pt idx="859">
                  <c:v>859</c:v>
                </c:pt>
                <c:pt idx="860">
                  <c:v>860</c:v>
                </c:pt>
                <c:pt idx="861">
                  <c:v>861</c:v>
                </c:pt>
                <c:pt idx="862">
                  <c:v>862</c:v>
                </c:pt>
                <c:pt idx="863">
                  <c:v>863</c:v>
                </c:pt>
                <c:pt idx="864">
                  <c:v>864</c:v>
                </c:pt>
                <c:pt idx="865">
                  <c:v>865</c:v>
                </c:pt>
                <c:pt idx="866">
                  <c:v>866</c:v>
                </c:pt>
                <c:pt idx="867">
                  <c:v>867</c:v>
                </c:pt>
                <c:pt idx="868">
                  <c:v>868</c:v>
                </c:pt>
                <c:pt idx="869">
                  <c:v>869</c:v>
                </c:pt>
                <c:pt idx="870">
                  <c:v>870</c:v>
                </c:pt>
                <c:pt idx="871">
                  <c:v>871</c:v>
                </c:pt>
                <c:pt idx="872">
                  <c:v>872</c:v>
                </c:pt>
                <c:pt idx="873">
                  <c:v>873</c:v>
                </c:pt>
                <c:pt idx="874">
                  <c:v>874</c:v>
                </c:pt>
                <c:pt idx="875">
                  <c:v>875</c:v>
                </c:pt>
                <c:pt idx="876">
                  <c:v>876</c:v>
                </c:pt>
                <c:pt idx="877">
                  <c:v>877</c:v>
                </c:pt>
                <c:pt idx="878">
                  <c:v>878</c:v>
                </c:pt>
                <c:pt idx="879">
                  <c:v>879</c:v>
                </c:pt>
                <c:pt idx="880">
                  <c:v>880</c:v>
                </c:pt>
                <c:pt idx="881">
                  <c:v>881</c:v>
                </c:pt>
                <c:pt idx="882">
                  <c:v>882</c:v>
                </c:pt>
                <c:pt idx="883">
                  <c:v>883</c:v>
                </c:pt>
                <c:pt idx="884">
                  <c:v>884</c:v>
                </c:pt>
                <c:pt idx="885">
                  <c:v>885</c:v>
                </c:pt>
                <c:pt idx="886">
                  <c:v>886</c:v>
                </c:pt>
                <c:pt idx="887">
                  <c:v>887</c:v>
                </c:pt>
                <c:pt idx="888">
                  <c:v>888</c:v>
                </c:pt>
                <c:pt idx="889">
                  <c:v>889</c:v>
                </c:pt>
                <c:pt idx="890">
                  <c:v>890</c:v>
                </c:pt>
                <c:pt idx="891">
                  <c:v>891</c:v>
                </c:pt>
                <c:pt idx="892">
                  <c:v>892</c:v>
                </c:pt>
                <c:pt idx="893">
                  <c:v>893</c:v>
                </c:pt>
                <c:pt idx="894">
                  <c:v>894</c:v>
                </c:pt>
                <c:pt idx="895">
                  <c:v>895</c:v>
                </c:pt>
                <c:pt idx="896">
                  <c:v>896</c:v>
                </c:pt>
                <c:pt idx="897">
                  <c:v>897</c:v>
                </c:pt>
                <c:pt idx="898">
                  <c:v>898</c:v>
                </c:pt>
                <c:pt idx="899">
                  <c:v>899</c:v>
                </c:pt>
                <c:pt idx="900">
                  <c:v>900</c:v>
                </c:pt>
                <c:pt idx="901">
                  <c:v>901</c:v>
                </c:pt>
                <c:pt idx="902">
                  <c:v>902</c:v>
                </c:pt>
                <c:pt idx="903">
                  <c:v>903</c:v>
                </c:pt>
                <c:pt idx="904">
                  <c:v>904</c:v>
                </c:pt>
                <c:pt idx="905">
                  <c:v>905</c:v>
                </c:pt>
                <c:pt idx="906">
                  <c:v>906</c:v>
                </c:pt>
                <c:pt idx="907">
                  <c:v>907</c:v>
                </c:pt>
                <c:pt idx="908">
                  <c:v>908</c:v>
                </c:pt>
                <c:pt idx="909">
                  <c:v>909</c:v>
                </c:pt>
                <c:pt idx="910">
                  <c:v>910</c:v>
                </c:pt>
                <c:pt idx="911">
                  <c:v>911</c:v>
                </c:pt>
                <c:pt idx="912">
                  <c:v>912</c:v>
                </c:pt>
                <c:pt idx="913">
                  <c:v>913</c:v>
                </c:pt>
                <c:pt idx="914">
                  <c:v>914</c:v>
                </c:pt>
                <c:pt idx="915">
                  <c:v>915</c:v>
                </c:pt>
                <c:pt idx="916">
                  <c:v>916</c:v>
                </c:pt>
                <c:pt idx="917">
                  <c:v>917</c:v>
                </c:pt>
                <c:pt idx="918">
                  <c:v>918</c:v>
                </c:pt>
                <c:pt idx="919">
                  <c:v>919</c:v>
                </c:pt>
                <c:pt idx="920">
                  <c:v>920</c:v>
                </c:pt>
                <c:pt idx="921">
                  <c:v>921</c:v>
                </c:pt>
                <c:pt idx="922">
                  <c:v>922</c:v>
                </c:pt>
                <c:pt idx="923">
                  <c:v>923</c:v>
                </c:pt>
                <c:pt idx="924">
                  <c:v>924</c:v>
                </c:pt>
                <c:pt idx="925">
                  <c:v>925</c:v>
                </c:pt>
                <c:pt idx="926">
                  <c:v>926</c:v>
                </c:pt>
                <c:pt idx="927">
                  <c:v>927</c:v>
                </c:pt>
                <c:pt idx="928">
                  <c:v>928</c:v>
                </c:pt>
                <c:pt idx="929">
                  <c:v>929</c:v>
                </c:pt>
                <c:pt idx="930">
                  <c:v>930</c:v>
                </c:pt>
                <c:pt idx="931">
                  <c:v>931</c:v>
                </c:pt>
                <c:pt idx="932">
                  <c:v>932</c:v>
                </c:pt>
                <c:pt idx="933">
                  <c:v>933</c:v>
                </c:pt>
                <c:pt idx="934">
                  <c:v>934</c:v>
                </c:pt>
                <c:pt idx="935">
                  <c:v>935</c:v>
                </c:pt>
                <c:pt idx="936">
                  <c:v>936</c:v>
                </c:pt>
                <c:pt idx="937">
                  <c:v>937</c:v>
                </c:pt>
                <c:pt idx="938">
                  <c:v>938</c:v>
                </c:pt>
                <c:pt idx="939">
                  <c:v>939</c:v>
                </c:pt>
                <c:pt idx="940">
                  <c:v>940</c:v>
                </c:pt>
                <c:pt idx="941">
                  <c:v>941</c:v>
                </c:pt>
                <c:pt idx="942">
                  <c:v>942</c:v>
                </c:pt>
                <c:pt idx="943">
                  <c:v>943</c:v>
                </c:pt>
                <c:pt idx="944">
                  <c:v>944</c:v>
                </c:pt>
                <c:pt idx="945">
                  <c:v>945</c:v>
                </c:pt>
                <c:pt idx="946">
                  <c:v>946</c:v>
                </c:pt>
                <c:pt idx="947">
                  <c:v>947</c:v>
                </c:pt>
                <c:pt idx="948">
                  <c:v>948</c:v>
                </c:pt>
                <c:pt idx="949">
                  <c:v>949</c:v>
                </c:pt>
                <c:pt idx="950">
                  <c:v>950</c:v>
                </c:pt>
                <c:pt idx="951">
                  <c:v>951</c:v>
                </c:pt>
                <c:pt idx="952">
                  <c:v>952</c:v>
                </c:pt>
                <c:pt idx="953">
                  <c:v>953</c:v>
                </c:pt>
                <c:pt idx="954">
                  <c:v>954</c:v>
                </c:pt>
                <c:pt idx="955">
                  <c:v>955</c:v>
                </c:pt>
                <c:pt idx="956">
                  <c:v>956</c:v>
                </c:pt>
                <c:pt idx="957">
                  <c:v>957</c:v>
                </c:pt>
                <c:pt idx="958">
                  <c:v>958</c:v>
                </c:pt>
                <c:pt idx="959">
                  <c:v>959</c:v>
                </c:pt>
                <c:pt idx="960">
                  <c:v>960</c:v>
                </c:pt>
                <c:pt idx="961">
                  <c:v>961</c:v>
                </c:pt>
                <c:pt idx="962">
                  <c:v>962</c:v>
                </c:pt>
                <c:pt idx="963">
                  <c:v>963</c:v>
                </c:pt>
                <c:pt idx="964">
                  <c:v>964</c:v>
                </c:pt>
                <c:pt idx="965">
                  <c:v>965</c:v>
                </c:pt>
                <c:pt idx="966">
                  <c:v>966</c:v>
                </c:pt>
                <c:pt idx="967">
                  <c:v>967</c:v>
                </c:pt>
                <c:pt idx="968">
                  <c:v>968</c:v>
                </c:pt>
                <c:pt idx="969">
                  <c:v>969</c:v>
                </c:pt>
                <c:pt idx="970">
                  <c:v>970</c:v>
                </c:pt>
                <c:pt idx="971">
                  <c:v>971</c:v>
                </c:pt>
                <c:pt idx="972">
                  <c:v>972</c:v>
                </c:pt>
                <c:pt idx="973">
                  <c:v>973</c:v>
                </c:pt>
                <c:pt idx="974">
                  <c:v>974</c:v>
                </c:pt>
                <c:pt idx="975">
                  <c:v>975</c:v>
                </c:pt>
                <c:pt idx="976">
                  <c:v>976</c:v>
                </c:pt>
                <c:pt idx="977">
                  <c:v>977</c:v>
                </c:pt>
                <c:pt idx="978">
                  <c:v>978</c:v>
                </c:pt>
                <c:pt idx="979">
                  <c:v>979</c:v>
                </c:pt>
                <c:pt idx="980">
                  <c:v>980</c:v>
                </c:pt>
                <c:pt idx="981">
                  <c:v>981</c:v>
                </c:pt>
                <c:pt idx="982">
                  <c:v>982</c:v>
                </c:pt>
                <c:pt idx="983">
                  <c:v>983</c:v>
                </c:pt>
                <c:pt idx="984">
                  <c:v>984</c:v>
                </c:pt>
                <c:pt idx="985">
                  <c:v>985</c:v>
                </c:pt>
                <c:pt idx="986">
                  <c:v>986</c:v>
                </c:pt>
                <c:pt idx="987">
                  <c:v>987</c:v>
                </c:pt>
                <c:pt idx="988">
                  <c:v>988</c:v>
                </c:pt>
                <c:pt idx="989">
                  <c:v>989</c:v>
                </c:pt>
                <c:pt idx="990">
                  <c:v>990</c:v>
                </c:pt>
                <c:pt idx="991">
                  <c:v>991</c:v>
                </c:pt>
                <c:pt idx="992">
                  <c:v>992</c:v>
                </c:pt>
                <c:pt idx="993">
                  <c:v>993</c:v>
                </c:pt>
                <c:pt idx="994">
                  <c:v>994</c:v>
                </c:pt>
                <c:pt idx="995">
                  <c:v>995</c:v>
                </c:pt>
                <c:pt idx="996">
                  <c:v>996</c:v>
                </c:pt>
                <c:pt idx="997">
                  <c:v>997</c:v>
                </c:pt>
                <c:pt idx="998">
                  <c:v>998</c:v>
                </c:pt>
                <c:pt idx="999">
                  <c:v>999</c:v>
                </c:pt>
                <c:pt idx="1000">
                  <c:v>1000</c:v>
                </c:pt>
                <c:pt idx="1001">
                  <c:v>1001</c:v>
                </c:pt>
                <c:pt idx="1002">
                  <c:v>1002</c:v>
                </c:pt>
                <c:pt idx="1003">
                  <c:v>1003</c:v>
                </c:pt>
                <c:pt idx="1004">
                  <c:v>1004</c:v>
                </c:pt>
                <c:pt idx="1005">
                  <c:v>1005</c:v>
                </c:pt>
                <c:pt idx="1006">
                  <c:v>1006</c:v>
                </c:pt>
                <c:pt idx="1007">
                  <c:v>1007</c:v>
                </c:pt>
                <c:pt idx="1008">
                  <c:v>1008</c:v>
                </c:pt>
                <c:pt idx="1009">
                  <c:v>1009</c:v>
                </c:pt>
                <c:pt idx="1010">
                  <c:v>1010</c:v>
                </c:pt>
                <c:pt idx="1011">
                  <c:v>1011</c:v>
                </c:pt>
                <c:pt idx="1012">
                  <c:v>1012</c:v>
                </c:pt>
                <c:pt idx="1013">
                  <c:v>1013</c:v>
                </c:pt>
                <c:pt idx="1014">
                  <c:v>1014</c:v>
                </c:pt>
                <c:pt idx="1015">
                  <c:v>1015</c:v>
                </c:pt>
                <c:pt idx="1016">
                  <c:v>1016</c:v>
                </c:pt>
                <c:pt idx="1017">
                  <c:v>1017</c:v>
                </c:pt>
                <c:pt idx="1018">
                  <c:v>1018</c:v>
                </c:pt>
                <c:pt idx="1019">
                  <c:v>1019</c:v>
                </c:pt>
                <c:pt idx="1020">
                  <c:v>1020</c:v>
                </c:pt>
                <c:pt idx="1021">
                  <c:v>1021</c:v>
                </c:pt>
                <c:pt idx="1022">
                  <c:v>1022</c:v>
                </c:pt>
                <c:pt idx="1023">
                  <c:v>1023</c:v>
                </c:pt>
                <c:pt idx="1024">
                  <c:v>1024</c:v>
                </c:pt>
                <c:pt idx="1025">
                  <c:v>1025</c:v>
                </c:pt>
                <c:pt idx="1026">
                  <c:v>1026</c:v>
                </c:pt>
                <c:pt idx="1027">
                  <c:v>1027</c:v>
                </c:pt>
                <c:pt idx="1028">
                  <c:v>1028</c:v>
                </c:pt>
                <c:pt idx="1029">
                  <c:v>1029</c:v>
                </c:pt>
                <c:pt idx="1030">
                  <c:v>1030</c:v>
                </c:pt>
                <c:pt idx="1031">
                  <c:v>1031</c:v>
                </c:pt>
                <c:pt idx="1032">
                  <c:v>1032</c:v>
                </c:pt>
                <c:pt idx="1033">
                  <c:v>1033</c:v>
                </c:pt>
                <c:pt idx="1034">
                  <c:v>1034</c:v>
                </c:pt>
                <c:pt idx="1035">
                  <c:v>1035</c:v>
                </c:pt>
                <c:pt idx="1036">
                  <c:v>1036</c:v>
                </c:pt>
                <c:pt idx="1037">
                  <c:v>1037</c:v>
                </c:pt>
                <c:pt idx="1038">
                  <c:v>1038</c:v>
                </c:pt>
                <c:pt idx="1039">
                  <c:v>1039</c:v>
                </c:pt>
                <c:pt idx="1040">
                  <c:v>1040</c:v>
                </c:pt>
                <c:pt idx="1041">
                  <c:v>1041</c:v>
                </c:pt>
                <c:pt idx="1042">
                  <c:v>1042</c:v>
                </c:pt>
                <c:pt idx="1043">
                  <c:v>1043</c:v>
                </c:pt>
                <c:pt idx="1044">
                  <c:v>1044</c:v>
                </c:pt>
                <c:pt idx="1045">
                  <c:v>1045</c:v>
                </c:pt>
                <c:pt idx="1046">
                  <c:v>1046</c:v>
                </c:pt>
                <c:pt idx="1047">
                  <c:v>1047</c:v>
                </c:pt>
                <c:pt idx="1048">
                  <c:v>1048</c:v>
                </c:pt>
                <c:pt idx="1049">
                  <c:v>1049</c:v>
                </c:pt>
                <c:pt idx="1050">
                  <c:v>1050</c:v>
                </c:pt>
                <c:pt idx="1051">
                  <c:v>1051</c:v>
                </c:pt>
                <c:pt idx="1052">
                  <c:v>1052</c:v>
                </c:pt>
                <c:pt idx="1053">
                  <c:v>1053</c:v>
                </c:pt>
                <c:pt idx="1054">
                  <c:v>1054</c:v>
                </c:pt>
                <c:pt idx="1055">
                  <c:v>1055</c:v>
                </c:pt>
                <c:pt idx="1056">
                  <c:v>1056</c:v>
                </c:pt>
                <c:pt idx="1057">
                  <c:v>1057</c:v>
                </c:pt>
                <c:pt idx="1058">
                  <c:v>1058</c:v>
                </c:pt>
                <c:pt idx="1059">
                  <c:v>1059</c:v>
                </c:pt>
                <c:pt idx="1060">
                  <c:v>1060</c:v>
                </c:pt>
                <c:pt idx="1061">
                  <c:v>1061</c:v>
                </c:pt>
                <c:pt idx="1062">
                  <c:v>1062</c:v>
                </c:pt>
                <c:pt idx="1063">
                  <c:v>1063</c:v>
                </c:pt>
                <c:pt idx="1064">
                  <c:v>1064</c:v>
                </c:pt>
                <c:pt idx="1065">
                  <c:v>1065</c:v>
                </c:pt>
                <c:pt idx="1066">
                  <c:v>1066</c:v>
                </c:pt>
                <c:pt idx="1067">
                  <c:v>1067</c:v>
                </c:pt>
                <c:pt idx="1068">
                  <c:v>1068</c:v>
                </c:pt>
                <c:pt idx="1069">
                  <c:v>1069</c:v>
                </c:pt>
                <c:pt idx="1070">
                  <c:v>1070</c:v>
                </c:pt>
                <c:pt idx="1071">
                  <c:v>1071</c:v>
                </c:pt>
                <c:pt idx="1072">
                  <c:v>1072</c:v>
                </c:pt>
                <c:pt idx="1073">
                  <c:v>1073</c:v>
                </c:pt>
                <c:pt idx="1074">
                  <c:v>1074</c:v>
                </c:pt>
                <c:pt idx="1075">
                  <c:v>1075</c:v>
                </c:pt>
                <c:pt idx="1076">
                  <c:v>1076</c:v>
                </c:pt>
                <c:pt idx="1077">
                  <c:v>1077</c:v>
                </c:pt>
                <c:pt idx="1078">
                  <c:v>1078</c:v>
                </c:pt>
                <c:pt idx="1079">
                  <c:v>1079</c:v>
                </c:pt>
                <c:pt idx="1080">
                  <c:v>1080</c:v>
                </c:pt>
                <c:pt idx="1081">
                  <c:v>1081</c:v>
                </c:pt>
                <c:pt idx="1082">
                  <c:v>1082</c:v>
                </c:pt>
                <c:pt idx="1083">
                  <c:v>1083</c:v>
                </c:pt>
                <c:pt idx="1084">
                  <c:v>1084</c:v>
                </c:pt>
                <c:pt idx="1085">
                  <c:v>1085</c:v>
                </c:pt>
                <c:pt idx="1086">
                  <c:v>1086</c:v>
                </c:pt>
                <c:pt idx="1087">
                  <c:v>1087</c:v>
                </c:pt>
                <c:pt idx="1088">
                  <c:v>1088</c:v>
                </c:pt>
                <c:pt idx="1089">
                  <c:v>1089</c:v>
                </c:pt>
                <c:pt idx="1090">
                  <c:v>1090</c:v>
                </c:pt>
                <c:pt idx="1091">
                  <c:v>1091</c:v>
                </c:pt>
                <c:pt idx="1092">
                  <c:v>1092</c:v>
                </c:pt>
                <c:pt idx="1093">
                  <c:v>1093</c:v>
                </c:pt>
                <c:pt idx="1094">
                  <c:v>1094</c:v>
                </c:pt>
                <c:pt idx="1095">
                  <c:v>1095</c:v>
                </c:pt>
                <c:pt idx="1096">
                  <c:v>1096</c:v>
                </c:pt>
                <c:pt idx="1097">
                  <c:v>1097</c:v>
                </c:pt>
                <c:pt idx="1098">
                  <c:v>1098</c:v>
                </c:pt>
                <c:pt idx="1099">
                  <c:v>1099</c:v>
                </c:pt>
                <c:pt idx="1100">
                  <c:v>1100</c:v>
                </c:pt>
                <c:pt idx="1101">
                  <c:v>1101</c:v>
                </c:pt>
                <c:pt idx="1102">
                  <c:v>1102</c:v>
                </c:pt>
                <c:pt idx="1103">
                  <c:v>1103</c:v>
                </c:pt>
                <c:pt idx="1104">
                  <c:v>1104</c:v>
                </c:pt>
                <c:pt idx="1105">
                  <c:v>1105</c:v>
                </c:pt>
                <c:pt idx="1106">
                  <c:v>1106</c:v>
                </c:pt>
                <c:pt idx="1107">
                  <c:v>1107</c:v>
                </c:pt>
                <c:pt idx="1108">
                  <c:v>1108</c:v>
                </c:pt>
                <c:pt idx="1109">
                  <c:v>1109</c:v>
                </c:pt>
                <c:pt idx="1110">
                  <c:v>1110</c:v>
                </c:pt>
                <c:pt idx="1111">
                  <c:v>1111</c:v>
                </c:pt>
                <c:pt idx="1112">
                  <c:v>1112</c:v>
                </c:pt>
                <c:pt idx="1113">
                  <c:v>1113</c:v>
                </c:pt>
                <c:pt idx="1114">
                  <c:v>1114</c:v>
                </c:pt>
                <c:pt idx="1115">
                  <c:v>1115</c:v>
                </c:pt>
                <c:pt idx="1116">
                  <c:v>1116</c:v>
                </c:pt>
                <c:pt idx="1117">
                  <c:v>1117</c:v>
                </c:pt>
                <c:pt idx="1118">
                  <c:v>1118</c:v>
                </c:pt>
                <c:pt idx="1119">
                  <c:v>1119</c:v>
                </c:pt>
                <c:pt idx="1120">
                  <c:v>1120</c:v>
                </c:pt>
                <c:pt idx="1121">
                  <c:v>1121</c:v>
                </c:pt>
                <c:pt idx="1122">
                  <c:v>1122</c:v>
                </c:pt>
                <c:pt idx="1123">
                  <c:v>1123</c:v>
                </c:pt>
                <c:pt idx="1124">
                  <c:v>1124</c:v>
                </c:pt>
                <c:pt idx="1125">
                  <c:v>1125</c:v>
                </c:pt>
                <c:pt idx="1126">
                  <c:v>1126</c:v>
                </c:pt>
                <c:pt idx="1127">
                  <c:v>1127</c:v>
                </c:pt>
                <c:pt idx="1128">
                  <c:v>1128</c:v>
                </c:pt>
                <c:pt idx="1129">
                  <c:v>1129</c:v>
                </c:pt>
                <c:pt idx="1130">
                  <c:v>1130</c:v>
                </c:pt>
                <c:pt idx="1131">
                  <c:v>1131</c:v>
                </c:pt>
                <c:pt idx="1132">
                  <c:v>1132</c:v>
                </c:pt>
                <c:pt idx="1133">
                  <c:v>1133</c:v>
                </c:pt>
                <c:pt idx="1134">
                  <c:v>1134</c:v>
                </c:pt>
                <c:pt idx="1135">
                  <c:v>1135</c:v>
                </c:pt>
                <c:pt idx="1136">
                  <c:v>1136</c:v>
                </c:pt>
                <c:pt idx="1137">
                  <c:v>1137</c:v>
                </c:pt>
                <c:pt idx="1138">
                  <c:v>1138</c:v>
                </c:pt>
                <c:pt idx="1139">
                  <c:v>1139</c:v>
                </c:pt>
                <c:pt idx="1140">
                  <c:v>1140</c:v>
                </c:pt>
                <c:pt idx="1141">
                  <c:v>1141</c:v>
                </c:pt>
                <c:pt idx="1142">
                  <c:v>1142</c:v>
                </c:pt>
                <c:pt idx="1143">
                  <c:v>1143</c:v>
                </c:pt>
                <c:pt idx="1144">
                  <c:v>1144</c:v>
                </c:pt>
                <c:pt idx="1145">
                  <c:v>1145</c:v>
                </c:pt>
                <c:pt idx="1146">
                  <c:v>1146</c:v>
                </c:pt>
                <c:pt idx="1147">
                  <c:v>1147</c:v>
                </c:pt>
                <c:pt idx="1148">
                  <c:v>1148</c:v>
                </c:pt>
                <c:pt idx="1149">
                  <c:v>1149</c:v>
                </c:pt>
                <c:pt idx="1150">
                  <c:v>1150</c:v>
                </c:pt>
                <c:pt idx="1151">
                  <c:v>1151</c:v>
                </c:pt>
                <c:pt idx="1152">
                  <c:v>1152</c:v>
                </c:pt>
                <c:pt idx="1153">
                  <c:v>1153</c:v>
                </c:pt>
                <c:pt idx="1154">
                  <c:v>1154</c:v>
                </c:pt>
                <c:pt idx="1155">
                  <c:v>1155</c:v>
                </c:pt>
                <c:pt idx="1156">
                  <c:v>1156</c:v>
                </c:pt>
                <c:pt idx="1157">
                  <c:v>1157</c:v>
                </c:pt>
                <c:pt idx="1158">
                  <c:v>1158</c:v>
                </c:pt>
                <c:pt idx="1159">
                  <c:v>1159</c:v>
                </c:pt>
                <c:pt idx="1160">
                  <c:v>1160</c:v>
                </c:pt>
                <c:pt idx="1161">
                  <c:v>1161</c:v>
                </c:pt>
                <c:pt idx="1162">
                  <c:v>1162</c:v>
                </c:pt>
                <c:pt idx="1163">
                  <c:v>1163</c:v>
                </c:pt>
                <c:pt idx="1164">
                  <c:v>1164</c:v>
                </c:pt>
                <c:pt idx="1165">
                  <c:v>1165</c:v>
                </c:pt>
                <c:pt idx="1166">
                  <c:v>1166</c:v>
                </c:pt>
                <c:pt idx="1167">
                  <c:v>1167</c:v>
                </c:pt>
                <c:pt idx="1168">
                  <c:v>1168</c:v>
                </c:pt>
                <c:pt idx="1169">
                  <c:v>1169</c:v>
                </c:pt>
                <c:pt idx="1170">
                  <c:v>1170</c:v>
                </c:pt>
                <c:pt idx="1171">
                  <c:v>1171</c:v>
                </c:pt>
                <c:pt idx="1172">
                  <c:v>1172</c:v>
                </c:pt>
                <c:pt idx="1173">
                  <c:v>1173</c:v>
                </c:pt>
                <c:pt idx="1174">
                  <c:v>1174</c:v>
                </c:pt>
                <c:pt idx="1175">
                  <c:v>1175</c:v>
                </c:pt>
                <c:pt idx="1176">
                  <c:v>1176</c:v>
                </c:pt>
                <c:pt idx="1177">
                  <c:v>1177</c:v>
                </c:pt>
                <c:pt idx="1178">
                  <c:v>1178</c:v>
                </c:pt>
                <c:pt idx="1179">
                  <c:v>1179</c:v>
                </c:pt>
                <c:pt idx="1180">
                  <c:v>1180</c:v>
                </c:pt>
                <c:pt idx="1181">
                  <c:v>1181</c:v>
                </c:pt>
                <c:pt idx="1182">
                  <c:v>1182</c:v>
                </c:pt>
                <c:pt idx="1183">
                  <c:v>1183</c:v>
                </c:pt>
                <c:pt idx="1184">
                  <c:v>1184</c:v>
                </c:pt>
                <c:pt idx="1185">
                  <c:v>1185</c:v>
                </c:pt>
                <c:pt idx="1186">
                  <c:v>1186</c:v>
                </c:pt>
                <c:pt idx="1187">
                  <c:v>1187</c:v>
                </c:pt>
                <c:pt idx="1188">
                  <c:v>1188</c:v>
                </c:pt>
                <c:pt idx="1189">
                  <c:v>1189</c:v>
                </c:pt>
                <c:pt idx="1190">
                  <c:v>1190</c:v>
                </c:pt>
                <c:pt idx="1191">
                  <c:v>1191</c:v>
                </c:pt>
                <c:pt idx="1192">
                  <c:v>1192</c:v>
                </c:pt>
                <c:pt idx="1193">
                  <c:v>1193</c:v>
                </c:pt>
                <c:pt idx="1194">
                  <c:v>1194</c:v>
                </c:pt>
                <c:pt idx="1195">
                  <c:v>1195</c:v>
                </c:pt>
                <c:pt idx="1196">
                  <c:v>1196</c:v>
                </c:pt>
                <c:pt idx="1197">
                  <c:v>1197</c:v>
                </c:pt>
                <c:pt idx="1198">
                  <c:v>1198</c:v>
                </c:pt>
                <c:pt idx="1199">
                  <c:v>1199</c:v>
                </c:pt>
                <c:pt idx="1200">
                  <c:v>1200</c:v>
                </c:pt>
                <c:pt idx="1201">
                  <c:v>1201</c:v>
                </c:pt>
                <c:pt idx="1202">
                  <c:v>1202</c:v>
                </c:pt>
                <c:pt idx="1203">
                  <c:v>1203</c:v>
                </c:pt>
                <c:pt idx="1204">
                  <c:v>1204</c:v>
                </c:pt>
                <c:pt idx="1205">
                  <c:v>1205</c:v>
                </c:pt>
                <c:pt idx="1206">
                  <c:v>1206</c:v>
                </c:pt>
                <c:pt idx="1207">
                  <c:v>1207</c:v>
                </c:pt>
                <c:pt idx="1208">
                  <c:v>1208</c:v>
                </c:pt>
                <c:pt idx="1209">
                  <c:v>1209</c:v>
                </c:pt>
                <c:pt idx="1210">
                  <c:v>1210</c:v>
                </c:pt>
                <c:pt idx="1211">
                  <c:v>1211</c:v>
                </c:pt>
                <c:pt idx="1212">
                  <c:v>1212</c:v>
                </c:pt>
                <c:pt idx="1213">
                  <c:v>1213</c:v>
                </c:pt>
                <c:pt idx="1214">
                  <c:v>1214</c:v>
                </c:pt>
                <c:pt idx="1215">
                  <c:v>1215</c:v>
                </c:pt>
                <c:pt idx="1216">
                  <c:v>1216</c:v>
                </c:pt>
                <c:pt idx="1217">
                  <c:v>1217</c:v>
                </c:pt>
                <c:pt idx="1218">
                  <c:v>1218</c:v>
                </c:pt>
                <c:pt idx="1219">
                  <c:v>1219</c:v>
                </c:pt>
                <c:pt idx="1220">
                  <c:v>1220</c:v>
                </c:pt>
                <c:pt idx="1221">
                  <c:v>1221</c:v>
                </c:pt>
                <c:pt idx="1222">
                  <c:v>1222</c:v>
                </c:pt>
                <c:pt idx="1223">
                  <c:v>1223</c:v>
                </c:pt>
                <c:pt idx="1224">
                  <c:v>1224</c:v>
                </c:pt>
                <c:pt idx="1225">
                  <c:v>1225</c:v>
                </c:pt>
                <c:pt idx="1226">
                  <c:v>1226</c:v>
                </c:pt>
                <c:pt idx="1227">
                  <c:v>1227</c:v>
                </c:pt>
                <c:pt idx="1228">
                  <c:v>1228</c:v>
                </c:pt>
                <c:pt idx="1229">
                  <c:v>1229</c:v>
                </c:pt>
                <c:pt idx="1230">
                  <c:v>1230</c:v>
                </c:pt>
                <c:pt idx="1231">
                  <c:v>1231</c:v>
                </c:pt>
                <c:pt idx="1232">
                  <c:v>1232</c:v>
                </c:pt>
                <c:pt idx="1233">
                  <c:v>1233</c:v>
                </c:pt>
                <c:pt idx="1234">
                  <c:v>1234</c:v>
                </c:pt>
                <c:pt idx="1235">
                  <c:v>1235</c:v>
                </c:pt>
                <c:pt idx="1236">
                  <c:v>1236</c:v>
                </c:pt>
                <c:pt idx="1237">
                  <c:v>1237</c:v>
                </c:pt>
                <c:pt idx="1238">
                  <c:v>1238</c:v>
                </c:pt>
                <c:pt idx="1239">
                  <c:v>1239</c:v>
                </c:pt>
                <c:pt idx="1240">
                  <c:v>1240</c:v>
                </c:pt>
                <c:pt idx="1241">
                  <c:v>1241</c:v>
                </c:pt>
                <c:pt idx="1242">
                  <c:v>1242</c:v>
                </c:pt>
                <c:pt idx="1243">
                  <c:v>1243</c:v>
                </c:pt>
                <c:pt idx="1244">
                  <c:v>1244</c:v>
                </c:pt>
                <c:pt idx="1245">
                  <c:v>1245</c:v>
                </c:pt>
                <c:pt idx="1246">
                  <c:v>1246</c:v>
                </c:pt>
                <c:pt idx="1247">
                  <c:v>1247</c:v>
                </c:pt>
                <c:pt idx="1248">
                  <c:v>1248</c:v>
                </c:pt>
                <c:pt idx="1249">
                  <c:v>1249</c:v>
                </c:pt>
                <c:pt idx="1250">
                  <c:v>1250</c:v>
                </c:pt>
                <c:pt idx="1251">
                  <c:v>1251</c:v>
                </c:pt>
                <c:pt idx="1252">
                  <c:v>1252</c:v>
                </c:pt>
                <c:pt idx="1253">
                  <c:v>1253</c:v>
                </c:pt>
                <c:pt idx="1254">
                  <c:v>1254</c:v>
                </c:pt>
                <c:pt idx="1255">
                  <c:v>1255</c:v>
                </c:pt>
                <c:pt idx="1256">
                  <c:v>1256</c:v>
                </c:pt>
                <c:pt idx="1257">
                  <c:v>1257</c:v>
                </c:pt>
                <c:pt idx="1258">
                  <c:v>1258</c:v>
                </c:pt>
                <c:pt idx="1259">
                  <c:v>1259</c:v>
                </c:pt>
                <c:pt idx="1260">
                  <c:v>1260</c:v>
                </c:pt>
                <c:pt idx="1261">
                  <c:v>1261</c:v>
                </c:pt>
                <c:pt idx="1262">
                  <c:v>1262</c:v>
                </c:pt>
                <c:pt idx="1263">
                  <c:v>1263</c:v>
                </c:pt>
                <c:pt idx="1264">
                  <c:v>1264</c:v>
                </c:pt>
                <c:pt idx="1265">
                  <c:v>1265</c:v>
                </c:pt>
                <c:pt idx="1266">
                  <c:v>1266</c:v>
                </c:pt>
                <c:pt idx="1267">
                  <c:v>1267</c:v>
                </c:pt>
                <c:pt idx="1268">
                  <c:v>1268</c:v>
                </c:pt>
                <c:pt idx="1269">
                  <c:v>1269</c:v>
                </c:pt>
                <c:pt idx="1270">
                  <c:v>1270</c:v>
                </c:pt>
                <c:pt idx="1271">
                  <c:v>1271</c:v>
                </c:pt>
                <c:pt idx="1272">
                  <c:v>1272</c:v>
                </c:pt>
                <c:pt idx="1273">
                  <c:v>1273</c:v>
                </c:pt>
                <c:pt idx="1274">
                  <c:v>1274</c:v>
                </c:pt>
                <c:pt idx="1275">
                  <c:v>1275</c:v>
                </c:pt>
                <c:pt idx="1276">
                  <c:v>1276</c:v>
                </c:pt>
                <c:pt idx="1277">
                  <c:v>1277</c:v>
                </c:pt>
                <c:pt idx="1278">
                  <c:v>1278</c:v>
                </c:pt>
                <c:pt idx="1279">
                  <c:v>1279</c:v>
                </c:pt>
                <c:pt idx="1280">
                  <c:v>1280</c:v>
                </c:pt>
                <c:pt idx="1281">
                  <c:v>1281</c:v>
                </c:pt>
                <c:pt idx="1282">
                  <c:v>1282</c:v>
                </c:pt>
                <c:pt idx="1283">
                  <c:v>1283</c:v>
                </c:pt>
                <c:pt idx="1284">
                  <c:v>1284</c:v>
                </c:pt>
                <c:pt idx="1285">
                  <c:v>1285</c:v>
                </c:pt>
                <c:pt idx="1286">
                  <c:v>1286</c:v>
                </c:pt>
                <c:pt idx="1287">
                  <c:v>1287</c:v>
                </c:pt>
                <c:pt idx="1288">
                  <c:v>1288</c:v>
                </c:pt>
                <c:pt idx="1289">
                  <c:v>1289</c:v>
                </c:pt>
                <c:pt idx="1290">
                  <c:v>1290</c:v>
                </c:pt>
                <c:pt idx="1291">
                  <c:v>1291</c:v>
                </c:pt>
                <c:pt idx="1292">
                  <c:v>1292</c:v>
                </c:pt>
                <c:pt idx="1293">
                  <c:v>1293</c:v>
                </c:pt>
                <c:pt idx="1294">
                  <c:v>1294</c:v>
                </c:pt>
                <c:pt idx="1295">
                  <c:v>1295</c:v>
                </c:pt>
                <c:pt idx="1296">
                  <c:v>1296</c:v>
                </c:pt>
                <c:pt idx="1297">
                  <c:v>1297</c:v>
                </c:pt>
                <c:pt idx="1298">
                  <c:v>1298</c:v>
                </c:pt>
                <c:pt idx="1299">
                  <c:v>1299</c:v>
                </c:pt>
                <c:pt idx="1300">
                  <c:v>1300</c:v>
                </c:pt>
                <c:pt idx="1301">
                  <c:v>1301</c:v>
                </c:pt>
                <c:pt idx="1302">
                  <c:v>1302</c:v>
                </c:pt>
                <c:pt idx="1303">
                  <c:v>1303</c:v>
                </c:pt>
                <c:pt idx="1304">
                  <c:v>1304</c:v>
                </c:pt>
                <c:pt idx="1305">
                  <c:v>1305</c:v>
                </c:pt>
                <c:pt idx="1306">
                  <c:v>1306</c:v>
                </c:pt>
                <c:pt idx="1307">
                  <c:v>1307</c:v>
                </c:pt>
                <c:pt idx="1308">
                  <c:v>1308</c:v>
                </c:pt>
                <c:pt idx="1309">
                  <c:v>1309</c:v>
                </c:pt>
                <c:pt idx="1310">
                  <c:v>1310</c:v>
                </c:pt>
                <c:pt idx="1311">
                  <c:v>1311</c:v>
                </c:pt>
                <c:pt idx="1312">
                  <c:v>1312</c:v>
                </c:pt>
                <c:pt idx="1313">
                  <c:v>1313</c:v>
                </c:pt>
                <c:pt idx="1314">
                  <c:v>1314</c:v>
                </c:pt>
                <c:pt idx="1315">
                  <c:v>1315</c:v>
                </c:pt>
                <c:pt idx="1316">
                  <c:v>1316</c:v>
                </c:pt>
                <c:pt idx="1317">
                  <c:v>1317</c:v>
                </c:pt>
                <c:pt idx="1318">
                  <c:v>1318</c:v>
                </c:pt>
                <c:pt idx="1319">
                  <c:v>1319</c:v>
                </c:pt>
                <c:pt idx="1320">
                  <c:v>1320</c:v>
                </c:pt>
                <c:pt idx="1321">
                  <c:v>1321</c:v>
                </c:pt>
                <c:pt idx="1322">
                  <c:v>1322</c:v>
                </c:pt>
                <c:pt idx="1323">
                  <c:v>1323</c:v>
                </c:pt>
                <c:pt idx="1324">
                  <c:v>1324</c:v>
                </c:pt>
                <c:pt idx="1325">
                  <c:v>1325</c:v>
                </c:pt>
                <c:pt idx="1326">
                  <c:v>1326</c:v>
                </c:pt>
                <c:pt idx="1327">
                  <c:v>1327</c:v>
                </c:pt>
                <c:pt idx="1328">
                  <c:v>1328</c:v>
                </c:pt>
                <c:pt idx="1329">
                  <c:v>1329</c:v>
                </c:pt>
                <c:pt idx="1330">
                  <c:v>1330</c:v>
                </c:pt>
                <c:pt idx="1331">
                  <c:v>1331</c:v>
                </c:pt>
                <c:pt idx="1332">
                  <c:v>1332</c:v>
                </c:pt>
                <c:pt idx="1333">
                  <c:v>1333</c:v>
                </c:pt>
                <c:pt idx="1334">
                  <c:v>1334</c:v>
                </c:pt>
                <c:pt idx="1335">
                  <c:v>1335</c:v>
                </c:pt>
                <c:pt idx="1336">
                  <c:v>1336</c:v>
                </c:pt>
                <c:pt idx="1337">
                  <c:v>1337</c:v>
                </c:pt>
                <c:pt idx="1338">
                  <c:v>1338</c:v>
                </c:pt>
                <c:pt idx="1339">
                  <c:v>1339</c:v>
                </c:pt>
                <c:pt idx="1340">
                  <c:v>1340</c:v>
                </c:pt>
                <c:pt idx="1341">
                  <c:v>1341</c:v>
                </c:pt>
                <c:pt idx="1342">
                  <c:v>1342</c:v>
                </c:pt>
                <c:pt idx="1343">
                  <c:v>1343</c:v>
                </c:pt>
                <c:pt idx="1344">
                  <c:v>1344</c:v>
                </c:pt>
                <c:pt idx="1345">
                  <c:v>1345</c:v>
                </c:pt>
                <c:pt idx="1346">
                  <c:v>1346</c:v>
                </c:pt>
                <c:pt idx="1347">
                  <c:v>1347</c:v>
                </c:pt>
                <c:pt idx="1348">
                  <c:v>1348</c:v>
                </c:pt>
                <c:pt idx="1349">
                  <c:v>1349</c:v>
                </c:pt>
                <c:pt idx="1350">
                  <c:v>1350</c:v>
                </c:pt>
                <c:pt idx="1351">
                  <c:v>1351</c:v>
                </c:pt>
                <c:pt idx="1352">
                  <c:v>1352</c:v>
                </c:pt>
                <c:pt idx="1353">
                  <c:v>1353</c:v>
                </c:pt>
                <c:pt idx="1354">
                  <c:v>1354</c:v>
                </c:pt>
                <c:pt idx="1355">
                  <c:v>1355</c:v>
                </c:pt>
                <c:pt idx="1356">
                  <c:v>1356</c:v>
                </c:pt>
                <c:pt idx="1357">
                  <c:v>1357</c:v>
                </c:pt>
                <c:pt idx="1358">
                  <c:v>1358</c:v>
                </c:pt>
                <c:pt idx="1359">
                  <c:v>1359</c:v>
                </c:pt>
                <c:pt idx="1360">
                  <c:v>1360</c:v>
                </c:pt>
                <c:pt idx="1361">
                  <c:v>1361</c:v>
                </c:pt>
                <c:pt idx="1362">
                  <c:v>1362</c:v>
                </c:pt>
                <c:pt idx="1363">
                  <c:v>1363</c:v>
                </c:pt>
                <c:pt idx="1364">
                  <c:v>1364</c:v>
                </c:pt>
                <c:pt idx="1365">
                  <c:v>1365</c:v>
                </c:pt>
                <c:pt idx="1366">
                  <c:v>1366</c:v>
                </c:pt>
                <c:pt idx="1367">
                  <c:v>1367</c:v>
                </c:pt>
                <c:pt idx="1368">
                  <c:v>1368</c:v>
                </c:pt>
                <c:pt idx="1369">
                  <c:v>1369</c:v>
                </c:pt>
                <c:pt idx="1370">
                  <c:v>1370</c:v>
                </c:pt>
                <c:pt idx="1371">
                  <c:v>1371</c:v>
                </c:pt>
                <c:pt idx="1372">
                  <c:v>1372</c:v>
                </c:pt>
                <c:pt idx="1373">
                  <c:v>1373</c:v>
                </c:pt>
                <c:pt idx="1374">
                  <c:v>1374</c:v>
                </c:pt>
                <c:pt idx="1375">
                  <c:v>1375</c:v>
                </c:pt>
                <c:pt idx="1376">
                  <c:v>1376</c:v>
                </c:pt>
                <c:pt idx="1377">
                  <c:v>1377</c:v>
                </c:pt>
                <c:pt idx="1378">
                  <c:v>1378</c:v>
                </c:pt>
                <c:pt idx="1379">
                  <c:v>1379</c:v>
                </c:pt>
                <c:pt idx="1380">
                  <c:v>1380</c:v>
                </c:pt>
                <c:pt idx="1381">
                  <c:v>1381</c:v>
                </c:pt>
                <c:pt idx="1382">
                  <c:v>1382</c:v>
                </c:pt>
                <c:pt idx="1383">
                  <c:v>1383</c:v>
                </c:pt>
                <c:pt idx="1384">
                  <c:v>1384</c:v>
                </c:pt>
                <c:pt idx="1385">
                  <c:v>1385</c:v>
                </c:pt>
                <c:pt idx="1386">
                  <c:v>1386</c:v>
                </c:pt>
                <c:pt idx="1387">
                  <c:v>1387</c:v>
                </c:pt>
                <c:pt idx="1388">
                  <c:v>1388</c:v>
                </c:pt>
                <c:pt idx="1389">
                  <c:v>1389</c:v>
                </c:pt>
                <c:pt idx="1390">
                  <c:v>1390</c:v>
                </c:pt>
                <c:pt idx="1391">
                  <c:v>1391</c:v>
                </c:pt>
                <c:pt idx="1392">
                  <c:v>1392</c:v>
                </c:pt>
                <c:pt idx="1393">
                  <c:v>1393</c:v>
                </c:pt>
                <c:pt idx="1394">
                  <c:v>1394</c:v>
                </c:pt>
                <c:pt idx="1395">
                  <c:v>1395</c:v>
                </c:pt>
                <c:pt idx="1396">
                  <c:v>1396</c:v>
                </c:pt>
                <c:pt idx="1397">
                  <c:v>1397</c:v>
                </c:pt>
                <c:pt idx="1398">
                  <c:v>1398</c:v>
                </c:pt>
                <c:pt idx="1399">
                  <c:v>1399</c:v>
                </c:pt>
                <c:pt idx="1400">
                  <c:v>1400</c:v>
                </c:pt>
                <c:pt idx="1401">
                  <c:v>1401</c:v>
                </c:pt>
                <c:pt idx="1402">
                  <c:v>1402</c:v>
                </c:pt>
                <c:pt idx="1403">
                  <c:v>1403</c:v>
                </c:pt>
                <c:pt idx="1404">
                  <c:v>1404</c:v>
                </c:pt>
                <c:pt idx="1405">
                  <c:v>1405</c:v>
                </c:pt>
                <c:pt idx="1406">
                  <c:v>1406</c:v>
                </c:pt>
                <c:pt idx="1407">
                  <c:v>1407</c:v>
                </c:pt>
                <c:pt idx="1408">
                  <c:v>1408</c:v>
                </c:pt>
                <c:pt idx="1409">
                  <c:v>1409</c:v>
                </c:pt>
                <c:pt idx="1410">
                  <c:v>1410</c:v>
                </c:pt>
                <c:pt idx="1411">
                  <c:v>1411</c:v>
                </c:pt>
                <c:pt idx="1412">
                  <c:v>1412</c:v>
                </c:pt>
                <c:pt idx="1413">
                  <c:v>1413</c:v>
                </c:pt>
                <c:pt idx="1414">
                  <c:v>1414</c:v>
                </c:pt>
                <c:pt idx="1415">
                  <c:v>1415</c:v>
                </c:pt>
                <c:pt idx="1416">
                  <c:v>1416</c:v>
                </c:pt>
                <c:pt idx="1417">
                  <c:v>1417</c:v>
                </c:pt>
                <c:pt idx="1418">
                  <c:v>1418</c:v>
                </c:pt>
                <c:pt idx="1419">
                  <c:v>1419</c:v>
                </c:pt>
                <c:pt idx="1420">
                  <c:v>1420</c:v>
                </c:pt>
                <c:pt idx="1421">
                  <c:v>1421</c:v>
                </c:pt>
                <c:pt idx="1422">
                  <c:v>1422</c:v>
                </c:pt>
                <c:pt idx="1423">
                  <c:v>1423</c:v>
                </c:pt>
                <c:pt idx="1424">
                  <c:v>1424</c:v>
                </c:pt>
                <c:pt idx="1425">
                  <c:v>1425</c:v>
                </c:pt>
                <c:pt idx="1426">
                  <c:v>1426</c:v>
                </c:pt>
                <c:pt idx="1427">
                  <c:v>1427</c:v>
                </c:pt>
                <c:pt idx="1428">
                  <c:v>1428</c:v>
                </c:pt>
                <c:pt idx="1429">
                  <c:v>1429</c:v>
                </c:pt>
                <c:pt idx="1430">
                  <c:v>1430</c:v>
                </c:pt>
                <c:pt idx="1431">
                  <c:v>1431</c:v>
                </c:pt>
                <c:pt idx="1432">
                  <c:v>1432</c:v>
                </c:pt>
                <c:pt idx="1433">
                  <c:v>1433</c:v>
                </c:pt>
                <c:pt idx="1434">
                  <c:v>1434</c:v>
                </c:pt>
                <c:pt idx="1435">
                  <c:v>1435</c:v>
                </c:pt>
                <c:pt idx="1436">
                  <c:v>1436</c:v>
                </c:pt>
                <c:pt idx="1437">
                  <c:v>1437</c:v>
                </c:pt>
                <c:pt idx="1438">
                  <c:v>1438</c:v>
                </c:pt>
                <c:pt idx="1439">
                  <c:v>1439</c:v>
                </c:pt>
                <c:pt idx="1440">
                  <c:v>1440</c:v>
                </c:pt>
                <c:pt idx="1441" formatCode="General">
                  <c:v>1441</c:v>
                </c:pt>
                <c:pt idx="1442" formatCode="General">
                  <c:v>1442</c:v>
                </c:pt>
                <c:pt idx="1443" formatCode="General">
                  <c:v>1443</c:v>
                </c:pt>
                <c:pt idx="1444" formatCode="General">
                  <c:v>1444</c:v>
                </c:pt>
                <c:pt idx="1445" formatCode="General">
                  <c:v>1445</c:v>
                </c:pt>
                <c:pt idx="1446" formatCode="General">
                  <c:v>1446</c:v>
                </c:pt>
                <c:pt idx="1447" formatCode="General">
                  <c:v>1447</c:v>
                </c:pt>
                <c:pt idx="1448" formatCode="General">
                  <c:v>1448</c:v>
                </c:pt>
                <c:pt idx="1449" formatCode="General">
                  <c:v>1449</c:v>
                </c:pt>
                <c:pt idx="1450" formatCode="General">
                  <c:v>1450</c:v>
                </c:pt>
                <c:pt idx="1451" formatCode="General">
                  <c:v>1451</c:v>
                </c:pt>
                <c:pt idx="1452" formatCode="General">
                  <c:v>1452</c:v>
                </c:pt>
                <c:pt idx="1453" formatCode="General">
                  <c:v>1453</c:v>
                </c:pt>
                <c:pt idx="1454" formatCode="General">
                  <c:v>1454</c:v>
                </c:pt>
                <c:pt idx="1455" formatCode="General">
                  <c:v>1455</c:v>
                </c:pt>
                <c:pt idx="1456" formatCode="General">
                  <c:v>1456</c:v>
                </c:pt>
                <c:pt idx="1457" formatCode="General">
                  <c:v>1457</c:v>
                </c:pt>
                <c:pt idx="1458" formatCode="General">
                  <c:v>1458</c:v>
                </c:pt>
                <c:pt idx="1459" formatCode="General">
                  <c:v>1459</c:v>
                </c:pt>
                <c:pt idx="1460" formatCode="General">
                  <c:v>1460</c:v>
                </c:pt>
                <c:pt idx="1461" formatCode="General">
                  <c:v>1461</c:v>
                </c:pt>
                <c:pt idx="1462" formatCode="General">
                  <c:v>1462</c:v>
                </c:pt>
                <c:pt idx="1463" formatCode="General">
                  <c:v>1463</c:v>
                </c:pt>
                <c:pt idx="1464" formatCode="General">
                  <c:v>1464</c:v>
                </c:pt>
                <c:pt idx="1465" formatCode="General">
                  <c:v>1465</c:v>
                </c:pt>
                <c:pt idx="1466" formatCode="General">
                  <c:v>1466</c:v>
                </c:pt>
                <c:pt idx="1467" formatCode="General">
                  <c:v>1467</c:v>
                </c:pt>
                <c:pt idx="1468" formatCode="General">
                  <c:v>1468</c:v>
                </c:pt>
                <c:pt idx="1469" formatCode="General">
                  <c:v>1469</c:v>
                </c:pt>
                <c:pt idx="1470" formatCode="General">
                  <c:v>1470</c:v>
                </c:pt>
                <c:pt idx="1471" formatCode="General">
                  <c:v>1471</c:v>
                </c:pt>
                <c:pt idx="1472" formatCode="General">
                  <c:v>1472</c:v>
                </c:pt>
                <c:pt idx="1473" formatCode="General">
                  <c:v>1473</c:v>
                </c:pt>
                <c:pt idx="1474" formatCode="General">
                  <c:v>1474</c:v>
                </c:pt>
                <c:pt idx="1475" formatCode="General">
                  <c:v>1475</c:v>
                </c:pt>
                <c:pt idx="1476" formatCode="General">
                  <c:v>1476</c:v>
                </c:pt>
                <c:pt idx="1477" formatCode="General">
                  <c:v>1477</c:v>
                </c:pt>
                <c:pt idx="1478" formatCode="General">
                  <c:v>1478</c:v>
                </c:pt>
                <c:pt idx="1479" formatCode="General">
                  <c:v>1479</c:v>
                </c:pt>
                <c:pt idx="1480" formatCode="General">
                  <c:v>1480</c:v>
                </c:pt>
                <c:pt idx="1481" formatCode="General">
                  <c:v>1481</c:v>
                </c:pt>
                <c:pt idx="1482" formatCode="General">
                  <c:v>1482</c:v>
                </c:pt>
                <c:pt idx="1483" formatCode="General">
                  <c:v>1483</c:v>
                </c:pt>
                <c:pt idx="1484" formatCode="General">
                  <c:v>1484</c:v>
                </c:pt>
                <c:pt idx="1485" formatCode="General">
                  <c:v>1485</c:v>
                </c:pt>
                <c:pt idx="1486" formatCode="General">
                  <c:v>1486</c:v>
                </c:pt>
                <c:pt idx="1487" formatCode="General">
                  <c:v>1487</c:v>
                </c:pt>
                <c:pt idx="1488" formatCode="General">
                  <c:v>1488</c:v>
                </c:pt>
                <c:pt idx="1489" formatCode="General">
                  <c:v>1489</c:v>
                </c:pt>
                <c:pt idx="1490" formatCode="General">
                  <c:v>1490</c:v>
                </c:pt>
                <c:pt idx="1491" formatCode="General">
                  <c:v>1491</c:v>
                </c:pt>
                <c:pt idx="1492" formatCode="General">
                  <c:v>1492</c:v>
                </c:pt>
                <c:pt idx="1493" formatCode="General">
                  <c:v>1493</c:v>
                </c:pt>
                <c:pt idx="1494" formatCode="General">
                  <c:v>1494</c:v>
                </c:pt>
                <c:pt idx="1495" formatCode="General">
                  <c:v>1495</c:v>
                </c:pt>
                <c:pt idx="1496" formatCode="General">
                  <c:v>1496</c:v>
                </c:pt>
                <c:pt idx="1497" formatCode="General">
                  <c:v>1497</c:v>
                </c:pt>
                <c:pt idx="1498" formatCode="General">
                  <c:v>1498</c:v>
                </c:pt>
                <c:pt idx="1499" formatCode="General">
                  <c:v>1499</c:v>
                </c:pt>
                <c:pt idx="1500" formatCode="General">
                  <c:v>1500</c:v>
                </c:pt>
                <c:pt idx="1501" formatCode="General">
                  <c:v>1501</c:v>
                </c:pt>
                <c:pt idx="1502" formatCode="General">
                  <c:v>1502</c:v>
                </c:pt>
                <c:pt idx="1503" formatCode="General">
                  <c:v>1503</c:v>
                </c:pt>
                <c:pt idx="1504" formatCode="General">
                  <c:v>1504</c:v>
                </c:pt>
                <c:pt idx="1505" formatCode="General">
                  <c:v>1505</c:v>
                </c:pt>
                <c:pt idx="1506" formatCode="General">
                  <c:v>1506</c:v>
                </c:pt>
                <c:pt idx="1507" formatCode="General">
                  <c:v>1507</c:v>
                </c:pt>
                <c:pt idx="1508" formatCode="General">
                  <c:v>1508</c:v>
                </c:pt>
                <c:pt idx="1509" formatCode="General">
                  <c:v>1509</c:v>
                </c:pt>
                <c:pt idx="1510" formatCode="General">
                  <c:v>1510</c:v>
                </c:pt>
                <c:pt idx="1511" formatCode="General">
                  <c:v>1511</c:v>
                </c:pt>
                <c:pt idx="1512" formatCode="General">
                  <c:v>1512</c:v>
                </c:pt>
                <c:pt idx="1513" formatCode="General">
                  <c:v>1513</c:v>
                </c:pt>
                <c:pt idx="1514" formatCode="General">
                  <c:v>1514</c:v>
                </c:pt>
                <c:pt idx="1515" formatCode="General">
                  <c:v>1515</c:v>
                </c:pt>
                <c:pt idx="1516" formatCode="General">
                  <c:v>1516</c:v>
                </c:pt>
                <c:pt idx="1517" formatCode="General">
                  <c:v>1517</c:v>
                </c:pt>
                <c:pt idx="1518" formatCode="General">
                  <c:v>1518</c:v>
                </c:pt>
                <c:pt idx="1519" formatCode="General">
                  <c:v>1519</c:v>
                </c:pt>
                <c:pt idx="1520" formatCode="General">
                  <c:v>1520</c:v>
                </c:pt>
                <c:pt idx="1521" formatCode="General">
                  <c:v>1521</c:v>
                </c:pt>
                <c:pt idx="1522" formatCode="General">
                  <c:v>1522</c:v>
                </c:pt>
                <c:pt idx="1523" formatCode="General">
                  <c:v>1523</c:v>
                </c:pt>
                <c:pt idx="1524" formatCode="General">
                  <c:v>1524</c:v>
                </c:pt>
                <c:pt idx="1525" formatCode="General">
                  <c:v>1525</c:v>
                </c:pt>
                <c:pt idx="1526" formatCode="General">
                  <c:v>1526</c:v>
                </c:pt>
                <c:pt idx="1527" formatCode="General">
                  <c:v>1527</c:v>
                </c:pt>
                <c:pt idx="1528" formatCode="General">
                  <c:v>1528</c:v>
                </c:pt>
                <c:pt idx="1529" formatCode="General">
                  <c:v>1529</c:v>
                </c:pt>
                <c:pt idx="1530" formatCode="General">
                  <c:v>1530</c:v>
                </c:pt>
                <c:pt idx="1531" formatCode="General">
                  <c:v>1531</c:v>
                </c:pt>
                <c:pt idx="1532" formatCode="General">
                  <c:v>1532</c:v>
                </c:pt>
                <c:pt idx="1533" formatCode="General">
                  <c:v>1533</c:v>
                </c:pt>
                <c:pt idx="1534" formatCode="General">
                  <c:v>1534</c:v>
                </c:pt>
                <c:pt idx="1535" formatCode="General">
                  <c:v>1535</c:v>
                </c:pt>
                <c:pt idx="1536" formatCode="General">
                  <c:v>1536</c:v>
                </c:pt>
                <c:pt idx="1537" formatCode="General">
                  <c:v>1537</c:v>
                </c:pt>
                <c:pt idx="1538" formatCode="General">
                  <c:v>1538</c:v>
                </c:pt>
                <c:pt idx="1539" formatCode="General">
                  <c:v>1539</c:v>
                </c:pt>
                <c:pt idx="1540" formatCode="General">
                  <c:v>1540</c:v>
                </c:pt>
                <c:pt idx="1541" formatCode="General">
                  <c:v>1541</c:v>
                </c:pt>
                <c:pt idx="1542" formatCode="General">
                  <c:v>1542</c:v>
                </c:pt>
                <c:pt idx="1543" formatCode="General">
                  <c:v>1543</c:v>
                </c:pt>
                <c:pt idx="1544" formatCode="General">
                  <c:v>1544</c:v>
                </c:pt>
                <c:pt idx="1545" formatCode="General">
                  <c:v>1545</c:v>
                </c:pt>
                <c:pt idx="1546" formatCode="General">
                  <c:v>1546</c:v>
                </c:pt>
                <c:pt idx="1547" formatCode="General">
                  <c:v>1547</c:v>
                </c:pt>
                <c:pt idx="1548" formatCode="General">
                  <c:v>1548</c:v>
                </c:pt>
                <c:pt idx="1549" formatCode="General">
                  <c:v>1549</c:v>
                </c:pt>
                <c:pt idx="1550" formatCode="General">
                  <c:v>1550</c:v>
                </c:pt>
                <c:pt idx="1551" formatCode="General">
                  <c:v>1551</c:v>
                </c:pt>
                <c:pt idx="1552" formatCode="General">
                  <c:v>1552</c:v>
                </c:pt>
                <c:pt idx="1553" formatCode="General">
                  <c:v>1553</c:v>
                </c:pt>
                <c:pt idx="1554" formatCode="General">
                  <c:v>1554</c:v>
                </c:pt>
                <c:pt idx="1555" formatCode="General">
                  <c:v>1555</c:v>
                </c:pt>
                <c:pt idx="1556" formatCode="General">
                  <c:v>1556</c:v>
                </c:pt>
                <c:pt idx="1557" formatCode="General">
                  <c:v>1557</c:v>
                </c:pt>
                <c:pt idx="1558" formatCode="General">
                  <c:v>1558</c:v>
                </c:pt>
                <c:pt idx="1559" formatCode="General">
                  <c:v>1559</c:v>
                </c:pt>
                <c:pt idx="1560" formatCode="General">
                  <c:v>1560</c:v>
                </c:pt>
                <c:pt idx="1561" formatCode="General">
                  <c:v>1561</c:v>
                </c:pt>
                <c:pt idx="1562" formatCode="General">
                  <c:v>1562</c:v>
                </c:pt>
                <c:pt idx="1563" formatCode="General">
                  <c:v>1563</c:v>
                </c:pt>
                <c:pt idx="1564" formatCode="General">
                  <c:v>1564</c:v>
                </c:pt>
                <c:pt idx="1565" formatCode="General">
                  <c:v>1565</c:v>
                </c:pt>
                <c:pt idx="1566" formatCode="General">
                  <c:v>1566</c:v>
                </c:pt>
                <c:pt idx="1567" formatCode="General">
                  <c:v>1567</c:v>
                </c:pt>
                <c:pt idx="1568" formatCode="General">
                  <c:v>1568</c:v>
                </c:pt>
                <c:pt idx="1569" formatCode="General">
                  <c:v>1569</c:v>
                </c:pt>
                <c:pt idx="1570" formatCode="General">
                  <c:v>1570</c:v>
                </c:pt>
                <c:pt idx="1571" formatCode="General">
                  <c:v>1571</c:v>
                </c:pt>
                <c:pt idx="1572" formatCode="General">
                  <c:v>1572</c:v>
                </c:pt>
                <c:pt idx="1573" formatCode="General">
                  <c:v>1573</c:v>
                </c:pt>
                <c:pt idx="1574" formatCode="General">
                  <c:v>1574</c:v>
                </c:pt>
                <c:pt idx="1575" formatCode="General">
                  <c:v>1575</c:v>
                </c:pt>
                <c:pt idx="1576" formatCode="General">
                  <c:v>1576</c:v>
                </c:pt>
                <c:pt idx="1577" formatCode="General">
                  <c:v>1577</c:v>
                </c:pt>
                <c:pt idx="1578" formatCode="General">
                  <c:v>1578</c:v>
                </c:pt>
                <c:pt idx="1579" formatCode="General">
                  <c:v>1579</c:v>
                </c:pt>
                <c:pt idx="1580" formatCode="General">
                  <c:v>1580</c:v>
                </c:pt>
                <c:pt idx="1581" formatCode="General">
                  <c:v>1581</c:v>
                </c:pt>
                <c:pt idx="1582" formatCode="General">
                  <c:v>1582</c:v>
                </c:pt>
                <c:pt idx="1583" formatCode="General">
                  <c:v>1583</c:v>
                </c:pt>
                <c:pt idx="1584" formatCode="General">
                  <c:v>1584</c:v>
                </c:pt>
                <c:pt idx="1585" formatCode="General">
                  <c:v>1585</c:v>
                </c:pt>
                <c:pt idx="1586" formatCode="General">
                  <c:v>1586</c:v>
                </c:pt>
                <c:pt idx="1587" formatCode="General">
                  <c:v>1587</c:v>
                </c:pt>
                <c:pt idx="1588" formatCode="General">
                  <c:v>1588</c:v>
                </c:pt>
                <c:pt idx="1589" formatCode="General">
                  <c:v>1589</c:v>
                </c:pt>
                <c:pt idx="1590" formatCode="General">
                  <c:v>1590</c:v>
                </c:pt>
                <c:pt idx="1591" formatCode="General">
                  <c:v>1591</c:v>
                </c:pt>
                <c:pt idx="1592" formatCode="General">
                  <c:v>1592</c:v>
                </c:pt>
                <c:pt idx="1593" formatCode="General">
                  <c:v>1593</c:v>
                </c:pt>
                <c:pt idx="1594" formatCode="General">
                  <c:v>1594</c:v>
                </c:pt>
                <c:pt idx="1595" formatCode="General">
                  <c:v>1595</c:v>
                </c:pt>
                <c:pt idx="1596" formatCode="General">
                  <c:v>1596</c:v>
                </c:pt>
                <c:pt idx="1597" formatCode="General">
                  <c:v>1597</c:v>
                </c:pt>
                <c:pt idx="1598" formatCode="General">
                  <c:v>1598</c:v>
                </c:pt>
                <c:pt idx="1599" formatCode="General">
                  <c:v>1599</c:v>
                </c:pt>
                <c:pt idx="1600" formatCode="General">
                  <c:v>1600</c:v>
                </c:pt>
                <c:pt idx="1601" formatCode="General">
                  <c:v>1601</c:v>
                </c:pt>
                <c:pt idx="1602" formatCode="General">
                  <c:v>1602</c:v>
                </c:pt>
                <c:pt idx="1603" formatCode="General">
                  <c:v>1603</c:v>
                </c:pt>
                <c:pt idx="1604" formatCode="General">
                  <c:v>1604</c:v>
                </c:pt>
                <c:pt idx="1605" formatCode="General">
                  <c:v>1605</c:v>
                </c:pt>
                <c:pt idx="1606" formatCode="General">
                  <c:v>1606</c:v>
                </c:pt>
                <c:pt idx="1607" formatCode="General">
                  <c:v>1607</c:v>
                </c:pt>
                <c:pt idx="1608" formatCode="General">
                  <c:v>1608</c:v>
                </c:pt>
                <c:pt idx="1609" formatCode="General">
                  <c:v>1609</c:v>
                </c:pt>
                <c:pt idx="1610" formatCode="General">
                  <c:v>1610</c:v>
                </c:pt>
                <c:pt idx="1611" formatCode="General">
                  <c:v>1611</c:v>
                </c:pt>
                <c:pt idx="1612" formatCode="General">
                  <c:v>1612</c:v>
                </c:pt>
                <c:pt idx="1613" formatCode="General">
                  <c:v>1613</c:v>
                </c:pt>
                <c:pt idx="1614" formatCode="General">
                  <c:v>1614</c:v>
                </c:pt>
                <c:pt idx="1615" formatCode="General">
                  <c:v>1615</c:v>
                </c:pt>
                <c:pt idx="1616" formatCode="General">
                  <c:v>1616</c:v>
                </c:pt>
                <c:pt idx="1617" formatCode="General">
                  <c:v>1617</c:v>
                </c:pt>
                <c:pt idx="1618" formatCode="General">
                  <c:v>1618</c:v>
                </c:pt>
                <c:pt idx="1619" formatCode="General">
                  <c:v>1619</c:v>
                </c:pt>
                <c:pt idx="1620" formatCode="General">
                  <c:v>1620</c:v>
                </c:pt>
                <c:pt idx="1621" formatCode="General">
                  <c:v>1621</c:v>
                </c:pt>
                <c:pt idx="1622" formatCode="General">
                  <c:v>1622</c:v>
                </c:pt>
                <c:pt idx="1623" formatCode="General">
                  <c:v>1623</c:v>
                </c:pt>
                <c:pt idx="1624" formatCode="General">
                  <c:v>1624</c:v>
                </c:pt>
                <c:pt idx="1625" formatCode="General">
                  <c:v>1625</c:v>
                </c:pt>
                <c:pt idx="1626" formatCode="General">
                  <c:v>1626</c:v>
                </c:pt>
                <c:pt idx="1627" formatCode="General">
                  <c:v>1627</c:v>
                </c:pt>
                <c:pt idx="1628" formatCode="General">
                  <c:v>1628</c:v>
                </c:pt>
                <c:pt idx="1629" formatCode="General">
                  <c:v>1629</c:v>
                </c:pt>
                <c:pt idx="1630" formatCode="General">
                  <c:v>1630</c:v>
                </c:pt>
                <c:pt idx="1631" formatCode="General">
                  <c:v>1631</c:v>
                </c:pt>
                <c:pt idx="1632" formatCode="General">
                  <c:v>1632</c:v>
                </c:pt>
                <c:pt idx="1633" formatCode="General">
                  <c:v>1633</c:v>
                </c:pt>
                <c:pt idx="1634" formatCode="General">
                  <c:v>1634</c:v>
                </c:pt>
                <c:pt idx="1635" formatCode="General">
                  <c:v>1635</c:v>
                </c:pt>
                <c:pt idx="1636" formatCode="General">
                  <c:v>1636</c:v>
                </c:pt>
                <c:pt idx="1637" formatCode="General">
                  <c:v>1637</c:v>
                </c:pt>
                <c:pt idx="1638" formatCode="General">
                  <c:v>1638</c:v>
                </c:pt>
                <c:pt idx="1639" formatCode="General">
                  <c:v>1639</c:v>
                </c:pt>
                <c:pt idx="1640" formatCode="General">
                  <c:v>1640</c:v>
                </c:pt>
                <c:pt idx="1641" formatCode="General">
                  <c:v>1641</c:v>
                </c:pt>
                <c:pt idx="1642" formatCode="General">
                  <c:v>1642</c:v>
                </c:pt>
                <c:pt idx="1643" formatCode="General">
                  <c:v>1643</c:v>
                </c:pt>
                <c:pt idx="1644" formatCode="General">
                  <c:v>1644</c:v>
                </c:pt>
                <c:pt idx="1645" formatCode="General">
                  <c:v>1645</c:v>
                </c:pt>
                <c:pt idx="1646" formatCode="General">
                  <c:v>1646</c:v>
                </c:pt>
                <c:pt idx="1647" formatCode="General">
                  <c:v>1647</c:v>
                </c:pt>
                <c:pt idx="1648" formatCode="General">
                  <c:v>1648</c:v>
                </c:pt>
                <c:pt idx="1649" formatCode="General">
                  <c:v>1649</c:v>
                </c:pt>
                <c:pt idx="1650" formatCode="General">
                  <c:v>1650</c:v>
                </c:pt>
                <c:pt idx="1651" formatCode="General">
                  <c:v>1651</c:v>
                </c:pt>
                <c:pt idx="1652" formatCode="General">
                  <c:v>1652</c:v>
                </c:pt>
                <c:pt idx="1653" formatCode="General">
                  <c:v>1653</c:v>
                </c:pt>
                <c:pt idx="1654" formatCode="General">
                  <c:v>1654</c:v>
                </c:pt>
                <c:pt idx="1655" formatCode="General">
                  <c:v>1655</c:v>
                </c:pt>
                <c:pt idx="1656" formatCode="General">
                  <c:v>1656</c:v>
                </c:pt>
                <c:pt idx="1657" formatCode="General">
                  <c:v>1657</c:v>
                </c:pt>
                <c:pt idx="1658" formatCode="General">
                  <c:v>1658</c:v>
                </c:pt>
                <c:pt idx="1659" formatCode="General">
                  <c:v>1659</c:v>
                </c:pt>
                <c:pt idx="1660" formatCode="General">
                  <c:v>1660</c:v>
                </c:pt>
                <c:pt idx="1661" formatCode="General">
                  <c:v>1661</c:v>
                </c:pt>
                <c:pt idx="1662" formatCode="General">
                  <c:v>1662</c:v>
                </c:pt>
                <c:pt idx="1663" formatCode="General">
                  <c:v>1663</c:v>
                </c:pt>
                <c:pt idx="1664" formatCode="General">
                  <c:v>1664</c:v>
                </c:pt>
                <c:pt idx="1665" formatCode="General">
                  <c:v>1665</c:v>
                </c:pt>
                <c:pt idx="1666" formatCode="General">
                  <c:v>1666</c:v>
                </c:pt>
                <c:pt idx="1667" formatCode="General">
                  <c:v>1667</c:v>
                </c:pt>
                <c:pt idx="1668" formatCode="General">
                  <c:v>1668</c:v>
                </c:pt>
                <c:pt idx="1669" formatCode="General">
                  <c:v>1669</c:v>
                </c:pt>
                <c:pt idx="1670" formatCode="General">
                  <c:v>1670</c:v>
                </c:pt>
                <c:pt idx="1671" formatCode="General">
                  <c:v>1671</c:v>
                </c:pt>
                <c:pt idx="1672" formatCode="General">
                  <c:v>1672</c:v>
                </c:pt>
                <c:pt idx="1673" formatCode="General">
                  <c:v>1673</c:v>
                </c:pt>
                <c:pt idx="1674" formatCode="General">
                  <c:v>1674</c:v>
                </c:pt>
                <c:pt idx="1675" formatCode="General">
                  <c:v>1675</c:v>
                </c:pt>
                <c:pt idx="1676" formatCode="General">
                  <c:v>1676</c:v>
                </c:pt>
                <c:pt idx="1677" formatCode="General">
                  <c:v>1677</c:v>
                </c:pt>
                <c:pt idx="1678" formatCode="General">
                  <c:v>1678</c:v>
                </c:pt>
                <c:pt idx="1679" formatCode="General">
                  <c:v>1679</c:v>
                </c:pt>
                <c:pt idx="1680" formatCode="General">
                  <c:v>1680</c:v>
                </c:pt>
                <c:pt idx="1681" formatCode="General">
                  <c:v>1681</c:v>
                </c:pt>
                <c:pt idx="1682" formatCode="General">
                  <c:v>1682</c:v>
                </c:pt>
                <c:pt idx="1683" formatCode="General">
                  <c:v>1683</c:v>
                </c:pt>
                <c:pt idx="1684" formatCode="General">
                  <c:v>1684</c:v>
                </c:pt>
                <c:pt idx="1685" formatCode="General">
                  <c:v>1685</c:v>
                </c:pt>
                <c:pt idx="1686" formatCode="General">
                  <c:v>1686</c:v>
                </c:pt>
                <c:pt idx="1687" formatCode="General">
                  <c:v>1687</c:v>
                </c:pt>
                <c:pt idx="1688" formatCode="General">
                  <c:v>1688</c:v>
                </c:pt>
                <c:pt idx="1689" formatCode="General">
                  <c:v>1689</c:v>
                </c:pt>
                <c:pt idx="1690" formatCode="General">
                  <c:v>1690</c:v>
                </c:pt>
                <c:pt idx="1691" formatCode="General">
                  <c:v>1691</c:v>
                </c:pt>
                <c:pt idx="1692" formatCode="General">
                  <c:v>1692</c:v>
                </c:pt>
                <c:pt idx="1693" formatCode="General">
                  <c:v>1693</c:v>
                </c:pt>
                <c:pt idx="1694" formatCode="General">
                  <c:v>1694</c:v>
                </c:pt>
                <c:pt idx="1695" formatCode="General">
                  <c:v>1695</c:v>
                </c:pt>
                <c:pt idx="1696" formatCode="General">
                  <c:v>1696</c:v>
                </c:pt>
                <c:pt idx="1697" formatCode="General">
                  <c:v>1697</c:v>
                </c:pt>
                <c:pt idx="1698" formatCode="General">
                  <c:v>1698</c:v>
                </c:pt>
                <c:pt idx="1699" formatCode="General">
                  <c:v>1699</c:v>
                </c:pt>
                <c:pt idx="1700" formatCode="General">
                  <c:v>1700</c:v>
                </c:pt>
                <c:pt idx="1701" formatCode="General">
                  <c:v>1701</c:v>
                </c:pt>
                <c:pt idx="1702" formatCode="General">
                  <c:v>1702</c:v>
                </c:pt>
                <c:pt idx="1703" formatCode="General">
                  <c:v>1703</c:v>
                </c:pt>
                <c:pt idx="1704" formatCode="General">
                  <c:v>1704</c:v>
                </c:pt>
                <c:pt idx="1705" formatCode="General">
                  <c:v>1705</c:v>
                </c:pt>
                <c:pt idx="1706" formatCode="General">
                  <c:v>1706</c:v>
                </c:pt>
                <c:pt idx="1707" formatCode="General">
                  <c:v>1707</c:v>
                </c:pt>
                <c:pt idx="1708" formatCode="General">
                  <c:v>1708</c:v>
                </c:pt>
                <c:pt idx="1709" formatCode="General">
                  <c:v>1709</c:v>
                </c:pt>
                <c:pt idx="1710" formatCode="General">
                  <c:v>1710</c:v>
                </c:pt>
                <c:pt idx="1711" formatCode="General">
                  <c:v>1711</c:v>
                </c:pt>
                <c:pt idx="1712" formatCode="General">
                  <c:v>1712</c:v>
                </c:pt>
                <c:pt idx="1713" formatCode="General">
                  <c:v>1713</c:v>
                </c:pt>
                <c:pt idx="1714" formatCode="General">
                  <c:v>1714</c:v>
                </c:pt>
                <c:pt idx="1715" formatCode="General">
                  <c:v>1715</c:v>
                </c:pt>
                <c:pt idx="1716" formatCode="General">
                  <c:v>1716</c:v>
                </c:pt>
                <c:pt idx="1717" formatCode="General">
                  <c:v>1717</c:v>
                </c:pt>
                <c:pt idx="1718" formatCode="General">
                  <c:v>1718</c:v>
                </c:pt>
                <c:pt idx="1719" formatCode="General">
                  <c:v>1719</c:v>
                </c:pt>
                <c:pt idx="1720" formatCode="General">
                  <c:v>1720</c:v>
                </c:pt>
                <c:pt idx="1721" formatCode="General">
                  <c:v>1721</c:v>
                </c:pt>
                <c:pt idx="1722" formatCode="General">
                  <c:v>1722</c:v>
                </c:pt>
                <c:pt idx="1723" formatCode="General">
                  <c:v>1723</c:v>
                </c:pt>
                <c:pt idx="1724" formatCode="General">
                  <c:v>1724</c:v>
                </c:pt>
                <c:pt idx="1725" formatCode="General">
                  <c:v>1725</c:v>
                </c:pt>
                <c:pt idx="1726" formatCode="General">
                  <c:v>1726</c:v>
                </c:pt>
                <c:pt idx="1727" formatCode="General">
                  <c:v>1727</c:v>
                </c:pt>
                <c:pt idx="1728" formatCode="General">
                  <c:v>1728</c:v>
                </c:pt>
                <c:pt idx="1729" formatCode="General">
                  <c:v>1729</c:v>
                </c:pt>
                <c:pt idx="1730" formatCode="General">
                  <c:v>1730</c:v>
                </c:pt>
                <c:pt idx="1731" formatCode="General">
                  <c:v>1731</c:v>
                </c:pt>
                <c:pt idx="1732" formatCode="General">
                  <c:v>1732</c:v>
                </c:pt>
                <c:pt idx="1733" formatCode="General">
                  <c:v>1733</c:v>
                </c:pt>
                <c:pt idx="1734" formatCode="General">
                  <c:v>1734</c:v>
                </c:pt>
                <c:pt idx="1735" formatCode="General">
                  <c:v>1735</c:v>
                </c:pt>
                <c:pt idx="1736" formatCode="General">
                  <c:v>1736</c:v>
                </c:pt>
                <c:pt idx="1737" formatCode="General">
                  <c:v>1737</c:v>
                </c:pt>
                <c:pt idx="1738" formatCode="General">
                  <c:v>1738</c:v>
                </c:pt>
                <c:pt idx="1739" formatCode="General">
                  <c:v>1739</c:v>
                </c:pt>
                <c:pt idx="1740" formatCode="General">
                  <c:v>1740</c:v>
                </c:pt>
                <c:pt idx="1741" formatCode="General">
                  <c:v>1741</c:v>
                </c:pt>
                <c:pt idx="1742" formatCode="General">
                  <c:v>1742</c:v>
                </c:pt>
                <c:pt idx="1743" formatCode="General">
                  <c:v>1743</c:v>
                </c:pt>
                <c:pt idx="1744" formatCode="General">
                  <c:v>1744</c:v>
                </c:pt>
                <c:pt idx="1745" formatCode="General">
                  <c:v>1745</c:v>
                </c:pt>
                <c:pt idx="1746" formatCode="General">
                  <c:v>1746</c:v>
                </c:pt>
                <c:pt idx="1747" formatCode="General">
                  <c:v>1747</c:v>
                </c:pt>
                <c:pt idx="1748" formatCode="General">
                  <c:v>1748</c:v>
                </c:pt>
                <c:pt idx="1749" formatCode="General">
                  <c:v>1749</c:v>
                </c:pt>
                <c:pt idx="1750" formatCode="General">
                  <c:v>1750</c:v>
                </c:pt>
                <c:pt idx="1751" formatCode="General">
                  <c:v>1751</c:v>
                </c:pt>
                <c:pt idx="1752" formatCode="General">
                  <c:v>1752</c:v>
                </c:pt>
                <c:pt idx="1753" formatCode="General">
                  <c:v>1753</c:v>
                </c:pt>
                <c:pt idx="1754" formatCode="General">
                  <c:v>1754</c:v>
                </c:pt>
                <c:pt idx="1755" formatCode="General">
                  <c:v>1755</c:v>
                </c:pt>
                <c:pt idx="1756" formatCode="General">
                  <c:v>1756</c:v>
                </c:pt>
                <c:pt idx="1757" formatCode="General">
                  <c:v>1757</c:v>
                </c:pt>
                <c:pt idx="1758" formatCode="General">
                  <c:v>1758</c:v>
                </c:pt>
                <c:pt idx="1759" formatCode="General">
                  <c:v>1759</c:v>
                </c:pt>
                <c:pt idx="1760" formatCode="General">
                  <c:v>1760</c:v>
                </c:pt>
                <c:pt idx="1761" formatCode="General">
                  <c:v>1761</c:v>
                </c:pt>
                <c:pt idx="1762" formatCode="General">
                  <c:v>1762</c:v>
                </c:pt>
                <c:pt idx="1763" formatCode="General">
                  <c:v>1763</c:v>
                </c:pt>
                <c:pt idx="1764" formatCode="General">
                  <c:v>1764</c:v>
                </c:pt>
                <c:pt idx="1765" formatCode="General">
                  <c:v>1765</c:v>
                </c:pt>
                <c:pt idx="1766" formatCode="General">
                  <c:v>1766</c:v>
                </c:pt>
                <c:pt idx="1767" formatCode="General">
                  <c:v>1767</c:v>
                </c:pt>
                <c:pt idx="1768" formatCode="General">
                  <c:v>1768</c:v>
                </c:pt>
                <c:pt idx="1769" formatCode="General">
                  <c:v>1769</c:v>
                </c:pt>
                <c:pt idx="1770" formatCode="General">
                  <c:v>1770</c:v>
                </c:pt>
                <c:pt idx="1771" formatCode="General">
                  <c:v>1771</c:v>
                </c:pt>
                <c:pt idx="1772" formatCode="General">
                  <c:v>1772</c:v>
                </c:pt>
                <c:pt idx="1773" formatCode="General">
                  <c:v>1773</c:v>
                </c:pt>
                <c:pt idx="1774" formatCode="General">
                  <c:v>1774</c:v>
                </c:pt>
                <c:pt idx="1775" formatCode="General">
                  <c:v>1775</c:v>
                </c:pt>
                <c:pt idx="1776" formatCode="General">
                  <c:v>1776</c:v>
                </c:pt>
                <c:pt idx="1777" formatCode="General">
                  <c:v>1777</c:v>
                </c:pt>
                <c:pt idx="1778" formatCode="General">
                  <c:v>1778</c:v>
                </c:pt>
                <c:pt idx="1779" formatCode="General">
                  <c:v>1779</c:v>
                </c:pt>
                <c:pt idx="1780" formatCode="General">
                  <c:v>1780</c:v>
                </c:pt>
                <c:pt idx="1781" formatCode="General">
                  <c:v>1781</c:v>
                </c:pt>
                <c:pt idx="1782" formatCode="General">
                  <c:v>1782</c:v>
                </c:pt>
                <c:pt idx="1783" formatCode="General">
                  <c:v>1783</c:v>
                </c:pt>
                <c:pt idx="1784" formatCode="General">
                  <c:v>1784</c:v>
                </c:pt>
                <c:pt idx="1785" formatCode="General">
                  <c:v>1785</c:v>
                </c:pt>
                <c:pt idx="1786" formatCode="General">
                  <c:v>1786</c:v>
                </c:pt>
                <c:pt idx="1787" formatCode="General">
                  <c:v>1787</c:v>
                </c:pt>
                <c:pt idx="1788" formatCode="General">
                  <c:v>1788</c:v>
                </c:pt>
                <c:pt idx="1789" formatCode="General">
                  <c:v>1789</c:v>
                </c:pt>
                <c:pt idx="1790" formatCode="General">
                  <c:v>1790</c:v>
                </c:pt>
                <c:pt idx="1791" formatCode="General">
                  <c:v>1791</c:v>
                </c:pt>
                <c:pt idx="1792" formatCode="General">
                  <c:v>1792</c:v>
                </c:pt>
                <c:pt idx="1793" formatCode="General">
                  <c:v>1793</c:v>
                </c:pt>
                <c:pt idx="1794" formatCode="General">
                  <c:v>1794</c:v>
                </c:pt>
                <c:pt idx="1795" formatCode="General">
                  <c:v>1795</c:v>
                </c:pt>
                <c:pt idx="1796" formatCode="General">
                  <c:v>1796</c:v>
                </c:pt>
                <c:pt idx="1797" formatCode="General">
                  <c:v>1797</c:v>
                </c:pt>
                <c:pt idx="1798" formatCode="General">
                  <c:v>1798</c:v>
                </c:pt>
                <c:pt idx="1799" formatCode="General">
                  <c:v>1799</c:v>
                </c:pt>
                <c:pt idx="1800" formatCode="General">
                  <c:v>1800</c:v>
                </c:pt>
                <c:pt idx="1801" formatCode="General">
                  <c:v>1801</c:v>
                </c:pt>
                <c:pt idx="1802" formatCode="General">
                  <c:v>1802</c:v>
                </c:pt>
                <c:pt idx="1803" formatCode="General">
                  <c:v>1803</c:v>
                </c:pt>
                <c:pt idx="1804" formatCode="General">
                  <c:v>1804</c:v>
                </c:pt>
                <c:pt idx="1805" formatCode="General">
                  <c:v>1805</c:v>
                </c:pt>
                <c:pt idx="1806" formatCode="General">
                  <c:v>1806</c:v>
                </c:pt>
                <c:pt idx="1807" formatCode="General">
                  <c:v>1807</c:v>
                </c:pt>
                <c:pt idx="1808" formatCode="General">
                  <c:v>1808</c:v>
                </c:pt>
                <c:pt idx="1809" formatCode="General">
                  <c:v>1809</c:v>
                </c:pt>
                <c:pt idx="1810" formatCode="General">
                  <c:v>1810</c:v>
                </c:pt>
                <c:pt idx="1811" formatCode="General">
                  <c:v>1811</c:v>
                </c:pt>
                <c:pt idx="1812" formatCode="General">
                  <c:v>1812</c:v>
                </c:pt>
                <c:pt idx="1813" formatCode="General">
                  <c:v>1813</c:v>
                </c:pt>
                <c:pt idx="1814" formatCode="General">
                  <c:v>1814</c:v>
                </c:pt>
                <c:pt idx="1815" formatCode="General">
                  <c:v>1815</c:v>
                </c:pt>
                <c:pt idx="1816" formatCode="General">
                  <c:v>1816</c:v>
                </c:pt>
                <c:pt idx="1817" formatCode="General">
                  <c:v>1817</c:v>
                </c:pt>
                <c:pt idx="1818" formatCode="General">
                  <c:v>1818</c:v>
                </c:pt>
                <c:pt idx="1819" formatCode="General">
                  <c:v>1819</c:v>
                </c:pt>
                <c:pt idx="1820" formatCode="General">
                  <c:v>1820</c:v>
                </c:pt>
                <c:pt idx="1821" formatCode="General">
                  <c:v>1821</c:v>
                </c:pt>
                <c:pt idx="1822" formatCode="General">
                  <c:v>1822</c:v>
                </c:pt>
                <c:pt idx="1823" formatCode="General">
                  <c:v>1823</c:v>
                </c:pt>
                <c:pt idx="1824" formatCode="General">
                  <c:v>1824</c:v>
                </c:pt>
                <c:pt idx="1825" formatCode="General">
                  <c:v>1825</c:v>
                </c:pt>
                <c:pt idx="1826" formatCode="General">
                  <c:v>1826</c:v>
                </c:pt>
                <c:pt idx="1827" formatCode="General">
                  <c:v>1827</c:v>
                </c:pt>
                <c:pt idx="1828" formatCode="General">
                  <c:v>1828</c:v>
                </c:pt>
                <c:pt idx="1829" formatCode="General">
                  <c:v>1829</c:v>
                </c:pt>
                <c:pt idx="1830" formatCode="General">
                  <c:v>1830</c:v>
                </c:pt>
                <c:pt idx="1831" formatCode="General">
                  <c:v>1831</c:v>
                </c:pt>
                <c:pt idx="1832" formatCode="General">
                  <c:v>1832</c:v>
                </c:pt>
                <c:pt idx="1833" formatCode="General">
                  <c:v>1833</c:v>
                </c:pt>
                <c:pt idx="1834" formatCode="General">
                  <c:v>1834</c:v>
                </c:pt>
                <c:pt idx="1835" formatCode="General">
                  <c:v>1835</c:v>
                </c:pt>
                <c:pt idx="1836" formatCode="General">
                  <c:v>1836</c:v>
                </c:pt>
                <c:pt idx="1837" formatCode="General">
                  <c:v>1837</c:v>
                </c:pt>
                <c:pt idx="1838" formatCode="General">
                  <c:v>1838</c:v>
                </c:pt>
                <c:pt idx="1839" formatCode="General">
                  <c:v>1839</c:v>
                </c:pt>
                <c:pt idx="1840" formatCode="General">
                  <c:v>1840</c:v>
                </c:pt>
                <c:pt idx="1841" formatCode="General">
                  <c:v>1841</c:v>
                </c:pt>
                <c:pt idx="1842" formatCode="General">
                  <c:v>1842</c:v>
                </c:pt>
                <c:pt idx="1843" formatCode="General">
                  <c:v>1843</c:v>
                </c:pt>
                <c:pt idx="1844" formatCode="General">
                  <c:v>1844</c:v>
                </c:pt>
                <c:pt idx="1845" formatCode="General">
                  <c:v>1845</c:v>
                </c:pt>
                <c:pt idx="1846" formatCode="General">
                  <c:v>1846</c:v>
                </c:pt>
                <c:pt idx="1847" formatCode="General">
                  <c:v>1847</c:v>
                </c:pt>
                <c:pt idx="1848" formatCode="General">
                  <c:v>1848</c:v>
                </c:pt>
                <c:pt idx="1849" formatCode="General">
                  <c:v>1849</c:v>
                </c:pt>
                <c:pt idx="1850" formatCode="General">
                  <c:v>1850</c:v>
                </c:pt>
                <c:pt idx="1851" formatCode="General">
                  <c:v>1851</c:v>
                </c:pt>
                <c:pt idx="1852" formatCode="General">
                  <c:v>1852</c:v>
                </c:pt>
                <c:pt idx="1853" formatCode="General">
                  <c:v>1853</c:v>
                </c:pt>
                <c:pt idx="1854" formatCode="General">
                  <c:v>1854</c:v>
                </c:pt>
                <c:pt idx="1855" formatCode="General">
                  <c:v>1855</c:v>
                </c:pt>
                <c:pt idx="1856" formatCode="General">
                  <c:v>1856</c:v>
                </c:pt>
                <c:pt idx="1857" formatCode="General">
                  <c:v>1857</c:v>
                </c:pt>
                <c:pt idx="1858" formatCode="General">
                  <c:v>1858</c:v>
                </c:pt>
                <c:pt idx="1859" formatCode="General">
                  <c:v>1859</c:v>
                </c:pt>
                <c:pt idx="1860" formatCode="General">
                  <c:v>1860</c:v>
                </c:pt>
                <c:pt idx="1861" formatCode="General">
                  <c:v>1861</c:v>
                </c:pt>
                <c:pt idx="1862" formatCode="General">
                  <c:v>1862</c:v>
                </c:pt>
                <c:pt idx="1863" formatCode="General">
                  <c:v>1863</c:v>
                </c:pt>
                <c:pt idx="1864" formatCode="General">
                  <c:v>1864</c:v>
                </c:pt>
                <c:pt idx="1865" formatCode="General">
                  <c:v>1865</c:v>
                </c:pt>
                <c:pt idx="1866" formatCode="General">
                  <c:v>1866</c:v>
                </c:pt>
                <c:pt idx="1867" formatCode="General">
                  <c:v>1867</c:v>
                </c:pt>
                <c:pt idx="1868" formatCode="General">
                  <c:v>1868</c:v>
                </c:pt>
                <c:pt idx="1869" formatCode="General">
                  <c:v>1869</c:v>
                </c:pt>
                <c:pt idx="1870" formatCode="General">
                  <c:v>1870</c:v>
                </c:pt>
                <c:pt idx="1871" formatCode="General">
                  <c:v>1871</c:v>
                </c:pt>
                <c:pt idx="1872" formatCode="General">
                  <c:v>1872</c:v>
                </c:pt>
                <c:pt idx="1873" formatCode="General">
                  <c:v>1873</c:v>
                </c:pt>
                <c:pt idx="1874" formatCode="General">
                  <c:v>1874</c:v>
                </c:pt>
                <c:pt idx="1875" formatCode="General">
                  <c:v>1875</c:v>
                </c:pt>
                <c:pt idx="1876" formatCode="General">
                  <c:v>1876</c:v>
                </c:pt>
                <c:pt idx="1877" formatCode="General">
                  <c:v>1877</c:v>
                </c:pt>
                <c:pt idx="1878" formatCode="General">
                  <c:v>1878</c:v>
                </c:pt>
                <c:pt idx="1879" formatCode="General">
                  <c:v>1879</c:v>
                </c:pt>
                <c:pt idx="1880" formatCode="General">
                  <c:v>1880</c:v>
                </c:pt>
                <c:pt idx="1881" formatCode="General">
                  <c:v>1881</c:v>
                </c:pt>
                <c:pt idx="1882" formatCode="General">
                  <c:v>1882</c:v>
                </c:pt>
                <c:pt idx="1883" formatCode="General">
                  <c:v>1883</c:v>
                </c:pt>
                <c:pt idx="1884" formatCode="General">
                  <c:v>1884</c:v>
                </c:pt>
                <c:pt idx="1885" formatCode="General">
                  <c:v>1885</c:v>
                </c:pt>
                <c:pt idx="1886" formatCode="General">
                  <c:v>1886</c:v>
                </c:pt>
                <c:pt idx="1887" formatCode="General">
                  <c:v>1887</c:v>
                </c:pt>
                <c:pt idx="1888" formatCode="General">
                  <c:v>1888</c:v>
                </c:pt>
                <c:pt idx="1889" formatCode="General">
                  <c:v>1889</c:v>
                </c:pt>
                <c:pt idx="1890" formatCode="General">
                  <c:v>1890</c:v>
                </c:pt>
                <c:pt idx="1891" formatCode="General">
                  <c:v>1891</c:v>
                </c:pt>
                <c:pt idx="1892" formatCode="General">
                  <c:v>1892</c:v>
                </c:pt>
                <c:pt idx="1893" formatCode="General">
                  <c:v>1893</c:v>
                </c:pt>
                <c:pt idx="1894" formatCode="General">
                  <c:v>1894</c:v>
                </c:pt>
                <c:pt idx="1895" formatCode="General">
                  <c:v>1895</c:v>
                </c:pt>
                <c:pt idx="1896" formatCode="General">
                  <c:v>1896</c:v>
                </c:pt>
                <c:pt idx="1897" formatCode="General">
                  <c:v>1897</c:v>
                </c:pt>
                <c:pt idx="1898" formatCode="General">
                  <c:v>1898</c:v>
                </c:pt>
                <c:pt idx="1899" formatCode="General">
                  <c:v>1899</c:v>
                </c:pt>
                <c:pt idx="1900" formatCode="General">
                  <c:v>1900</c:v>
                </c:pt>
                <c:pt idx="1901" formatCode="General">
                  <c:v>1901</c:v>
                </c:pt>
                <c:pt idx="1902" formatCode="General">
                  <c:v>1902</c:v>
                </c:pt>
                <c:pt idx="1903" formatCode="General">
                  <c:v>1903</c:v>
                </c:pt>
                <c:pt idx="1904" formatCode="General">
                  <c:v>1904</c:v>
                </c:pt>
                <c:pt idx="1905" formatCode="General">
                  <c:v>1905</c:v>
                </c:pt>
                <c:pt idx="1906" formatCode="General">
                  <c:v>1906</c:v>
                </c:pt>
                <c:pt idx="1907" formatCode="General">
                  <c:v>1907</c:v>
                </c:pt>
                <c:pt idx="1908" formatCode="General">
                  <c:v>1908</c:v>
                </c:pt>
                <c:pt idx="1909" formatCode="General">
                  <c:v>1909</c:v>
                </c:pt>
                <c:pt idx="1910" formatCode="General">
                  <c:v>1910</c:v>
                </c:pt>
                <c:pt idx="1911" formatCode="General">
                  <c:v>1911</c:v>
                </c:pt>
                <c:pt idx="1912" formatCode="General">
                  <c:v>1912</c:v>
                </c:pt>
                <c:pt idx="1913" formatCode="General">
                  <c:v>1913</c:v>
                </c:pt>
                <c:pt idx="1914" formatCode="General">
                  <c:v>1914</c:v>
                </c:pt>
                <c:pt idx="1915" formatCode="General">
                  <c:v>1915</c:v>
                </c:pt>
                <c:pt idx="1916" formatCode="General">
                  <c:v>1916</c:v>
                </c:pt>
                <c:pt idx="1917" formatCode="General">
                  <c:v>1917</c:v>
                </c:pt>
                <c:pt idx="1918" formatCode="General">
                  <c:v>1918</c:v>
                </c:pt>
                <c:pt idx="1919" formatCode="General">
                  <c:v>1919</c:v>
                </c:pt>
                <c:pt idx="1920" formatCode="General">
                  <c:v>1920</c:v>
                </c:pt>
              </c:numCache>
            </c:numRef>
          </c:xVal>
          <c:yVal>
            <c:numRef>
              <c:f>('24-Hr Simulated Use Test'!$D$413:$D$1853,'24-Hr Simulated Use Test'!$J$413:$J$892)</c:f>
              <c:numCache>
                <c:formatCode>General</c:formatCode>
                <c:ptCount val="1921"/>
              </c:numCache>
            </c:numRef>
          </c:yVal>
          <c:smooth val="0"/>
          <c:extLst>
            <c:ext xmlns:c16="http://schemas.microsoft.com/office/drawing/2014/chart" uri="{C3380CC4-5D6E-409C-BE32-E72D297353CC}">
              <c16:uniqueId val="{00000000-C574-4EC9-AEA4-BDCB7A30FC92}"/>
            </c:ext>
          </c:extLst>
        </c:ser>
        <c:ser>
          <c:idx val="11"/>
          <c:order val="1"/>
          <c:tx>
            <c:strRef>
              <c:f>'Mean Tank Temp Plot'!$AY$32:$AZ$32</c:f>
              <c:strCache>
                <c:ptCount val="1"/>
                <c:pt idx="0">
                  <c:v>T_max,1</c:v>
                </c:pt>
              </c:strCache>
            </c:strRef>
          </c:tx>
          <c:spPr>
            <a:ln>
              <a:noFill/>
            </a:ln>
          </c:spPr>
          <c:marker>
            <c:symbol val="x"/>
            <c:size val="7"/>
            <c:spPr>
              <a:noFill/>
              <a:ln>
                <a:solidFill>
                  <a:sysClr val="windowText" lastClr="000000"/>
                </a:solidFill>
              </a:ln>
            </c:spPr>
          </c:marker>
          <c:xVal>
            <c:numRef>
              <c:f>'Mean Tank Temp Plot'!$AY$34</c:f>
              <c:numCache>
                <c:formatCode>0.00</c:formatCode>
                <c:ptCount val="1"/>
                <c:pt idx="0">
                  <c:v>0</c:v>
                </c:pt>
              </c:numCache>
            </c:numRef>
          </c:xVal>
          <c:yVal>
            <c:numRef>
              <c:f>'Mean Tank Temp Plot'!$AZ$34</c:f>
              <c:numCache>
                <c:formatCode>0.00</c:formatCode>
                <c:ptCount val="1"/>
                <c:pt idx="0">
                  <c:v>0</c:v>
                </c:pt>
              </c:numCache>
            </c:numRef>
          </c:yVal>
          <c:smooth val="0"/>
          <c:extLst>
            <c:ext xmlns:c16="http://schemas.microsoft.com/office/drawing/2014/chart" uri="{C3380CC4-5D6E-409C-BE32-E72D297353CC}">
              <c16:uniqueId val="{00000001-C574-4EC9-AEA4-BDCB7A30FC92}"/>
            </c:ext>
          </c:extLst>
        </c:ser>
        <c:ser>
          <c:idx val="4"/>
          <c:order val="2"/>
          <c:tx>
            <c:v>Draw Start</c:v>
          </c:tx>
          <c:spPr>
            <a:ln>
              <a:noFill/>
            </a:ln>
          </c:spPr>
          <c:marker>
            <c:symbol val="square"/>
            <c:size val="5"/>
          </c:marker>
          <c:xVal>
            <c:numRef>
              <c:f>'Mean Tank Temp Plot'!$AZ$6:$AZ$19</c:f>
              <c:numCache>
                <c:formatCode>0</c:formatCode>
                <c:ptCount val="14"/>
                <c:pt idx="0">
                  <c:v>1440</c:v>
                </c:pt>
                <c:pt idx="1">
                  <c:v>1440</c:v>
                </c:pt>
                <c:pt idx="2">
                  <c:v>1440</c:v>
                </c:pt>
                <c:pt idx="3">
                  <c:v>1440</c:v>
                </c:pt>
                <c:pt idx="4">
                  <c:v>1440</c:v>
                </c:pt>
                <c:pt idx="5">
                  <c:v>1440</c:v>
                </c:pt>
                <c:pt idx="6">
                  <c:v>1440</c:v>
                </c:pt>
                <c:pt idx="7">
                  <c:v>1440</c:v>
                </c:pt>
                <c:pt idx="8">
                  <c:v>1440</c:v>
                </c:pt>
                <c:pt idx="9">
                  <c:v>1440</c:v>
                </c:pt>
                <c:pt idx="10">
                  <c:v>1440</c:v>
                </c:pt>
                <c:pt idx="11">
                  <c:v>1440</c:v>
                </c:pt>
                <c:pt idx="12">
                  <c:v>1440</c:v>
                </c:pt>
                <c:pt idx="13">
                  <c:v>1440</c:v>
                </c:pt>
              </c:numCache>
            </c:numRef>
          </c:xVal>
          <c:yVal>
            <c:numRef>
              <c:f>'Mean Tank Temp Plot'!$BC$6:$BC$19</c:f>
              <c:numCache>
                <c:formatCode>0.00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yVal>
          <c:smooth val="0"/>
          <c:extLst>
            <c:ext xmlns:c16="http://schemas.microsoft.com/office/drawing/2014/chart" uri="{C3380CC4-5D6E-409C-BE32-E72D297353CC}">
              <c16:uniqueId val="{00000002-C574-4EC9-AEA4-BDCB7A30FC92}"/>
            </c:ext>
          </c:extLst>
        </c:ser>
        <c:ser>
          <c:idx val="1"/>
          <c:order val="3"/>
          <c:tx>
            <c:v>Draw Cluster 1</c:v>
          </c:tx>
          <c:marker>
            <c:symbol val="none"/>
          </c:marker>
          <c:xVal>
            <c:numRef>
              <c:f>'Mean Tank Temp Plot'!$AY$27:$AY$30</c:f>
              <c:numCache>
                <c:formatCode>General</c:formatCode>
                <c:ptCount val="4"/>
                <c:pt idx="0" formatCode="0">
                  <c:v>1440</c:v>
                </c:pt>
                <c:pt idx="1">
                  <c:v>1440</c:v>
                </c:pt>
                <c:pt idx="2">
                  <c:v>#N/A</c:v>
                </c:pt>
                <c:pt idx="3">
                  <c:v>#N/A</c:v>
                </c:pt>
              </c:numCache>
            </c:numRef>
          </c:xVal>
          <c:yVal>
            <c:numRef>
              <c:f>'Mean Tank Temp Plot'!$BB$27:$BB$30</c:f>
              <c:numCache>
                <c:formatCode>0.00</c:formatCode>
                <c:ptCount val="4"/>
                <c:pt idx="0">
                  <c:v>0</c:v>
                </c:pt>
                <c:pt idx="1">
                  <c:v>0</c:v>
                </c:pt>
                <c:pt idx="2">
                  <c:v>0</c:v>
                </c:pt>
                <c:pt idx="3">
                  <c:v>0</c:v>
                </c:pt>
              </c:numCache>
            </c:numRef>
          </c:yVal>
          <c:smooth val="0"/>
          <c:extLst>
            <c:ext xmlns:c16="http://schemas.microsoft.com/office/drawing/2014/chart" uri="{C3380CC4-5D6E-409C-BE32-E72D297353CC}">
              <c16:uniqueId val="{00000003-C574-4EC9-AEA4-BDCB7A30FC92}"/>
            </c:ext>
          </c:extLst>
        </c:ser>
        <c:ser>
          <c:idx val="9"/>
          <c:order val="4"/>
          <c:tx>
            <c:strRef>
              <c:f>'Mean Tank Temp Plot'!$BB$36</c:f>
              <c:strCache>
                <c:ptCount val="1"/>
                <c:pt idx="0">
                  <c:v>T_su,0 and T_su,f</c:v>
                </c:pt>
              </c:strCache>
            </c:strRef>
          </c:tx>
          <c:spPr>
            <a:ln>
              <a:noFill/>
            </a:ln>
          </c:spPr>
          <c:marker>
            <c:symbol val="square"/>
            <c:size val="5"/>
            <c:spPr>
              <a:solidFill>
                <a:schemeClr val="accent6">
                  <a:lumMod val="75000"/>
                </a:schemeClr>
              </a:solidFill>
              <a:ln>
                <a:solidFill>
                  <a:schemeClr val="accent6">
                    <a:lumMod val="75000"/>
                  </a:schemeClr>
                </a:solidFill>
              </a:ln>
            </c:spPr>
          </c:marker>
          <c:xVal>
            <c:numRef>
              <c:f>'Mean Tank Temp Plot'!$BB$38:$BB$39</c:f>
              <c:numCache>
                <c:formatCode>0.00</c:formatCode>
                <c:ptCount val="2"/>
                <c:pt idx="0">
                  <c:v>0</c:v>
                </c:pt>
                <c:pt idx="1">
                  <c:v>0</c:v>
                </c:pt>
              </c:numCache>
            </c:numRef>
          </c:xVal>
          <c:yVal>
            <c:numRef>
              <c:f>'Mean Tank Temp Plot'!$BC$38:$BC$39</c:f>
              <c:numCache>
                <c:formatCode>0.00</c:formatCode>
                <c:ptCount val="2"/>
                <c:pt idx="0">
                  <c:v>0</c:v>
                </c:pt>
                <c:pt idx="1">
                  <c:v>0</c:v>
                </c:pt>
              </c:numCache>
            </c:numRef>
          </c:yVal>
          <c:smooth val="0"/>
          <c:extLst>
            <c:ext xmlns:c16="http://schemas.microsoft.com/office/drawing/2014/chart" uri="{C3380CC4-5D6E-409C-BE32-E72D297353CC}">
              <c16:uniqueId val="{00000004-C574-4EC9-AEA4-BDCB7A30FC92}"/>
            </c:ext>
          </c:extLst>
        </c:ser>
        <c:ser>
          <c:idx val="5"/>
          <c:order val="5"/>
          <c:tx>
            <c:v>Draw End</c:v>
          </c:tx>
          <c:spPr>
            <a:ln>
              <a:noFill/>
            </a:ln>
          </c:spPr>
          <c:marker>
            <c:symbol val="diamond"/>
            <c:size val="9"/>
            <c:spPr>
              <a:solidFill>
                <a:schemeClr val="accent1"/>
              </a:solidFill>
              <a:ln>
                <a:noFill/>
              </a:ln>
            </c:spPr>
          </c:marker>
          <c:xVal>
            <c:numRef>
              <c:f>'Mean Tank Temp Plot'!$BA$6:$BA$19</c:f>
              <c:numCache>
                <c:formatCode>0</c:formatCode>
                <c:ptCount val="14"/>
                <c:pt idx="0">
                  <c:v>1440</c:v>
                </c:pt>
                <c:pt idx="1">
                  <c:v>1440</c:v>
                </c:pt>
                <c:pt idx="2">
                  <c:v>1440</c:v>
                </c:pt>
                <c:pt idx="3">
                  <c:v>1440</c:v>
                </c:pt>
                <c:pt idx="4">
                  <c:v>1440</c:v>
                </c:pt>
                <c:pt idx="5">
                  <c:v>1440</c:v>
                </c:pt>
                <c:pt idx="6">
                  <c:v>1440</c:v>
                </c:pt>
                <c:pt idx="7">
                  <c:v>1440</c:v>
                </c:pt>
                <c:pt idx="8">
                  <c:v>1440</c:v>
                </c:pt>
                <c:pt idx="9">
                  <c:v>1440</c:v>
                </c:pt>
                <c:pt idx="10">
                  <c:v>1440</c:v>
                </c:pt>
                <c:pt idx="11">
                  <c:v>1440</c:v>
                </c:pt>
                <c:pt idx="12">
                  <c:v>1440</c:v>
                </c:pt>
                <c:pt idx="13">
                  <c:v>1440</c:v>
                </c:pt>
              </c:numCache>
            </c:numRef>
          </c:xVal>
          <c:yVal>
            <c:numRef>
              <c:f>'Mean Tank Temp Plot'!$BD$6:$BD$19</c:f>
              <c:numCache>
                <c:formatCode>0.00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yVal>
          <c:smooth val="0"/>
          <c:extLst>
            <c:ext xmlns:c16="http://schemas.microsoft.com/office/drawing/2014/chart" uri="{C3380CC4-5D6E-409C-BE32-E72D297353CC}">
              <c16:uniqueId val="{00000005-C574-4EC9-AEA4-BDCB7A30FC92}"/>
            </c:ext>
          </c:extLst>
        </c:ser>
        <c:ser>
          <c:idx val="2"/>
          <c:order val="6"/>
          <c:tx>
            <c:v>Draw Cluster 2</c:v>
          </c:tx>
          <c:spPr>
            <a:ln>
              <a:solidFill>
                <a:srgbClr val="00B050"/>
              </a:solidFill>
            </a:ln>
          </c:spPr>
          <c:marker>
            <c:symbol val="none"/>
          </c:marker>
          <c:xVal>
            <c:numRef>
              <c:f>'Mean Tank Temp Plot'!$AZ$27:$AZ$30</c:f>
              <c:numCache>
                <c:formatCode>General</c:formatCode>
                <c:ptCount val="4"/>
                <c:pt idx="0" formatCode="0">
                  <c:v>1440</c:v>
                </c:pt>
                <c:pt idx="1">
                  <c:v>1440</c:v>
                </c:pt>
                <c:pt idx="2">
                  <c:v>#N/A</c:v>
                </c:pt>
                <c:pt idx="3">
                  <c:v>#N/A</c:v>
                </c:pt>
              </c:numCache>
            </c:numRef>
          </c:xVal>
          <c:yVal>
            <c:numRef>
              <c:f>'Mean Tank Temp Plot'!$BB$27:$BB$30</c:f>
              <c:numCache>
                <c:formatCode>0.00</c:formatCode>
                <c:ptCount val="4"/>
                <c:pt idx="0">
                  <c:v>0</c:v>
                </c:pt>
                <c:pt idx="1">
                  <c:v>0</c:v>
                </c:pt>
                <c:pt idx="2">
                  <c:v>0</c:v>
                </c:pt>
                <c:pt idx="3">
                  <c:v>0</c:v>
                </c:pt>
              </c:numCache>
            </c:numRef>
          </c:yVal>
          <c:smooth val="0"/>
          <c:extLst>
            <c:ext xmlns:c16="http://schemas.microsoft.com/office/drawing/2014/chart" uri="{C3380CC4-5D6E-409C-BE32-E72D297353CC}">
              <c16:uniqueId val="{00000006-C574-4EC9-AEA4-BDCB7A30FC92}"/>
            </c:ext>
          </c:extLst>
        </c:ser>
        <c:ser>
          <c:idx val="8"/>
          <c:order val="7"/>
          <c:tx>
            <c:strRef>
              <c:f>'Mean Tank Temp Plot'!$AY$36</c:f>
              <c:strCache>
                <c:ptCount val="1"/>
                <c:pt idx="0">
                  <c:v>T_su,0 to T_su,f</c:v>
                </c:pt>
              </c:strCache>
            </c:strRef>
          </c:tx>
          <c:spPr>
            <a:ln>
              <a:solidFill>
                <a:schemeClr val="accent6">
                  <a:lumMod val="75000"/>
                </a:schemeClr>
              </a:solidFill>
            </a:ln>
          </c:spPr>
          <c:marker>
            <c:symbol val="none"/>
          </c:marker>
          <c:xVal>
            <c:numRef>
              <c:f>'Mean Tank Temp Plot'!$AY$38:$AY$41</c:f>
              <c:numCache>
                <c:formatCode>0.00</c:formatCode>
                <c:ptCount val="4"/>
                <c:pt idx="0">
                  <c:v>0</c:v>
                </c:pt>
                <c:pt idx="1">
                  <c:v>0</c:v>
                </c:pt>
                <c:pt idx="2">
                  <c:v>0</c:v>
                </c:pt>
                <c:pt idx="3">
                  <c:v>0</c:v>
                </c:pt>
              </c:numCache>
            </c:numRef>
          </c:xVal>
          <c:yVal>
            <c:numRef>
              <c:f>'Mean Tank Temp Plot'!$AZ$38:$AZ$41</c:f>
              <c:numCache>
                <c:formatCode>0.00</c:formatCode>
                <c:ptCount val="4"/>
                <c:pt idx="0">
                  <c:v>0</c:v>
                </c:pt>
                <c:pt idx="1">
                  <c:v>10</c:v>
                </c:pt>
                <c:pt idx="2">
                  <c:v>10</c:v>
                </c:pt>
                <c:pt idx="3">
                  <c:v>0</c:v>
                </c:pt>
              </c:numCache>
            </c:numRef>
          </c:yVal>
          <c:smooth val="0"/>
          <c:extLst>
            <c:ext xmlns:c16="http://schemas.microsoft.com/office/drawing/2014/chart" uri="{C3380CC4-5D6E-409C-BE32-E72D297353CC}">
              <c16:uniqueId val="{00000007-C574-4EC9-AEA4-BDCB7A30FC92}"/>
            </c:ext>
          </c:extLst>
        </c:ser>
        <c:ser>
          <c:idx val="6"/>
          <c:order val="8"/>
          <c:tx>
            <c:v>Recovery Start</c:v>
          </c:tx>
          <c:spPr>
            <a:ln>
              <a:noFill/>
            </a:ln>
          </c:spPr>
          <c:marker>
            <c:symbol val="square"/>
            <c:size val="5"/>
            <c:spPr>
              <a:solidFill>
                <a:srgbClr val="FF0000"/>
              </a:solidFill>
              <a:ln>
                <a:noFill/>
              </a:ln>
            </c:spPr>
          </c:marker>
          <c:xVal>
            <c:numRef>
              <c:f>'Mean Tank Temp Plot'!$BG$6:$BG$35</c:f>
              <c:numCache>
                <c:formatCode>0.00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xVal>
          <c:yVal>
            <c:numRef>
              <c:f>'Mean Tank Temp Plot'!$BJ$6:$BJ$35</c:f>
              <c:numCache>
                <c:formatCode>0.00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yVal>
          <c:smooth val="0"/>
          <c:extLst>
            <c:ext xmlns:c16="http://schemas.microsoft.com/office/drawing/2014/chart" uri="{C3380CC4-5D6E-409C-BE32-E72D297353CC}">
              <c16:uniqueId val="{00000008-C574-4EC9-AEA4-BDCB7A30FC92}"/>
            </c:ext>
          </c:extLst>
        </c:ser>
        <c:ser>
          <c:idx val="3"/>
          <c:order val="9"/>
          <c:tx>
            <c:v>Draw Cluster 3</c:v>
          </c:tx>
          <c:spPr>
            <a:ln>
              <a:solidFill>
                <a:srgbClr val="7030A0"/>
              </a:solidFill>
            </a:ln>
          </c:spPr>
          <c:marker>
            <c:symbol val="none"/>
          </c:marker>
          <c:xVal>
            <c:numRef>
              <c:f>'Mean Tank Temp Plot'!$BA$27:$BA$30</c:f>
              <c:numCache>
                <c:formatCode>General</c:formatCode>
                <c:ptCount val="4"/>
                <c:pt idx="0" formatCode="0">
                  <c:v>1440</c:v>
                </c:pt>
                <c:pt idx="1">
                  <c:v>1440</c:v>
                </c:pt>
                <c:pt idx="2">
                  <c:v>#N/A</c:v>
                </c:pt>
                <c:pt idx="3">
                  <c:v>#N/A</c:v>
                </c:pt>
              </c:numCache>
            </c:numRef>
          </c:xVal>
          <c:yVal>
            <c:numRef>
              <c:f>'Mean Tank Temp Plot'!$BB$27:$BB$30</c:f>
              <c:numCache>
                <c:formatCode>0.00</c:formatCode>
                <c:ptCount val="4"/>
                <c:pt idx="0">
                  <c:v>0</c:v>
                </c:pt>
                <c:pt idx="1">
                  <c:v>0</c:v>
                </c:pt>
                <c:pt idx="2">
                  <c:v>0</c:v>
                </c:pt>
                <c:pt idx="3">
                  <c:v>0</c:v>
                </c:pt>
              </c:numCache>
            </c:numRef>
          </c:yVal>
          <c:smooth val="0"/>
          <c:extLst>
            <c:ext xmlns:c16="http://schemas.microsoft.com/office/drawing/2014/chart" uri="{C3380CC4-5D6E-409C-BE32-E72D297353CC}">
              <c16:uniqueId val="{00000009-C574-4EC9-AEA4-BDCB7A30FC92}"/>
            </c:ext>
          </c:extLst>
        </c:ser>
        <c:ser>
          <c:idx val="10"/>
          <c:order val="10"/>
          <c:tx>
            <c:strRef>
              <c:f>'Mean Tank Temp Plot'!$AY$43:$AZ$43</c:f>
              <c:strCache>
                <c:ptCount val="1"/>
                <c:pt idx="0">
                  <c:v>24-hrs</c:v>
                </c:pt>
              </c:strCache>
            </c:strRef>
          </c:tx>
          <c:spPr>
            <a:ln>
              <a:solidFill>
                <a:schemeClr val="tx1"/>
              </a:solidFill>
            </a:ln>
          </c:spPr>
          <c:marker>
            <c:symbol val="none"/>
          </c:marker>
          <c:xVal>
            <c:numRef>
              <c:f>'Mean Tank Temp Plot'!$AY$45:$AY$46</c:f>
              <c:numCache>
                <c:formatCode>General</c:formatCode>
                <c:ptCount val="2"/>
                <c:pt idx="0">
                  <c:v>1440</c:v>
                </c:pt>
                <c:pt idx="1">
                  <c:v>1440</c:v>
                </c:pt>
              </c:numCache>
            </c:numRef>
          </c:xVal>
          <c:yVal>
            <c:numRef>
              <c:f>'Mean Tank Temp Plot'!$AZ$45:$AZ$46</c:f>
              <c:numCache>
                <c:formatCode>0.0</c:formatCode>
                <c:ptCount val="2"/>
                <c:pt idx="0">
                  <c:v>0</c:v>
                </c:pt>
                <c:pt idx="1">
                  <c:v>0</c:v>
                </c:pt>
              </c:numCache>
            </c:numRef>
          </c:yVal>
          <c:smooth val="0"/>
          <c:extLst>
            <c:ext xmlns:c16="http://schemas.microsoft.com/office/drawing/2014/chart" uri="{C3380CC4-5D6E-409C-BE32-E72D297353CC}">
              <c16:uniqueId val="{0000000A-C574-4EC9-AEA4-BDCB7A30FC92}"/>
            </c:ext>
          </c:extLst>
        </c:ser>
        <c:ser>
          <c:idx val="7"/>
          <c:order val="11"/>
          <c:tx>
            <c:v>Recovery End</c:v>
          </c:tx>
          <c:spPr>
            <a:ln>
              <a:noFill/>
            </a:ln>
          </c:spPr>
          <c:marker>
            <c:symbol val="diamond"/>
            <c:size val="9"/>
            <c:spPr>
              <a:solidFill>
                <a:srgbClr val="FF0000"/>
              </a:solidFill>
              <a:ln>
                <a:noFill/>
              </a:ln>
            </c:spPr>
          </c:marker>
          <c:xVal>
            <c:numRef>
              <c:f>'Mean Tank Temp Plot'!$BH$6:$BH$35</c:f>
              <c:numCache>
                <c:formatCode>0.00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xVal>
          <c:yVal>
            <c:numRef>
              <c:f>'Mean Tank Temp Plot'!$BK$6:$BK$35</c:f>
              <c:numCache>
                <c:formatCode>0.00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yVal>
          <c:smooth val="0"/>
          <c:extLst>
            <c:ext xmlns:c16="http://schemas.microsoft.com/office/drawing/2014/chart" uri="{C3380CC4-5D6E-409C-BE32-E72D297353CC}">
              <c16:uniqueId val="{0000000B-C574-4EC9-AEA4-BDCB7A30FC92}"/>
            </c:ext>
          </c:extLst>
        </c:ser>
        <c:dLbls>
          <c:showLegendKey val="0"/>
          <c:showVal val="0"/>
          <c:showCatName val="0"/>
          <c:showSerName val="0"/>
          <c:showPercent val="0"/>
          <c:showBubbleSize val="0"/>
        </c:dLbls>
        <c:axId val="293215720"/>
        <c:axId val="293216112"/>
      </c:scatterChart>
      <c:valAx>
        <c:axId val="293215720"/>
        <c:scaling>
          <c:orientation val="minMax"/>
          <c:max val="1920"/>
          <c:min val="0"/>
        </c:scaling>
        <c:delete val="0"/>
        <c:axPos val="b"/>
        <c:majorGridlines>
          <c:spPr>
            <a:ln>
              <a:solidFill>
                <a:schemeClr val="bg1">
                  <a:lumMod val="65000"/>
                </a:schemeClr>
              </a:solidFill>
              <a:prstDash val="sysDash"/>
            </a:ln>
          </c:spPr>
        </c:majorGridlines>
        <c:minorGridlines>
          <c:spPr>
            <a:ln>
              <a:solidFill>
                <a:schemeClr val="bg1">
                  <a:lumMod val="75000"/>
                </a:schemeClr>
              </a:solidFill>
              <a:prstDash val="sysDot"/>
            </a:ln>
          </c:spPr>
        </c:minorGridlines>
        <c:title>
          <c:tx>
            <c:rich>
              <a:bodyPr/>
              <a:lstStyle/>
              <a:p>
                <a:pPr>
                  <a:defRPr sz="1600">
                    <a:latin typeface="Palatino Linotype" panose="02040502050505030304" pitchFamily="18" charset="0"/>
                  </a:defRPr>
                </a:pPr>
                <a:r>
                  <a:rPr lang="en-US" sz="1600">
                    <a:latin typeface="Palatino Linotype" panose="02040502050505030304" pitchFamily="18" charset="0"/>
                  </a:rPr>
                  <a:t>Time, Minutes</a:t>
                </a:r>
              </a:p>
            </c:rich>
          </c:tx>
          <c:overlay val="0"/>
        </c:title>
        <c:numFmt formatCode="0" sourceLinked="1"/>
        <c:majorTickMark val="cross"/>
        <c:minorTickMark val="cross"/>
        <c:tickLblPos val="nextTo"/>
        <c:spPr>
          <a:ln>
            <a:solidFill>
              <a:schemeClr val="tx1"/>
            </a:solidFill>
          </a:ln>
        </c:spPr>
        <c:txPr>
          <a:bodyPr/>
          <a:lstStyle/>
          <a:p>
            <a:pPr>
              <a:defRPr sz="1600"/>
            </a:pPr>
            <a:endParaRPr lang="en-US"/>
          </a:p>
        </c:txPr>
        <c:crossAx val="293216112"/>
        <c:crosses val="autoZero"/>
        <c:crossBetween val="midCat"/>
      </c:valAx>
      <c:valAx>
        <c:axId val="293216112"/>
        <c:scaling>
          <c:orientation val="minMax"/>
          <c:min val="80"/>
        </c:scaling>
        <c:delete val="0"/>
        <c:axPos val="l"/>
        <c:majorGridlines>
          <c:spPr>
            <a:ln>
              <a:solidFill>
                <a:schemeClr val="bg1">
                  <a:lumMod val="75000"/>
                </a:schemeClr>
              </a:solidFill>
              <a:prstDash val="sysDash"/>
            </a:ln>
          </c:spPr>
        </c:majorGridlines>
        <c:minorGridlines>
          <c:spPr>
            <a:ln>
              <a:solidFill>
                <a:schemeClr val="bg1">
                  <a:lumMod val="75000"/>
                </a:schemeClr>
              </a:solidFill>
              <a:prstDash val="sysDot"/>
            </a:ln>
          </c:spPr>
        </c:minorGridlines>
        <c:title>
          <c:tx>
            <c:rich>
              <a:bodyPr rot="-5400000" vert="horz"/>
              <a:lstStyle/>
              <a:p>
                <a:pPr>
                  <a:defRPr sz="1600">
                    <a:latin typeface="Palatino Linotype" panose="02040502050505030304" pitchFamily="18" charset="0"/>
                  </a:defRPr>
                </a:pPr>
                <a:r>
                  <a:rPr lang="en-US" sz="1600">
                    <a:latin typeface="Palatino Linotype" panose="02040502050505030304" pitchFamily="18" charset="0"/>
                  </a:rPr>
                  <a:t>Temperature, F</a:t>
                </a:r>
              </a:p>
            </c:rich>
          </c:tx>
          <c:overlay val="0"/>
        </c:title>
        <c:numFmt formatCode="0" sourceLinked="0"/>
        <c:majorTickMark val="cross"/>
        <c:minorTickMark val="cross"/>
        <c:tickLblPos val="nextTo"/>
        <c:spPr>
          <a:ln>
            <a:solidFill>
              <a:schemeClr val="tx1"/>
            </a:solidFill>
          </a:ln>
        </c:spPr>
        <c:txPr>
          <a:bodyPr/>
          <a:lstStyle/>
          <a:p>
            <a:pPr>
              <a:defRPr sz="1600"/>
            </a:pPr>
            <a:endParaRPr lang="en-US"/>
          </a:p>
        </c:txPr>
        <c:crossAx val="293215720"/>
        <c:crosses val="autoZero"/>
        <c:crossBetween val="midCat"/>
      </c:valAx>
      <c:spPr>
        <a:noFill/>
        <a:ln>
          <a:solidFill>
            <a:schemeClr val="tx1"/>
          </a:solidFill>
        </a:ln>
      </c:spPr>
    </c:plotArea>
    <c:legend>
      <c:legendPos val="b"/>
      <c:layout>
        <c:manualLayout>
          <c:xMode val="edge"/>
          <c:yMode val="edge"/>
          <c:x val="3.7604818925436614E-2"/>
          <c:y val="0.81456909877040096"/>
          <c:w val="0.41596420206962209"/>
          <c:h val="0.12388498731902663"/>
        </c:manualLayout>
      </c:layout>
      <c:overlay val="1"/>
      <c:spPr>
        <a:solidFill>
          <a:schemeClr val="bg1"/>
        </a:solidFill>
        <a:ln>
          <a:solidFill>
            <a:sysClr val="windowText" lastClr="000000"/>
          </a:solidFill>
        </a:ln>
      </c:spPr>
      <c:txPr>
        <a:bodyPr/>
        <a:lstStyle/>
        <a:p>
          <a:pPr>
            <a:defRPr sz="2000">
              <a:latin typeface="Palatino Linotype" panose="02040502050505030304" pitchFamily="18" charset="0"/>
            </a:defRPr>
          </a:pPr>
          <a:endParaRPr lang="en-US"/>
        </a:p>
      </c:txPr>
    </c:legend>
    <c:plotVisOnly val="1"/>
    <c:dispBlanksAs val="gap"/>
    <c:showDLblsOverMax val="0"/>
  </c:chart>
  <c:spPr>
    <a:ln w="25400">
      <a:solidFill>
        <a:schemeClr val="tx1"/>
      </a:solidFill>
    </a:ln>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0</xdr:colOff>
      <xdr:row>67</xdr:row>
      <xdr:rowOff>0</xdr:rowOff>
    </xdr:from>
    <xdr:to>
      <xdr:col>18</xdr:col>
      <xdr:colOff>0</xdr:colOff>
      <xdr:row>76</xdr:row>
      <xdr:rowOff>190500</xdr:rowOff>
    </xdr:to>
    <xdr:graphicFrame macro="">
      <xdr:nvGraphicFramePr>
        <xdr:cNvPr id="3" name="Chart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48</xdr:col>
      <xdr:colOff>425450</xdr:colOff>
      <xdr:row>63</xdr:row>
      <xdr:rowOff>95249</xdr:rowOff>
    </xdr:to>
    <xdr:graphicFrame macro="">
      <xdr:nvGraphicFramePr>
        <xdr:cNvPr id="3" name="Chart 2">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ecfr.gov/cgi-bin/text-idx?SID=fec7ecf4a8e66025b2d3bc688cf5b16d&amp;mc=true&amp;node=pt10.3.430&amp;rgn=div5" TargetMode="External"/><Relationship Id="rId1" Type="http://schemas.openxmlformats.org/officeDocument/2006/relationships/hyperlink" Target="http://energy.gov/eere/buildings/downloads/2014-06-27-issuance-test-procedures-residential-and-commercial-water"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66"/>
  <sheetViews>
    <sheetView showGridLines="0" tabSelected="1" zoomScale="90" zoomScaleNormal="90" workbookViewId="0">
      <selection activeCell="C49" sqref="C49"/>
    </sheetView>
  </sheetViews>
  <sheetFormatPr defaultColWidth="9.08984375" defaultRowHeight="15.5" x14ac:dyDescent="0.4"/>
  <cols>
    <col min="1" max="1" width="3.453125" style="51" customWidth="1"/>
    <col min="2" max="2" width="43.08984375" style="51" customWidth="1"/>
    <col min="3" max="3" width="97.6328125" style="51" customWidth="1"/>
    <col min="4" max="4" width="9.08984375" style="51"/>
    <col min="5" max="5" width="3.36328125" style="51" customWidth="1"/>
    <col min="6" max="16384" width="9.08984375" style="51"/>
  </cols>
  <sheetData>
    <row r="1" spans="2:7" ht="16" thickBot="1" x14ac:dyDescent="0.45">
      <c r="E1" s="97"/>
    </row>
    <row r="2" spans="2:7" ht="16" thickBot="1" x14ac:dyDescent="0.45">
      <c r="B2" s="951" t="s">
        <v>12</v>
      </c>
      <c r="C2" s="952"/>
      <c r="E2" s="97"/>
    </row>
    <row r="3" spans="2:7" x14ac:dyDescent="0.4">
      <c r="B3" s="58" t="str">
        <f>'Version Control'!B3</f>
        <v>Test Report Template Name:</v>
      </c>
      <c r="C3" s="31" t="str">
        <f>'Version Control'!C3</f>
        <v>Consumer Water Heater, UEF</v>
      </c>
      <c r="E3" s="97"/>
    </row>
    <row r="4" spans="2:7" x14ac:dyDescent="0.4">
      <c r="B4" s="58" t="str">
        <f>'Version Control'!B4</f>
        <v>Version Number:</v>
      </c>
      <c r="C4" s="31" t="str">
        <f>'Version Control'!C4</f>
        <v>v1.3</v>
      </c>
      <c r="E4" s="97"/>
    </row>
    <row r="5" spans="2:7" x14ac:dyDescent="0.4">
      <c r="B5" s="58" t="str">
        <f>'Version Control'!B5</f>
        <v xml:space="preserve">Latest Template Revision: </v>
      </c>
      <c r="C5" s="682">
        <f>'Version Control'!C5</f>
        <v>43643</v>
      </c>
      <c r="E5" s="97"/>
    </row>
    <row r="6" spans="2:7" x14ac:dyDescent="0.4">
      <c r="B6" s="58" t="str">
        <f>'Version Control'!B6</f>
        <v>Tab Name:</v>
      </c>
      <c r="C6" s="31" t="str">
        <f ca="1">MID(CELL("filename",A1), FIND("]", CELL("filename", A1))+ 1, 255)</f>
        <v>Instructions</v>
      </c>
      <c r="E6" s="97"/>
    </row>
    <row r="7" spans="2:7" ht="16" thickBot="1" x14ac:dyDescent="0.45">
      <c r="B7" s="683" t="str">
        <f>'Version Control'!B7</f>
        <v>File Name:</v>
      </c>
      <c r="C7" s="684" t="str">
        <f ca="1">'Version Control'!C7</f>
        <v>Consumer Water Heater, UEF - v1.3.xlsx</v>
      </c>
      <c r="E7" s="97"/>
    </row>
    <row r="8" spans="2:7" x14ac:dyDescent="0.4">
      <c r="B8" s="2"/>
      <c r="C8" s="2"/>
      <c r="E8" s="97"/>
    </row>
    <row r="9" spans="2:7" ht="16" thickBot="1" x14ac:dyDescent="0.45">
      <c r="B9" s="1"/>
      <c r="E9" s="97"/>
    </row>
    <row r="10" spans="2:7" ht="16" thickBot="1" x14ac:dyDescent="0.45">
      <c r="B10" s="88" t="s">
        <v>16</v>
      </c>
      <c r="C10" s="8"/>
      <c r="E10" s="97"/>
    </row>
    <row r="11" spans="2:7" ht="16" thickBot="1" x14ac:dyDescent="0.45">
      <c r="B11" s="958" t="s">
        <v>625</v>
      </c>
      <c r="C11" s="959"/>
      <c r="E11" s="97"/>
    </row>
    <row r="12" spans="2:7" ht="16" thickBot="1" x14ac:dyDescent="0.45">
      <c r="E12" s="97"/>
    </row>
    <row r="13" spans="2:7" ht="16" thickBot="1" x14ac:dyDescent="0.45">
      <c r="B13" s="960" t="s">
        <v>17</v>
      </c>
      <c r="C13" s="961"/>
      <c r="D13" s="2"/>
      <c r="E13" s="20"/>
      <c r="F13" s="2"/>
      <c r="G13" s="2"/>
    </row>
    <row r="14" spans="2:7" x14ac:dyDescent="0.4">
      <c r="B14" s="702" t="s">
        <v>18</v>
      </c>
      <c r="C14" s="703" t="s">
        <v>19</v>
      </c>
      <c r="D14" s="2"/>
      <c r="E14" s="20"/>
      <c r="F14" s="2"/>
      <c r="G14" s="2"/>
    </row>
    <row r="15" spans="2:7" x14ac:dyDescent="0.4">
      <c r="B15" s="11" t="s">
        <v>0</v>
      </c>
      <c r="C15" s="12" t="s">
        <v>20</v>
      </c>
      <c r="D15" s="3"/>
      <c r="E15" s="20"/>
      <c r="F15" s="3"/>
      <c r="G15" s="3"/>
    </row>
    <row r="16" spans="2:7" x14ac:dyDescent="0.4">
      <c r="B16" s="13" t="s">
        <v>1</v>
      </c>
      <c r="C16" s="14" t="s">
        <v>21</v>
      </c>
      <c r="D16" s="3"/>
      <c r="E16" s="20"/>
      <c r="F16" s="3"/>
      <c r="G16" s="3"/>
    </row>
    <row r="17" spans="2:7" x14ac:dyDescent="0.4">
      <c r="B17" s="13" t="s">
        <v>2</v>
      </c>
      <c r="C17" s="14" t="s">
        <v>22</v>
      </c>
      <c r="D17" s="3"/>
      <c r="E17" s="20"/>
      <c r="F17" s="3"/>
      <c r="G17" s="3"/>
    </row>
    <row r="18" spans="2:7" x14ac:dyDescent="0.4">
      <c r="B18" s="13" t="s">
        <v>3</v>
      </c>
      <c r="C18" s="15" t="s">
        <v>23</v>
      </c>
      <c r="D18" s="3"/>
      <c r="E18" s="20"/>
      <c r="F18" s="3"/>
      <c r="G18" s="3"/>
    </row>
    <row r="19" spans="2:7" x14ac:dyDescent="0.4">
      <c r="B19" s="13" t="s">
        <v>4</v>
      </c>
      <c r="C19" s="10" t="s">
        <v>24</v>
      </c>
      <c r="D19" s="3"/>
      <c r="E19" s="20"/>
      <c r="F19" s="3"/>
      <c r="G19" s="3"/>
    </row>
    <row r="20" spans="2:7" x14ac:dyDescent="0.4">
      <c r="B20" s="13" t="s">
        <v>603</v>
      </c>
      <c r="C20" s="10" t="s">
        <v>23</v>
      </c>
      <c r="D20" s="3"/>
      <c r="E20" s="20"/>
      <c r="F20" s="3"/>
      <c r="G20" s="3"/>
    </row>
    <row r="21" spans="2:7" x14ac:dyDescent="0.4">
      <c r="B21" s="13" t="s">
        <v>5</v>
      </c>
      <c r="C21" s="15" t="s">
        <v>23</v>
      </c>
      <c r="D21" s="3"/>
      <c r="E21" s="20"/>
      <c r="F21" s="3"/>
      <c r="G21" s="3"/>
    </row>
    <row r="22" spans="2:7" x14ac:dyDescent="0.4">
      <c r="B22" s="13" t="s">
        <v>122</v>
      </c>
      <c r="C22" s="15" t="s">
        <v>23</v>
      </c>
      <c r="D22" s="3"/>
      <c r="E22" s="20"/>
      <c r="F22" s="3"/>
      <c r="G22" s="3"/>
    </row>
    <row r="23" spans="2:7" x14ac:dyDescent="0.4">
      <c r="B23" s="13" t="s">
        <v>6</v>
      </c>
      <c r="C23" s="15" t="s">
        <v>23</v>
      </c>
      <c r="D23" s="3"/>
      <c r="E23" s="20"/>
      <c r="F23" s="3"/>
      <c r="G23" s="3"/>
    </row>
    <row r="24" spans="2:7" x14ac:dyDescent="0.4">
      <c r="B24" s="13" t="s">
        <v>7</v>
      </c>
      <c r="C24" s="15" t="s">
        <v>25</v>
      </c>
      <c r="D24" s="3"/>
      <c r="E24" s="20"/>
      <c r="F24" s="3"/>
      <c r="G24" s="3"/>
    </row>
    <row r="25" spans="2:7" x14ac:dyDescent="0.4">
      <c r="B25" s="13" t="s">
        <v>8</v>
      </c>
      <c r="C25" s="15" t="s">
        <v>26</v>
      </c>
      <c r="D25" s="3"/>
      <c r="E25" s="20"/>
      <c r="F25" s="3"/>
      <c r="G25" s="3"/>
    </row>
    <row r="26" spans="2:7" x14ac:dyDescent="0.4">
      <c r="B26" s="13" t="s">
        <v>9</v>
      </c>
      <c r="C26" s="14" t="s">
        <v>27</v>
      </c>
      <c r="D26" s="3"/>
      <c r="E26" s="20"/>
      <c r="F26" s="3"/>
      <c r="G26" s="3"/>
    </row>
    <row r="27" spans="2:7" x14ac:dyDescent="0.4">
      <c r="B27" s="13" t="s">
        <v>604</v>
      </c>
      <c r="C27" s="14" t="s">
        <v>605</v>
      </c>
      <c r="D27" s="3"/>
      <c r="E27" s="20"/>
      <c r="F27" s="3"/>
      <c r="G27" s="3"/>
    </row>
    <row r="28" spans="2:7" x14ac:dyDescent="0.4">
      <c r="B28" s="13" t="s">
        <v>606</v>
      </c>
      <c r="C28" s="14" t="s">
        <v>607</v>
      </c>
      <c r="D28" s="3"/>
      <c r="E28" s="20"/>
      <c r="F28" s="3"/>
      <c r="G28" s="3"/>
    </row>
    <row r="29" spans="2:7" x14ac:dyDescent="0.4">
      <c r="B29" s="13" t="s">
        <v>10</v>
      </c>
      <c r="C29" s="16" t="s">
        <v>28</v>
      </c>
      <c r="D29" s="3"/>
      <c r="E29" s="20"/>
      <c r="F29" s="3"/>
      <c r="G29" s="3"/>
    </row>
    <row r="30" spans="2:7" x14ac:dyDescent="0.4">
      <c r="B30" s="942" t="s">
        <v>381</v>
      </c>
      <c r="C30" s="943" t="s">
        <v>622</v>
      </c>
      <c r="D30" s="3"/>
      <c r="E30" s="20"/>
      <c r="F30" s="3"/>
      <c r="G30" s="3"/>
    </row>
    <row r="31" spans="2:7" ht="16" thickBot="1" x14ac:dyDescent="0.45">
      <c r="B31" s="17" t="s">
        <v>11</v>
      </c>
      <c r="C31" s="18" t="s">
        <v>29</v>
      </c>
      <c r="D31" s="3"/>
      <c r="E31" s="20"/>
      <c r="F31" s="3"/>
      <c r="G31" s="3"/>
    </row>
    <row r="32" spans="2:7" ht="16" thickBot="1" x14ac:dyDescent="0.45">
      <c r="B32" s="3"/>
      <c r="C32" s="9"/>
      <c r="D32" s="3"/>
      <c r="E32" s="20"/>
      <c r="F32" s="3"/>
      <c r="G32" s="3"/>
    </row>
    <row r="33" spans="2:7" ht="16" thickBot="1" x14ac:dyDescent="0.45">
      <c r="B33" s="953" t="s">
        <v>30</v>
      </c>
      <c r="C33" s="954"/>
      <c r="D33" s="3"/>
      <c r="E33" s="20"/>
      <c r="F33" s="3"/>
      <c r="G33" s="3"/>
    </row>
    <row r="34" spans="2:7" x14ac:dyDescent="0.4">
      <c r="B34" s="769" t="s">
        <v>609</v>
      </c>
      <c r="C34" s="770" t="s">
        <v>610</v>
      </c>
      <c r="D34" s="3"/>
      <c r="E34" s="20"/>
      <c r="F34" s="3"/>
      <c r="G34" s="3"/>
    </row>
    <row r="35" spans="2:7" x14ac:dyDescent="0.4">
      <c r="B35" s="955" t="s">
        <v>611</v>
      </c>
      <c r="C35" s="771" t="s">
        <v>31</v>
      </c>
      <c r="D35" s="3"/>
      <c r="E35" s="20"/>
      <c r="F35" s="3"/>
      <c r="G35" s="3"/>
    </row>
    <row r="36" spans="2:7" x14ac:dyDescent="0.4">
      <c r="B36" s="956"/>
      <c r="C36" s="772" t="s">
        <v>612</v>
      </c>
      <c r="D36" s="3"/>
      <c r="E36" s="20"/>
      <c r="F36" s="3"/>
      <c r="G36" s="3"/>
    </row>
    <row r="37" spans="2:7" x14ac:dyDescent="0.4">
      <c r="B37" s="956"/>
      <c r="C37" s="775" t="s">
        <v>597</v>
      </c>
      <c r="D37" s="3"/>
      <c r="E37" s="20"/>
      <c r="F37" s="3"/>
      <c r="G37" s="3"/>
    </row>
    <row r="38" spans="2:7" x14ac:dyDescent="0.4">
      <c r="B38" s="956"/>
      <c r="C38" s="773" t="s">
        <v>613</v>
      </c>
      <c r="D38" s="3"/>
      <c r="E38" s="20"/>
      <c r="F38" s="3"/>
      <c r="G38" s="3"/>
    </row>
    <row r="39" spans="2:7" ht="20.5" thickBot="1" x14ac:dyDescent="0.45">
      <c r="B39" s="957"/>
      <c r="C39" s="774" t="s">
        <v>32</v>
      </c>
      <c r="D39" s="3"/>
      <c r="E39" s="20"/>
      <c r="F39" s="3"/>
      <c r="G39" s="3"/>
    </row>
    <row r="40" spans="2:7" ht="16" thickBot="1" x14ac:dyDescent="0.45">
      <c r="D40" s="3"/>
      <c r="E40" s="20"/>
      <c r="F40" s="3"/>
      <c r="G40" s="3"/>
    </row>
    <row r="41" spans="2:7" ht="16" thickBot="1" x14ac:dyDescent="0.45">
      <c r="B41" s="951" t="s">
        <v>33</v>
      </c>
      <c r="C41" s="952"/>
      <c r="D41" s="56"/>
      <c r="E41" s="21"/>
      <c r="F41" s="56"/>
      <c r="G41" s="3"/>
    </row>
    <row r="42" spans="2:7" ht="16.5" customHeight="1" x14ac:dyDescent="0.4">
      <c r="B42" s="947" t="s">
        <v>34</v>
      </c>
      <c r="C42" s="948"/>
      <c r="D42" s="56"/>
      <c r="E42" s="21"/>
      <c r="F42" s="56"/>
    </row>
    <row r="43" spans="2:7" ht="42" customHeight="1" thickBot="1" x14ac:dyDescent="0.45">
      <c r="B43" s="949"/>
      <c r="C43" s="950"/>
      <c r="D43" s="56"/>
      <c r="E43" s="21"/>
      <c r="F43" s="56"/>
      <c r="G43" s="3"/>
    </row>
    <row r="44" spans="2:7" ht="16.5" customHeight="1" x14ac:dyDescent="0.4">
      <c r="B44" s="947" t="s">
        <v>35</v>
      </c>
      <c r="C44" s="948"/>
      <c r="D44" s="56"/>
      <c r="E44" s="21"/>
      <c r="F44" s="56"/>
      <c r="G44" s="3"/>
    </row>
    <row r="45" spans="2:7" ht="16" thickBot="1" x14ac:dyDescent="0.45">
      <c r="B45" s="949"/>
      <c r="C45" s="950"/>
      <c r="D45" s="56"/>
      <c r="E45" s="21"/>
      <c r="F45" s="56"/>
      <c r="G45" s="3"/>
    </row>
    <row r="46" spans="2:7" x14ac:dyDescent="0.4">
      <c r="B46" s="404"/>
      <c r="C46" s="405"/>
      <c r="D46" s="56"/>
      <c r="E46" s="21"/>
      <c r="F46" s="56"/>
      <c r="G46" s="3"/>
    </row>
    <row r="47" spans="2:7" ht="20" x14ac:dyDescent="0.4">
      <c r="B47" s="406" t="s">
        <v>36</v>
      </c>
      <c r="C47" s="407" t="s">
        <v>37</v>
      </c>
      <c r="D47" s="56"/>
      <c r="E47" s="21"/>
      <c r="F47" s="56"/>
      <c r="G47" s="4"/>
    </row>
    <row r="48" spans="2:7" x14ac:dyDescent="0.4">
      <c r="B48" s="761"/>
      <c r="C48" s="762"/>
      <c r="D48" s="56"/>
      <c r="E48" s="21"/>
      <c r="F48" s="56"/>
      <c r="G48" s="4"/>
    </row>
    <row r="49" spans="1:9" x14ac:dyDescent="0.4">
      <c r="B49" s="765" t="s">
        <v>38</v>
      </c>
      <c r="C49" s="766" t="s">
        <v>1</v>
      </c>
      <c r="D49" s="56"/>
      <c r="E49" s="21"/>
      <c r="F49" s="56"/>
      <c r="G49" s="3"/>
    </row>
    <row r="50" spans="1:9" x14ac:dyDescent="0.4">
      <c r="B50" s="767" t="s">
        <v>39</v>
      </c>
      <c r="C50" s="768" t="s">
        <v>2</v>
      </c>
      <c r="D50" s="56"/>
      <c r="E50" s="21"/>
      <c r="F50" s="56"/>
      <c r="G50" s="3"/>
    </row>
    <row r="51" spans="1:9" x14ac:dyDescent="0.4">
      <c r="B51" s="763" t="s">
        <v>40</v>
      </c>
      <c r="C51" s="764" t="s">
        <v>3</v>
      </c>
      <c r="E51" s="97"/>
    </row>
    <row r="52" spans="1:9" x14ac:dyDescent="0.4">
      <c r="B52" s="119" t="s">
        <v>41</v>
      </c>
      <c r="C52" s="408" t="s">
        <v>4</v>
      </c>
      <c r="D52" s="5"/>
      <c r="E52" s="67"/>
      <c r="F52" s="66"/>
      <c r="G52" s="66"/>
      <c r="H52" s="124"/>
    </row>
    <row r="53" spans="1:9" x14ac:dyDescent="0.4">
      <c r="B53" s="119" t="s">
        <v>42</v>
      </c>
      <c r="C53" s="776" t="s">
        <v>603</v>
      </c>
      <c r="D53" s="5"/>
      <c r="E53" s="67"/>
      <c r="F53" s="66"/>
      <c r="G53" s="66"/>
      <c r="H53" s="124"/>
    </row>
    <row r="54" spans="1:9" x14ac:dyDescent="0.4">
      <c r="B54" s="119" t="s">
        <v>43</v>
      </c>
      <c r="C54" s="409" t="s">
        <v>5</v>
      </c>
      <c r="D54" s="66"/>
      <c r="E54" s="67"/>
      <c r="F54" s="66"/>
      <c r="G54" s="66"/>
    </row>
    <row r="55" spans="1:9" x14ac:dyDescent="0.4">
      <c r="B55" s="119" t="s">
        <v>44</v>
      </c>
      <c r="C55" s="409" t="s">
        <v>122</v>
      </c>
      <c r="D55" s="66"/>
      <c r="E55" s="67"/>
      <c r="F55" s="66"/>
      <c r="G55" s="66"/>
    </row>
    <row r="56" spans="1:9" x14ac:dyDescent="0.4">
      <c r="B56" s="119" t="s">
        <v>45</v>
      </c>
      <c r="C56" s="409" t="s">
        <v>6</v>
      </c>
      <c r="E56" s="97"/>
    </row>
    <row r="57" spans="1:9" x14ac:dyDescent="0.4">
      <c r="B57" s="119" t="s">
        <v>46</v>
      </c>
      <c r="C57" s="409" t="s">
        <v>7</v>
      </c>
      <c r="E57" s="97"/>
      <c r="I57" s="6"/>
    </row>
    <row r="58" spans="1:9" x14ac:dyDescent="0.4">
      <c r="B58" s="119" t="s">
        <v>47</v>
      </c>
      <c r="C58" s="409" t="s">
        <v>8</v>
      </c>
      <c r="E58" s="97"/>
      <c r="I58" s="6"/>
    </row>
    <row r="59" spans="1:9" ht="18.75" customHeight="1" thickBot="1" x14ac:dyDescent="0.55000000000000004">
      <c r="A59" s="2"/>
      <c r="B59" s="19" t="s">
        <v>608</v>
      </c>
      <c r="C59" s="410" t="s">
        <v>9</v>
      </c>
      <c r="D59" s="7"/>
      <c r="E59" s="97"/>
      <c r="I59" s="6"/>
    </row>
    <row r="60" spans="1:9" x14ac:dyDescent="0.4">
      <c r="E60" s="97"/>
      <c r="I60" s="6"/>
    </row>
    <row r="61" spans="1:9" x14ac:dyDescent="0.4">
      <c r="A61" s="97"/>
      <c r="B61" s="67"/>
      <c r="C61" s="67"/>
      <c r="D61" s="97"/>
      <c r="E61" s="97"/>
    </row>
    <row r="66" spans="2:3" ht="19.5" x14ac:dyDescent="0.5">
      <c r="B66" s="7"/>
      <c r="C66" s="7"/>
    </row>
  </sheetData>
  <sheetProtection algorithmName="SHA-512" hashValue="QhbvfEZGq1FoZVGovKRwvFAauag81fAuwIvglRC8g97EXJcDkjP2zyGAapaTwqq5Fqdo1GdijQZc7oj4TmO2eA==" saltValue="uDy3GKZys9E3/Nj0kGCv1g==" spinCount="100000" sheet="1" selectLockedCells="1"/>
  <mergeCells count="8">
    <mergeCell ref="B42:C43"/>
    <mergeCell ref="B44:C45"/>
    <mergeCell ref="B2:C2"/>
    <mergeCell ref="B33:C33"/>
    <mergeCell ref="B35:B39"/>
    <mergeCell ref="B11:C11"/>
    <mergeCell ref="B41:C41"/>
    <mergeCell ref="B13:C13"/>
  </mergeCells>
  <hyperlinks>
    <hyperlink ref="C51" location="'Storage Tank Volume'!A1" display="Storage Tank Volume" xr:uid="{00000000-0004-0000-0000-000000000000}"/>
    <hyperlink ref="C52" location="'Test Conditions'!A1" display="Test Conditions" xr:uid="{00000000-0004-0000-0000-000001000000}"/>
    <hyperlink ref="C54" location="'1st-Hr Rating Test'!A1" display="1st-Hr Rating Test" xr:uid="{00000000-0004-0000-0000-000002000000}"/>
    <hyperlink ref="C56" location="'24-Hr Simulated Use Test'!A1" display="24-Hr Simulated Use Test" xr:uid="{00000000-0004-0000-0000-000003000000}"/>
    <hyperlink ref="C57" location="Photos!A1" display="Photos, if applicable" xr:uid="{00000000-0004-0000-0000-000004000000}"/>
    <hyperlink ref="C59" location="'Report Sign-Off Block'!A1" display="Report Sign-Off Block" xr:uid="{00000000-0004-0000-0000-000005000000}"/>
    <hyperlink ref="C50" location="'Setup &amp; Instrumentation'!A1" display="Setup &amp; Instrumentation" xr:uid="{00000000-0004-0000-0000-000006000000}"/>
    <hyperlink ref="C49" location="'General Info &amp; Test Results'!A1" display="General Info &amp; Test Results" xr:uid="{00000000-0004-0000-0000-000007000000}"/>
    <hyperlink ref="C58" location="Comments!A1" display="Comments" xr:uid="{00000000-0004-0000-0000-000008000000}"/>
    <hyperlink ref="C55" location="'Max GPM Test'!A1" display="Max GPM Test" xr:uid="{00000000-0004-0000-0000-000009000000}"/>
    <hyperlink ref="B11" r:id="rId1" display="http://energy.gov/eere/buildings/downloads/2014-06-27-issuance-test-procedures-residential-and-commercial-water" xr:uid="{00000000-0004-0000-0000-00000A000000}"/>
    <hyperlink ref="C53" location="'Outlet Temperature'!A1" display="Outlet Temperature" xr:uid="{00000000-0004-0000-0000-00000B000000}"/>
    <hyperlink ref="B11:C11" r:id="rId2" display="10 CFR 430 Subpart B Appendix E: Uniform Test Method for Measuring the Energy Consumption of Water Heaters [79 FR 40567, July 11, 2014]" xr:uid="{00000000-0004-0000-0000-00000C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0070C0"/>
  </sheetPr>
  <dimension ref="A1:AZ178"/>
  <sheetViews>
    <sheetView showGridLines="0" zoomScale="80" zoomScaleNormal="80" workbookViewId="0">
      <selection activeCell="G2" sqref="G2:I2"/>
    </sheetView>
  </sheetViews>
  <sheetFormatPr defaultColWidth="9.08984375" defaultRowHeight="15.5" x14ac:dyDescent="0.4"/>
  <cols>
    <col min="1" max="1" width="9.08984375" style="75"/>
    <col min="2" max="2" width="30.6328125" style="75" bestFit="1" customWidth="1"/>
    <col min="3" max="3" width="35.08984375" style="75" customWidth="1"/>
    <col min="4" max="7" width="9.08984375" style="75" customWidth="1"/>
    <col min="8" max="8" width="9.08984375" style="75"/>
    <col min="9" max="9" width="9.08984375" style="75" customWidth="1"/>
    <col min="10" max="13" width="9.08984375" style="75"/>
    <col min="14" max="14" width="5.453125" style="75" customWidth="1"/>
    <col min="15" max="15" width="26.6328125" style="75" customWidth="1"/>
    <col min="16" max="16" width="33.90625" style="75" customWidth="1"/>
    <col min="17" max="26" width="9.08984375" style="75"/>
    <col min="27" max="27" width="7.08984375" style="75" customWidth="1"/>
    <col min="28" max="28" width="3.90625" style="75" customWidth="1"/>
    <col min="29" max="16384" width="9.08984375" style="75"/>
  </cols>
  <sheetData>
    <row r="1" spans="2:28" ht="16" thickBot="1" x14ac:dyDescent="0.45">
      <c r="AB1" s="125"/>
    </row>
    <row r="2" spans="2:28" ht="16" thickBot="1" x14ac:dyDescent="0.45">
      <c r="B2" s="1079" t="s">
        <v>12</v>
      </c>
      <c r="C2" s="1080"/>
      <c r="D2" s="1080"/>
      <c r="E2" s="1081"/>
      <c r="G2" s="1203" t="s">
        <v>51</v>
      </c>
      <c r="H2" s="1203"/>
      <c r="I2" s="1203"/>
      <c r="AB2" s="125"/>
    </row>
    <row r="3" spans="2:28" x14ac:dyDescent="0.4">
      <c r="B3" s="619" t="str">
        <f>'Version Control'!B3</f>
        <v>Test Report Template Name:</v>
      </c>
      <c r="C3" s="1015" t="str">
        <f>'Version Control'!C3</f>
        <v>Consumer Water Heater, UEF</v>
      </c>
      <c r="D3" s="1015"/>
      <c r="E3" s="1016"/>
      <c r="AB3" s="125"/>
    </row>
    <row r="4" spans="2:28" x14ac:dyDescent="0.4">
      <c r="B4" s="620" t="str">
        <f>'Version Control'!B4</f>
        <v>Version Number:</v>
      </c>
      <c r="C4" s="1017" t="str">
        <f>'Version Control'!C4</f>
        <v>v1.3</v>
      </c>
      <c r="D4" s="1017"/>
      <c r="E4" s="1018"/>
      <c r="AB4" s="125"/>
    </row>
    <row r="5" spans="2:28" x14ac:dyDescent="0.4">
      <c r="B5" s="620" t="str">
        <f>'Version Control'!B5</f>
        <v xml:space="preserve">Latest Template Revision: </v>
      </c>
      <c r="C5" s="1019">
        <f>'Version Control'!C5</f>
        <v>43643</v>
      </c>
      <c r="D5" s="1019"/>
      <c r="E5" s="1020"/>
      <c r="AB5" s="125"/>
    </row>
    <row r="6" spans="2:28" x14ac:dyDescent="0.4">
      <c r="B6" s="620" t="str">
        <f>'Version Control'!B6</f>
        <v>Tab Name:</v>
      </c>
      <c r="C6" s="1017" t="str">
        <f ca="1">MID(CELL("filename",A1), FIND("]", CELL("filename", A1))+ 1, 255)</f>
        <v>Photos</v>
      </c>
      <c r="D6" s="1017"/>
      <c r="E6" s="1018"/>
      <c r="AB6" s="125"/>
    </row>
    <row r="7" spans="2:28" ht="16" thickBot="1" x14ac:dyDescent="0.45">
      <c r="B7" s="621" t="str">
        <f>'Version Control'!B7</f>
        <v>File Name:</v>
      </c>
      <c r="C7" s="1013" t="str">
        <f ca="1">'Version Control'!C7</f>
        <v>Consumer Water Heater, UEF - v1.3.xlsx</v>
      </c>
      <c r="D7" s="1013"/>
      <c r="E7" s="1014"/>
      <c r="AB7" s="125"/>
    </row>
    <row r="8" spans="2:28" x14ac:dyDescent="0.4">
      <c r="B8" s="56"/>
      <c r="C8" s="618"/>
      <c r="AB8" s="125"/>
    </row>
    <row r="9" spans="2:28" ht="16" thickBot="1" x14ac:dyDescent="0.45">
      <c r="C9" s="140"/>
      <c r="AB9" s="125"/>
    </row>
    <row r="10" spans="2:28" ht="16" thickBot="1" x14ac:dyDescent="0.45">
      <c r="B10" s="1200" t="s">
        <v>94</v>
      </c>
      <c r="C10" s="1201"/>
      <c r="D10" s="1201"/>
      <c r="E10" s="1201"/>
      <c r="F10" s="1201"/>
      <c r="G10" s="1201"/>
      <c r="H10" s="1201"/>
      <c r="I10" s="1201"/>
      <c r="J10" s="1201"/>
      <c r="K10" s="1201"/>
      <c r="L10" s="1201"/>
      <c r="M10" s="1202"/>
      <c r="O10" s="1200" t="s">
        <v>95</v>
      </c>
      <c r="P10" s="1201"/>
      <c r="Q10" s="1201"/>
      <c r="R10" s="1201"/>
      <c r="S10" s="1201"/>
      <c r="T10" s="1201"/>
      <c r="U10" s="1201"/>
      <c r="V10" s="1201"/>
      <c r="W10" s="1201"/>
      <c r="X10" s="1201"/>
      <c r="Y10" s="1201"/>
      <c r="Z10" s="1202"/>
      <c r="AB10" s="125"/>
    </row>
    <row r="11" spans="2:28" x14ac:dyDescent="0.4">
      <c r="B11" s="1191"/>
      <c r="C11" s="1192"/>
      <c r="D11" s="1192"/>
      <c r="E11" s="1192"/>
      <c r="F11" s="1192"/>
      <c r="G11" s="1192"/>
      <c r="H11" s="1192"/>
      <c r="I11" s="1192"/>
      <c r="J11" s="1192"/>
      <c r="K11" s="1192"/>
      <c r="L11" s="1192"/>
      <c r="M11" s="1193"/>
      <c r="O11" s="1191"/>
      <c r="P11" s="1192"/>
      <c r="Q11" s="1192"/>
      <c r="R11" s="1192"/>
      <c r="S11" s="1192"/>
      <c r="T11" s="1192"/>
      <c r="U11" s="1192"/>
      <c r="V11" s="1192"/>
      <c r="W11" s="1192"/>
      <c r="X11" s="1192"/>
      <c r="Y11" s="1192"/>
      <c r="Z11" s="1193"/>
      <c r="AB11" s="125"/>
    </row>
    <row r="12" spans="2:28" x14ac:dyDescent="0.4">
      <c r="B12" s="1194"/>
      <c r="C12" s="1195"/>
      <c r="D12" s="1195"/>
      <c r="E12" s="1195"/>
      <c r="F12" s="1195"/>
      <c r="G12" s="1195"/>
      <c r="H12" s="1195"/>
      <c r="I12" s="1195"/>
      <c r="J12" s="1195"/>
      <c r="K12" s="1195"/>
      <c r="L12" s="1195"/>
      <c r="M12" s="1196"/>
      <c r="O12" s="1194"/>
      <c r="P12" s="1195"/>
      <c r="Q12" s="1195"/>
      <c r="R12" s="1195"/>
      <c r="S12" s="1195"/>
      <c r="T12" s="1195"/>
      <c r="U12" s="1195"/>
      <c r="V12" s="1195"/>
      <c r="W12" s="1195"/>
      <c r="X12" s="1195"/>
      <c r="Y12" s="1195"/>
      <c r="Z12" s="1196"/>
      <c r="AB12" s="125"/>
    </row>
    <row r="13" spans="2:28" x14ac:dyDescent="0.4">
      <c r="B13" s="1194"/>
      <c r="C13" s="1195"/>
      <c r="D13" s="1195"/>
      <c r="E13" s="1195"/>
      <c r="F13" s="1195"/>
      <c r="G13" s="1195"/>
      <c r="H13" s="1195"/>
      <c r="I13" s="1195"/>
      <c r="J13" s="1195"/>
      <c r="K13" s="1195"/>
      <c r="L13" s="1195"/>
      <c r="M13" s="1196"/>
      <c r="O13" s="1194"/>
      <c r="P13" s="1195"/>
      <c r="Q13" s="1195"/>
      <c r="R13" s="1195"/>
      <c r="S13" s="1195"/>
      <c r="T13" s="1195"/>
      <c r="U13" s="1195"/>
      <c r="V13" s="1195"/>
      <c r="W13" s="1195"/>
      <c r="X13" s="1195"/>
      <c r="Y13" s="1195"/>
      <c r="Z13" s="1196"/>
      <c r="AB13" s="125"/>
    </row>
    <row r="14" spans="2:28" x14ac:dyDescent="0.4">
      <c r="B14" s="1194"/>
      <c r="C14" s="1195"/>
      <c r="D14" s="1195"/>
      <c r="E14" s="1195"/>
      <c r="F14" s="1195"/>
      <c r="G14" s="1195"/>
      <c r="H14" s="1195"/>
      <c r="I14" s="1195"/>
      <c r="J14" s="1195"/>
      <c r="K14" s="1195"/>
      <c r="L14" s="1195"/>
      <c r="M14" s="1196"/>
      <c r="O14" s="1194"/>
      <c r="P14" s="1195"/>
      <c r="Q14" s="1195"/>
      <c r="R14" s="1195"/>
      <c r="S14" s="1195"/>
      <c r="T14" s="1195"/>
      <c r="U14" s="1195"/>
      <c r="V14" s="1195"/>
      <c r="W14" s="1195"/>
      <c r="X14" s="1195"/>
      <c r="Y14" s="1195"/>
      <c r="Z14" s="1196"/>
      <c r="AB14" s="125"/>
    </row>
    <row r="15" spans="2:28" x14ac:dyDescent="0.4">
      <c r="B15" s="1194"/>
      <c r="C15" s="1195"/>
      <c r="D15" s="1195"/>
      <c r="E15" s="1195"/>
      <c r="F15" s="1195"/>
      <c r="G15" s="1195"/>
      <c r="H15" s="1195"/>
      <c r="I15" s="1195"/>
      <c r="J15" s="1195"/>
      <c r="K15" s="1195"/>
      <c r="L15" s="1195"/>
      <c r="M15" s="1196"/>
      <c r="O15" s="1194"/>
      <c r="P15" s="1195"/>
      <c r="Q15" s="1195"/>
      <c r="R15" s="1195"/>
      <c r="S15" s="1195"/>
      <c r="T15" s="1195"/>
      <c r="U15" s="1195"/>
      <c r="V15" s="1195"/>
      <c r="W15" s="1195"/>
      <c r="X15" s="1195"/>
      <c r="Y15" s="1195"/>
      <c r="Z15" s="1196"/>
      <c r="AB15" s="125"/>
    </row>
    <row r="16" spans="2:28" x14ac:dyDescent="0.4">
      <c r="B16" s="1194"/>
      <c r="C16" s="1195"/>
      <c r="D16" s="1195"/>
      <c r="E16" s="1195"/>
      <c r="F16" s="1195"/>
      <c r="G16" s="1195"/>
      <c r="H16" s="1195"/>
      <c r="I16" s="1195"/>
      <c r="J16" s="1195"/>
      <c r="K16" s="1195"/>
      <c r="L16" s="1195"/>
      <c r="M16" s="1196"/>
      <c r="O16" s="1194"/>
      <c r="P16" s="1195"/>
      <c r="Q16" s="1195"/>
      <c r="R16" s="1195"/>
      <c r="S16" s="1195"/>
      <c r="T16" s="1195"/>
      <c r="U16" s="1195"/>
      <c r="V16" s="1195"/>
      <c r="W16" s="1195"/>
      <c r="X16" s="1195"/>
      <c r="Y16" s="1195"/>
      <c r="Z16" s="1196"/>
      <c r="AB16" s="125"/>
    </row>
    <row r="17" spans="2:52" x14ac:dyDescent="0.4">
      <c r="B17" s="1194"/>
      <c r="C17" s="1195"/>
      <c r="D17" s="1195"/>
      <c r="E17" s="1195"/>
      <c r="F17" s="1195"/>
      <c r="G17" s="1195"/>
      <c r="H17" s="1195"/>
      <c r="I17" s="1195"/>
      <c r="J17" s="1195"/>
      <c r="K17" s="1195"/>
      <c r="L17" s="1195"/>
      <c r="M17" s="1196"/>
      <c r="O17" s="1194"/>
      <c r="P17" s="1195"/>
      <c r="Q17" s="1195"/>
      <c r="R17" s="1195"/>
      <c r="S17" s="1195"/>
      <c r="T17" s="1195"/>
      <c r="U17" s="1195"/>
      <c r="V17" s="1195"/>
      <c r="W17" s="1195"/>
      <c r="X17" s="1195"/>
      <c r="Y17" s="1195"/>
      <c r="Z17" s="1196"/>
      <c r="AB17" s="125"/>
    </row>
    <row r="18" spans="2:52" x14ac:dyDescent="0.4">
      <c r="B18" s="1194"/>
      <c r="C18" s="1195"/>
      <c r="D18" s="1195"/>
      <c r="E18" s="1195"/>
      <c r="F18" s="1195"/>
      <c r="G18" s="1195"/>
      <c r="H18" s="1195"/>
      <c r="I18" s="1195"/>
      <c r="J18" s="1195"/>
      <c r="K18" s="1195"/>
      <c r="L18" s="1195"/>
      <c r="M18" s="1196"/>
      <c r="O18" s="1194"/>
      <c r="P18" s="1195"/>
      <c r="Q18" s="1195"/>
      <c r="R18" s="1195"/>
      <c r="S18" s="1195"/>
      <c r="T18" s="1195"/>
      <c r="U18" s="1195"/>
      <c r="V18" s="1195"/>
      <c r="W18" s="1195"/>
      <c r="X18" s="1195"/>
      <c r="Y18" s="1195"/>
      <c r="Z18" s="1196"/>
      <c r="AB18" s="125"/>
    </row>
    <row r="19" spans="2:52" x14ac:dyDescent="0.4">
      <c r="B19" s="1194"/>
      <c r="C19" s="1195"/>
      <c r="D19" s="1195"/>
      <c r="E19" s="1195"/>
      <c r="F19" s="1195"/>
      <c r="G19" s="1195"/>
      <c r="H19" s="1195"/>
      <c r="I19" s="1195"/>
      <c r="J19" s="1195"/>
      <c r="K19" s="1195"/>
      <c r="L19" s="1195"/>
      <c r="M19" s="1196"/>
      <c r="O19" s="1194"/>
      <c r="P19" s="1195"/>
      <c r="Q19" s="1195"/>
      <c r="R19" s="1195"/>
      <c r="S19" s="1195"/>
      <c r="T19" s="1195"/>
      <c r="U19" s="1195"/>
      <c r="V19" s="1195"/>
      <c r="W19" s="1195"/>
      <c r="X19" s="1195"/>
      <c r="Y19" s="1195"/>
      <c r="Z19" s="1196"/>
      <c r="AB19" s="125"/>
    </row>
    <row r="20" spans="2:52" x14ac:dyDescent="0.4">
      <c r="B20" s="1194"/>
      <c r="C20" s="1195"/>
      <c r="D20" s="1195"/>
      <c r="E20" s="1195"/>
      <c r="F20" s="1195"/>
      <c r="G20" s="1195"/>
      <c r="H20" s="1195"/>
      <c r="I20" s="1195"/>
      <c r="J20" s="1195"/>
      <c r="K20" s="1195"/>
      <c r="L20" s="1195"/>
      <c r="M20" s="1196"/>
      <c r="O20" s="1194"/>
      <c r="P20" s="1195"/>
      <c r="Q20" s="1195"/>
      <c r="R20" s="1195"/>
      <c r="S20" s="1195"/>
      <c r="T20" s="1195"/>
      <c r="U20" s="1195"/>
      <c r="V20" s="1195"/>
      <c r="W20" s="1195"/>
      <c r="X20" s="1195"/>
      <c r="Y20" s="1195"/>
      <c r="Z20" s="1196"/>
      <c r="AB20" s="125"/>
    </row>
    <row r="21" spans="2:52" x14ac:dyDescent="0.4">
      <c r="B21" s="1194"/>
      <c r="C21" s="1195"/>
      <c r="D21" s="1195"/>
      <c r="E21" s="1195"/>
      <c r="F21" s="1195"/>
      <c r="G21" s="1195"/>
      <c r="H21" s="1195"/>
      <c r="I21" s="1195"/>
      <c r="J21" s="1195"/>
      <c r="K21" s="1195"/>
      <c r="L21" s="1195"/>
      <c r="M21" s="1196"/>
      <c r="O21" s="1194"/>
      <c r="P21" s="1195"/>
      <c r="Q21" s="1195"/>
      <c r="R21" s="1195"/>
      <c r="S21" s="1195"/>
      <c r="T21" s="1195"/>
      <c r="U21" s="1195"/>
      <c r="V21" s="1195"/>
      <c r="W21" s="1195"/>
      <c r="X21" s="1195"/>
      <c r="Y21" s="1195"/>
      <c r="Z21" s="1196"/>
      <c r="AB21" s="125"/>
    </row>
    <row r="22" spans="2:52" x14ac:dyDescent="0.4">
      <c r="B22" s="1194"/>
      <c r="C22" s="1195"/>
      <c r="D22" s="1195"/>
      <c r="E22" s="1195"/>
      <c r="F22" s="1195"/>
      <c r="G22" s="1195"/>
      <c r="H22" s="1195"/>
      <c r="I22" s="1195"/>
      <c r="J22" s="1195"/>
      <c r="K22" s="1195"/>
      <c r="L22" s="1195"/>
      <c r="M22" s="1196"/>
      <c r="O22" s="1194"/>
      <c r="P22" s="1195"/>
      <c r="Q22" s="1195"/>
      <c r="R22" s="1195"/>
      <c r="S22" s="1195"/>
      <c r="T22" s="1195"/>
      <c r="U22" s="1195"/>
      <c r="V22" s="1195"/>
      <c r="W22" s="1195"/>
      <c r="X22" s="1195"/>
      <c r="Y22" s="1195"/>
      <c r="Z22" s="1196"/>
      <c r="AB22" s="125"/>
    </row>
    <row r="23" spans="2:52" x14ac:dyDescent="0.4">
      <c r="B23" s="1194"/>
      <c r="C23" s="1195"/>
      <c r="D23" s="1195"/>
      <c r="E23" s="1195"/>
      <c r="F23" s="1195"/>
      <c r="G23" s="1195"/>
      <c r="H23" s="1195"/>
      <c r="I23" s="1195"/>
      <c r="J23" s="1195"/>
      <c r="K23" s="1195"/>
      <c r="L23" s="1195"/>
      <c r="M23" s="1196"/>
      <c r="O23" s="1194"/>
      <c r="P23" s="1195"/>
      <c r="Q23" s="1195"/>
      <c r="R23" s="1195"/>
      <c r="S23" s="1195"/>
      <c r="T23" s="1195"/>
      <c r="U23" s="1195"/>
      <c r="V23" s="1195"/>
      <c r="W23" s="1195"/>
      <c r="X23" s="1195"/>
      <c r="Y23" s="1195"/>
      <c r="Z23" s="1196"/>
      <c r="AB23" s="125"/>
    </row>
    <row r="24" spans="2:52" x14ac:dyDescent="0.4">
      <c r="B24" s="1194"/>
      <c r="C24" s="1195"/>
      <c r="D24" s="1195"/>
      <c r="E24" s="1195"/>
      <c r="F24" s="1195"/>
      <c r="G24" s="1195"/>
      <c r="H24" s="1195"/>
      <c r="I24" s="1195"/>
      <c r="J24" s="1195"/>
      <c r="K24" s="1195"/>
      <c r="L24" s="1195"/>
      <c r="M24" s="1196"/>
      <c r="O24" s="1194"/>
      <c r="P24" s="1195"/>
      <c r="Q24" s="1195"/>
      <c r="R24" s="1195"/>
      <c r="S24" s="1195"/>
      <c r="T24" s="1195"/>
      <c r="U24" s="1195"/>
      <c r="V24" s="1195"/>
      <c r="W24" s="1195"/>
      <c r="X24" s="1195"/>
      <c r="Y24" s="1195"/>
      <c r="Z24" s="1196"/>
      <c r="AB24" s="125"/>
    </row>
    <row r="25" spans="2:52" x14ac:dyDescent="0.4">
      <c r="B25" s="1194"/>
      <c r="C25" s="1195"/>
      <c r="D25" s="1195"/>
      <c r="E25" s="1195"/>
      <c r="F25" s="1195"/>
      <c r="G25" s="1195"/>
      <c r="H25" s="1195"/>
      <c r="I25" s="1195"/>
      <c r="J25" s="1195"/>
      <c r="K25" s="1195"/>
      <c r="L25" s="1195"/>
      <c r="M25" s="1196"/>
      <c r="O25" s="1194"/>
      <c r="P25" s="1195"/>
      <c r="Q25" s="1195"/>
      <c r="R25" s="1195"/>
      <c r="S25" s="1195"/>
      <c r="T25" s="1195"/>
      <c r="U25" s="1195"/>
      <c r="V25" s="1195"/>
      <c r="W25" s="1195"/>
      <c r="X25" s="1195"/>
      <c r="Y25" s="1195"/>
      <c r="Z25" s="1196"/>
      <c r="AB25" s="125"/>
    </row>
    <row r="26" spans="2:52" x14ac:dyDescent="0.4">
      <c r="B26" s="1194"/>
      <c r="C26" s="1195"/>
      <c r="D26" s="1195"/>
      <c r="E26" s="1195"/>
      <c r="F26" s="1195"/>
      <c r="G26" s="1195"/>
      <c r="H26" s="1195"/>
      <c r="I26" s="1195"/>
      <c r="J26" s="1195"/>
      <c r="K26" s="1195"/>
      <c r="L26" s="1195"/>
      <c r="M26" s="1196"/>
      <c r="O26" s="1194"/>
      <c r="P26" s="1195"/>
      <c r="Q26" s="1195"/>
      <c r="R26" s="1195"/>
      <c r="S26" s="1195"/>
      <c r="T26" s="1195"/>
      <c r="U26" s="1195"/>
      <c r="V26" s="1195"/>
      <c r="W26" s="1195"/>
      <c r="X26" s="1195"/>
      <c r="Y26" s="1195"/>
      <c r="Z26" s="1196"/>
      <c r="AB26" s="125"/>
      <c r="AP26" s="48"/>
      <c r="AQ26" s="48"/>
      <c r="AR26" s="48"/>
      <c r="AS26" s="48"/>
      <c r="AT26" s="48"/>
      <c r="AU26" s="48"/>
      <c r="AV26" s="48"/>
      <c r="AW26" s="48"/>
      <c r="AX26" s="48"/>
      <c r="AY26" s="48"/>
      <c r="AZ26" s="48"/>
    </row>
    <row r="27" spans="2:52" x14ac:dyDescent="0.4">
      <c r="B27" s="1194"/>
      <c r="C27" s="1195"/>
      <c r="D27" s="1195"/>
      <c r="E27" s="1195"/>
      <c r="F27" s="1195"/>
      <c r="G27" s="1195"/>
      <c r="H27" s="1195"/>
      <c r="I27" s="1195"/>
      <c r="J27" s="1195"/>
      <c r="K27" s="1195"/>
      <c r="L27" s="1195"/>
      <c r="M27" s="1196"/>
      <c r="O27" s="1194"/>
      <c r="P27" s="1195"/>
      <c r="Q27" s="1195"/>
      <c r="R27" s="1195"/>
      <c r="S27" s="1195"/>
      <c r="T27" s="1195"/>
      <c r="U27" s="1195"/>
      <c r="V27" s="1195"/>
      <c r="W27" s="1195"/>
      <c r="X27" s="1195"/>
      <c r="Y27" s="1195"/>
      <c r="Z27" s="1196"/>
      <c r="AB27" s="125"/>
      <c r="AP27" s="48"/>
      <c r="AQ27" s="48"/>
      <c r="AR27" s="48"/>
      <c r="AS27" s="48"/>
      <c r="AT27" s="48"/>
      <c r="AU27" s="48"/>
      <c r="AV27" s="48"/>
      <c r="AW27" s="48"/>
      <c r="AX27" s="48"/>
      <c r="AY27" s="48"/>
      <c r="AZ27" s="48"/>
    </row>
    <row r="28" spans="2:52" x14ac:dyDescent="0.4">
      <c r="B28" s="1194"/>
      <c r="C28" s="1195"/>
      <c r="D28" s="1195"/>
      <c r="E28" s="1195"/>
      <c r="F28" s="1195"/>
      <c r="G28" s="1195"/>
      <c r="H28" s="1195"/>
      <c r="I28" s="1195"/>
      <c r="J28" s="1195"/>
      <c r="K28" s="1195"/>
      <c r="L28" s="1195"/>
      <c r="M28" s="1196"/>
      <c r="O28" s="1194"/>
      <c r="P28" s="1195"/>
      <c r="Q28" s="1195"/>
      <c r="R28" s="1195"/>
      <c r="S28" s="1195"/>
      <c r="T28" s="1195"/>
      <c r="U28" s="1195"/>
      <c r="V28" s="1195"/>
      <c r="W28" s="1195"/>
      <c r="X28" s="1195"/>
      <c r="Y28" s="1195"/>
      <c r="Z28" s="1196"/>
      <c r="AB28" s="125"/>
      <c r="AP28" s="48"/>
      <c r="AQ28" s="48"/>
      <c r="AR28" s="48"/>
      <c r="AS28" s="48"/>
      <c r="AT28" s="48"/>
      <c r="AU28" s="48"/>
      <c r="AV28" s="48"/>
      <c r="AW28" s="48"/>
      <c r="AX28" s="48"/>
      <c r="AY28" s="48"/>
      <c r="AZ28" s="48"/>
    </row>
    <row r="29" spans="2:52" x14ac:dyDescent="0.4">
      <c r="B29" s="1194"/>
      <c r="C29" s="1195"/>
      <c r="D29" s="1195"/>
      <c r="E29" s="1195"/>
      <c r="F29" s="1195"/>
      <c r="G29" s="1195"/>
      <c r="H29" s="1195"/>
      <c r="I29" s="1195"/>
      <c r="J29" s="1195"/>
      <c r="K29" s="1195"/>
      <c r="L29" s="1195"/>
      <c r="M29" s="1196"/>
      <c r="O29" s="1194"/>
      <c r="P29" s="1195"/>
      <c r="Q29" s="1195"/>
      <c r="R29" s="1195"/>
      <c r="S29" s="1195"/>
      <c r="T29" s="1195"/>
      <c r="U29" s="1195"/>
      <c r="V29" s="1195"/>
      <c r="W29" s="1195"/>
      <c r="X29" s="1195"/>
      <c r="Y29" s="1195"/>
      <c r="Z29" s="1196"/>
      <c r="AB29" s="125"/>
      <c r="AP29" s="48"/>
      <c r="AQ29" s="48"/>
      <c r="AR29" s="48"/>
      <c r="AS29" s="48"/>
      <c r="AT29" s="48"/>
      <c r="AU29" s="48"/>
      <c r="AV29" s="48"/>
      <c r="AW29" s="48"/>
      <c r="AX29" s="48"/>
      <c r="AY29" s="48"/>
      <c r="AZ29" s="48"/>
    </row>
    <row r="30" spans="2:52" x14ac:dyDescent="0.4">
      <c r="B30" s="1194"/>
      <c r="C30" s="1195"/>
      <c r="D30" s="1195"/>
      <c r="E30" s="1195"/>
      <c r="F30" s="1195"/>
      <c r="G30" s="1195"/>
      <c r="H30" s="1195"/>
      <c r="I30" s="1195"/>
      <c r="J30" s="1195"/>
      <c r="K30" s="1195"/>
      <c r="L30" s="1195"/>
      <c r="M30" s="1196"/>
      <c r="O30" s="1194"/>
      <c r="P30" s="1195"/>
      <c r="Q30" s="1195"/>
      <c r="R30" s="1195"/>
      <c r="S30" s="1195"/>
      <c r="T30" s="1195"/>
      <c r="U30" s="1195"/>
      <c r="V30" s="1195"/>
      <c r="W30" s="1195"/>
      <c r="X30" s="1195"/>
      <c r="Y30" s="1195"/>
      <c r="Z30" s="1196"/>
      <c r="AB30" s="125"/>
      <c r="AP30" s="48"/>
      <c r="AQ30" s="48"/>
      <c r="AR30" s="48"/>
      <c r="AS30" s="48"/>
      <c r="AT30" s="48"/>
      <c r="AU30" s="48"/>
      <c r="AV30" s="48"/>
      <c r="AW30" s="48"/>
      <c r="AX30" s="48"/>
      <c r="AY30" s="48"/>
      <c r="AZ30" s="48"/>
    </row>
    <row r="31" spans="2:52" x14ac:dyDescent="0.4">
      <c r="B31" s="1194"/>
      <c r="C31" s="1195"/>
      <c r="D31" s="1195"/>
      <c r="E31" s="1195"/>
      <c r="F31" s="1195"/>
      <c r="G31" s="1195"/>
      <c r="H31" s="1195"/>
      <c r="I31" s="1195"/>
      <c r="J31" s="1195"/>
      <c r="K31" s="1195"/>
      <c r="L31" s="1195"/>
      <c r="M31" s="1196"/>
      <c r="O31" s="1194"/>
      <c r="P31" s="1195"/>
      <c r="Q31" s="1195"/>
      <c r="R31" s="1195"/>
      <c r="S31" s="1195"/>
      <c r="T31" s="1195"/>
      <c r="U31" s="1195"/>
      <c r="V31" s="1195"/>
      <c r="W31" s="1195"/>
      <c r="X31" s="1195"/>
      <c r="Y31" s="1195"/>
      <c r="Z31" s="1196"/>
      <c r="AB31" s="125"/>
      <c r="AP31" s="48"/>
      <c r="AQ31" s="48"/>
      <c r="AR31" s="48"/>
      <c r="AS31" s="48"/>
      <c r="AT31" s="48"/>
      <c r="AU31" s="48"/>
      <c r="AV31" s="48"/>
      <c r="AW31" s="48"/>
      <c r="AX31" s="48"/>
      <c r="AY31" s="48"/>
      <c r="AZ31" s="48"/>
    </row>
    <row r="32" spans="2:52" x14ac:dyDescent="0.4">
      <c r="B32" s="1194"/>
      <c r="C32" s="1195"/>
      <c r="D32" s="1195"/>
      <c r="E32" s="1195"/>
      <c r="F32" s="1195"/>
      <c r="G32" s="1195"/>
      <c r="H32" s="1195"/>
      <c r="I32" s="1195"/>
      <c r="J32" s="1195"/>
      <c r="K32" s="1195"/>
      <c r="L32" s="1195"/>
      <c r="M32" s="1196"/>
      <c r="O32" s="1194"/>
      <c r="P32" s="1195"/>
      <c r="Q32" s="1195"/>
      <c r="R32" s="1195"/>
      <c r="S32" s="1195"/>
      <c r="T32" s="1195"/>
      <c r="U32" s="1195"/>
      <c r="V32" s="1195"/>
      <c r="W32" s="1195"/>
      <c r="X32" s="1195"/>
      <c r="Y32" s="1195"/>
      <c r="Z32" s="1196"/>
      <c r="AB32" s="125"/>
      <c r="AP32" s="48"/>
      <c r="AQ32" s="48"/>
      <c r="AR32" s="48"/>
      <c r="AS32" s="48"/>
      <c r="AT32" s="48"/>
      <c r="AU32" s="48"/>
      <c r="AV32" s="48"/>
      <c r="AW32" s="48"/>
      <c r="AX32" s="48"/>
      <c r="AY32" s="48"/>
      <c r="AZ32" s="48"/>
    </row>
    <row r="33" spans="2:52" x14ac:dyDescent="0.4">
      <c r="B33" s="1194"/>
      <c r="C33" s="1195"/>
      <c r="D33" s="1195"/>
      <c r="E33" s="1195"/>
      <c r="F33" s="1195"/>
      <c r="G33" s="1195"/>
      <c r="H33" s="1195"/>
      <c r="I33" s="1195"/>
      <c r="J33" s="1195"/>
      <c r="K33" s="1195"/>
      <c r="L33" s="1195"/>
      <c r="M33" s="1196"/>
      <c r="O33" s="1194"/>
      <c r="P33" s="1195"/>
      <c r="Q33" s="1195"/>
      <c r="R33" s="1195"/>
      <c r="S33" s="1195"/>
      <c r="T33" s="1195"/>
      <c r="U33" s="1195"/>
      <c r="V33" s="1195"/>
      <c r="W33" s="1195"/>
      <c r="X33" s="1195"/>
      <c r="Y33" s="1195"/>
      <c r="Z33" s="1196"/>
      <c r="AB33" s="125"/>
      <c r="AP33" s="48"/>
      <c r="AQ33" s="48"/>
      <c r="AR33" s="48"/>
      <c r="AS33" s="48"/>
      <c r="AT33" s="48"/>
      <c r="AU33" s="48"/>
      <c r="AV33" s="48"/>
      <c r="AW33" s="48"/>
      <c r="AX33" s="48"/>
      <c r="AY33" s="48"/>
      <c r="AZ33" s="48"/>
    </row>
    <row r="34" spans="2:52" x14ac:dyDescent="0.4">
      <c r="B34" s="1194"/>
      <c r="C34" s="1195"/>
      <c r="D34" s="1195"/>
      <c r="E34" s="1195"/>
      <c r="F34" s="1195"/>
      <c r="G34" s="1195"/>
      <c r="H34" s="1195"/>
      <c r="I34" s="1195"/>
      <c r="J34" s="1195"/>
      <c r="K34" s="1195"/>
      <c r="L34" s="1195"/>
      <c r="M34" s="1196"/>
      <c r="O34" s="1194"/>
      <c r="P34" s="1195"/>
      <c r="Q34" s="1195"/>
      <c r="R34" s="1195"/>
      <c r="S34" s="1195"/>
      <c r="T34" s="1195"/>
      <c r="U34" s="1195"/>
      <c r="V34" s="1195"/>
      <c r="W34" s="1195"/>
      <c r="X34" s="1195"/>
      <c r="Y34" s="1195"/>
      <c r="Z34" s="1196"/>
      <c r="AB34" s="125"/>
    </row>
    <row r="35" spans="2:52" x14ac:dyDescent="0.4">
      <c r="B35" s="1194"/>
      <c r="C35" s="1195"/>
      <c r="D35" s="1195"/>
      <c r="E35" s="1195"/>
      <c r="F35" s="1195"/>
      <c r="G35" s="1195"/>
      <c r="H35" s="1195"/>
      <c r="I35" s="1195"/>
      <c r="J35" s="1195"/>
      <c r="K35" s="1195"/>
      <c r="L35" s="1195"/>
      <c r="M35" s="1196"/>
      <c r="O35" s="1194"/>
      <c r="P35" s="1195"/>
      <c r="Q35" s="1195"/>
      <c r="R35" s="1195"/>
      <c r="S35" s="1195"/>
      <c r="T35" s="1195"/>
      <c r="U35" s="1195"/>
      <c r="V35" s="1195"/>
      <c r="W35" s="1195"/>
      <c r="X35" s="1195"/>
      <c r="Y35" s="1195"/>
      <c r="Z35" s="1196"/>
      <c r="AB35" s="125"/>
    </row>
    <row r="36" spans="2:52" x14ac:dyDescent="0.4">
      <c r="B36" s="1194"/>
      <c r="C36" s="1195"/>
      <c r="D36" s="1195"/>
      <c r="E36" s="1195"/>
      <c r="F36" s="1195"/>
      <c r="G36" s="1195"/>
      <c r="H36" s="1195"/>
      <c r="I36" s="1195"/>
      <c r="J36" s="1195"/>
      <c r="K36" s="1195"/>
      <c r="L36" s="1195"/>
      <c r="M36" s="1196"/>
      <c r="O36" s="1194"/>
      <c r="P36" s="1195"/>
      <c r="Q36" s="1195"/>
      <c r="R36" s="1195"/>
      <c r="S36" s="1195"/>
      <c r="T36" s="1195"/>
      <c r="U36" s="1195"/>
      <c r="V36" s="1195"/>
      <c r="W36" s="1195"/>
      <c r="X36" s="1195"/>
      <c r="Y36" s="1195"/>
      <c r="Z36" s="1196"/>
      <c r="AB36" s="125"/>
    </row>
    <row r="37" spans="2:52" x14ac:dyDescent="0.4">
      <c r="B37" s="1194"/>
      <c r="C37" s="1195"/>
      <c r="D37" s="1195"/>
      <c r="E37" s="1195"/>
      <c r="F37" s="1195"/>
      <c r="G37" s="1195"/>
      <c r="H37" s="1195"/>
      <c r="I37" s="1195"/>
      <c r="J37" s="1195"/>
      <c r="K37" s="1195"/>
      <c r="L37" s="1195"/>
      <c r="M37" s="1196"/>
      <c r="O37" s="1194"/>
      <c r="P37" s="1195"/>
      <c r="Q37" s="1195"/>
      <c r="R37" s="1195"/>
      <c r="S37" s="1195"/>
      <c r="T37" s="1195"/>
      <c r="U37" s="1195"/>
      <c r="V37" s="1195"/>
      <c r="W37" s="1195"/>
      <c r="X37" s="1195"/>
      <c r="Y37" s="1195"/>
      <c r="Z37" s="1196"/>
      <c r="AB37" s="125"/>
    </row>
    <row r="38" spans="2:52" x14ac:dyDescent="0.4">
      <c r="B38" s="1194"/>
      <c r="C38" s="1195"/>
      <c r="D38" s="1195"/>
      <c r="E38" s="1195"/>
      <c r="F38" s="1195"/>
      <c r="G38" s="1195"/>
      <c r="H38" s="1195"/>
      <c r="I38" s="1195"/>
      <c r="J38" s="1195"/>
      <c r="K38" s="1195"/>
      <c r="L38" s="1195"/>
      <c r="M38" s="1196"/>
      <c r="O38" s="1194"/>
      <c r="P38" s="1195"/>
      <c r="Q38" s="1195"/>
      <c r="R38" s="1195"/>
      <c r="S38" s="1195"/>
      <c r="T38" s="1195"/>
      <c r="U38" s="1195"/>
      <c r="V38" s="1195"/>
      <c r="W38" s="1195"/>
      <c r="X38" s="1195"/>
      <c r="Y38" s="1195"/>
      <c r="Z38" s="1196"/>
      <c r="AB38" s="125"/>
    </row>
    <row r="39" spans="2:52" x14ac:dyDescent="0.4">
      <c r="B39" s="1194"/>
      <c r="C39" s="1195"/>
      <c r="D39" s="1195"/>
      <c r="E39" s="1195"/>
      <c r="F39" s="1195"/>
      <c r="G39" s="1195"/>
      <c r="H39" s="1195"/>
      <c r="I39" s="1195"/>
      <c r="J39" s="1195"/>
      <c r="K39" s="1195"/>
      <c r="L39" s="1195"/>
      <c r="M39" s="1196"/>
      <c r="O39" s="1194"/>
      <c r="P39" s="1195"/>
      <c r="Q39" s="1195"/>
      <c r="R39" s="1195"/>
      <c r="S39" s="1195"/>
      <c r="T39" s="1195"/>
      <c r="U39" s="1195"/>
      <c r="V39" s="1195"/>
      <c r="W39" s="1195"/>
      <c r="X39" s="1195"/>
      <c r="Y39" s="1195"/>
      <c r="Z39" s="1196"/>
      <c r="AB39" s="125"/>
    </row>
    <row r="40" spans="2:52" x14ac:dyDescent="0.4">
      <c r="B40" s="1194"/>
      <c r="C40" s="1195"/>
      <c r="D40" s="1195"/>
      <c r="E40" s="1195"/>
      <c r="F40" s="1195"/>
      <c r="G40" s="1195"/>
      <c r="H40" s="1195"/>
      <c r="I40" s="1195"/>
      <c r="J40" s="1195"/>
      <c r="K40" s="1195"/>
      <c r="L40" s="1195"/>
      <c r="M40" s="1196"/>
      <c r="O40" s="1194"/>
      <c r="P40" s="1195"/>
      <c r="Q40" s="1195"/>
      <c r="R40" s="1195"/>
      <c r="S40" s="1195"/>
      <c r="T40" s="1195"/>
      <c r="U40" s="1195"/>
      <c r="V40" s="1195"/>
      <c r="W40" s="1195"/>
      <c r="X40" s="1195"/>
      <c r="Y40" s="1195"/>
      <c r="Z40" s="1196"/>
      <c r="AB40" s="125"/>
    </row>
    <row r="41" spans="2:52" x14ac:dyDescent="0.4">
      <c r="B41" s="1194"/>
      <c r="C41" s="1195"/>
      <c r="D41" s="1195"/>
      <c r="E41" s="1195"/>
      <c r="F41" s="1195"/>
      <c r="G41" s="1195"/>
      <c r="H41" s="1195"/>
      <c r="I41" s="1195"/>
      <c r="J41" s="1195"/>
      <c r="K41" s="1195"/>
      <c r="L41" s="1195"/>
      <c r="M41" s="1196"/>
      <c r="O41" s="1194"/>
      <c r="P41" s="1195"/>
      <c r="Q41" s="1195"/>
      <c r="R41" s="1195"/>
      <c r="S41" s="1195"/>
      <c r="T41" s="1195"/>
      <c r="U41" s="1195"/>
      <c r="V41" s="1195"/>
      <c r="W41" s="1195"/>
      <c r="X41" s="1195"/>
      <c r="Y41" s="1195"/>
      <c r="Z41" s="1196"/>
      <c r="AB41" s="125"/>
    </row>
    <row r="42" spans="2:52" x14ac:dyDescent="0.4">
      <c r="B42" s="1194"/>
      <c r="C42" s="1195"/>
      <c r="D42" s="1195"/>
      <c r="E42" s="1195"/>
      <c r="F42" s="1195"/>
      <c r="G42" s="1195"/>
      <c r="H42" s="1195"/>
      <c r="I42" s="1195"/>
      <c r="J42" s="1195"/>
      <c r="K42" s="1195"/>
      <c r="L42" s="1195"/>
      <c r="M42" s="1196"/>
      <c r="O42" s="1194"/>
      <c r="P42" s="1195"/>
      <c r="Q42" s="1195"/>
      <c r="R42" s="1195"/>
      <c r="S42" s="1195"/>
      <c r="T42" s="1195"/>
      <c r="U42" s="1195"/>
      <c r="V42" s="1195"/>
      <c r="W42" s="1195"/>
      <c r="X42" s="1195"/>
      <c r="Y42" s="1195"/>
      <c r="Z42" s="1196"/>
      <c r="AB42" s="125"/>
    </row>
    <row r="43" spans="2:52" x14ac:dyDescent="0.4">
      <c r="B43" s="1194"/>
      <c r="C43" s="1195"/>
      <c r="D43" s="1195"/>
      <c r="E43" s="1195"/>
      <c r="F43" s="1195"/>
      <c r="G43" s="1195"/>
      <c r="H43" s="1195"/>
      <c r="I43" s="1195"/>
      <c r="J43" s="1195"/>
      <c r="K43" s="1195"/>
      <c r="L43" s="1195"/>
      <c r="M43" s="1196"/>
      <c r="O43" s="1194"/>
      <c r="P43" s="1195"/>
      <c r="Q43" s="1195"/>
      <c r="R43" s="1195"/>
      <c r="S43" s="1195"/>
      <c r="T43" s="1195"/>
      <c r="U43" s="1195"/>
      <c r="V43" s="1195"/>
      <c r="W43" s="1195"/>
      <c r="X43" s="1195"/>
      <c r="Y43" s="1195"/>
      <c r="Z43" s="1196"/>
      <c r="AB43" s="125"/>
    </row>
    <row r="44" spans="2:52" x14ac:dyDescent="0.4">
      <c r="B44" s="1194"/>
      <c r="C44" s="1195"/>
      <c r="D44" s="1195"/>
      <c r="E44" s="1195"/>
      <c r="F44" s="1195"/>
      <c r="G44" s="1195"/>
      <c r="H44" s="1195"/>
      <c r="I44" s="1195"/>
      <c r="J44" s="1195"/>
      <c r="K44" s="1195"/>
      <c r="L44" s="1195"/>
      <c r="M44" s="1196"/>
      <c r="O44" s="1194"/>
      <c r="P44" s="1195"/>
      <c r="Q44" s="1195"/>
      <c r="R44" s="1195"/>
      <c r="S44" s="1195"/>
      <c r="T44" s="1195"/>
      <c r="U44" s="1195"/>
      <c r="V44" s="1195"/>
      <c r="W44" s="1195"/>
      <c r="X44" s="1195"/>
      <c r="Y44" s="1195"/>
      <c r="Z44" s="1196"/>
      <c r="AB44" s="125"/>
    </row>
    <row r="45" spans="2:52" x14ac:dyDescent="0.4">
      <c r="B45" s="1194"/>
      <c r="C45" s="1195"/>
      <c r="D45" s="1195"/>
      <c r="E45" s="1195"/>
      <c r="F45" s="1195"/>
      <c r="G45" s="1195"/>
      <c r="H45" s="1195"/>
      <c r="I45" s="1195"/>
      <c r="J45" s="1195"/>
      <c r="K45" s="1195"/>
      <c r="L45" s="1195"/>
      <c r="M45" s="1196"/>
      <c r="O45" s="1194"/>
      <c r="P45" s="1195"/>
      <c r="Q45" s="1195"/>
      <c r="R45" s="1195"/>
      <c r="S45" s="1195"/>
      <c r="T45" s="1195"/>
      <c r="U45" s="1195"/>
      <c r="V45" s="1195"/>
      <c r="W45" s="1195"/>
      <c r="X45" s="1195"/>
      <c r="Y45" s="1195"/>
      <c r="Z45" s="1196"/>
      <c r="AB45" s="125"/>
    </row>
    <row r="46" spans="2:52" x14ac:dyDescent="0.4">
      <c r="B46" s="1194"/>
      <c r="C46" s="1195"/>
      <c r="D46" s="1195"/>
      <c r="E46" s="1195"/>
      <c r="F46" s="1195"/>
      <c r="G46" s="1195"/>
      <c r="H46" s="1195"/>
      <c r="I46" s="1195"/>
      <c r="J46" s="1195"/>
      <c r="K46" s="1195"/>
      <c r="L46" s="1195"/>
      <c r="M46" s="1196"/>
      <c r="O46" s="1194"/>
      <c r="P46" s="1195"/>
      <c r="Q46" s="1195"/>
      <c r="R46" s="1195"/>
      <c r="S46" s="1195"/>
      <c r="T46" s="1195"/>
      <c r="U46" s="1195"/>
      <c r="V46" s="1195"/>
      <c r="W46" s="1195"/>
      <c r="X46" s="1195"/>
      <c r="Y46" s="1195"/>
      <c r="Z46" s="1196"/>
      <c r="AB46" s="125"/>
    </row>
    <row r="47" spans="2:52" x14ac:dyDescent="0.4">
      <c r="B47" s="1194"/>
      <c r="C47" s="1195"/>
      <c r="D47" s="1195"/>
      <c r="E47" s="1195"/>
      <c r="F47" s="1195"/>
      <c r="G47" s="1195"/>
      <c r="H47" s="1195"/>
      <c r="I47" s="1195"/>
      <c r="J47" s="1195"/>
      <c r="K47" s="1195"/>
      <c r="L47" s="1195"/>
      <c r="M47" s="1196"/>
      <c r="O47" s="1194"/>
      <c r="P47" s="1195"/>
      <c r="Q47" s="1195"/>
      <c r="R47" s="1195"/>
      <c r="S47" s="1195"/>
      <c r="T47" s="1195"/>
      <c r="U47" s="1195"/>
      <c r="V47" s="1195"/>
      <c r="W47" s="1195"/>
      <c r="X47" s="1195"/>
      <c r="Y47" s="1195"/>
      <c r="Z47" s="1196"/>
      <c r="AB47" s="125"/>
    </row>
    <row r="48" spans="2:52" x14ac:dyDescent="0.4">
      <c r="B48" s="1194"/>
      <c r="C48" s="1195"/>
      <c r="D48" s="1195"/>
      <c r="E48" s="1195"/>
      <c r="F48" s="1195"/>
      <c r="G48" s="1195"/>
      <c r="H48" s="1195"/>
      <c r="I48" s="1195"/>
      <c r="J48" s="1195"/>
      <c r="K48" s="1195"/>
      <c r="L48" s="1195"/>
      <c r="M48" s="1196"/>
      <c r="O48" s="1194"/>
      <c r="P48" s="1195"/>
      <c r="Q48" s="1195"/>
      <c r="R48" s="1195"/>
      <c r="S48" s="1195"/>
      <c r="T48" s="1195"/>
      <c r="U48" s="1195"/>
      <c r="V48" s="1195"/>
      <c r="W48" s="1195"/>
      <c r="X48" s="1195"/>
      <c r="Y48" s="1195"/>
      <c r="Z48" s="1196"/>
      <c r="AB48" s="125"/>
    </row>
    <row r="49" spans="2:28" x14ac:dyDescent="0.4">
      <c r="B49" s="1194"/>
      <c r="C49" s="1195"/>
      <c r="D49" s="1195"/>
      <c r="E49" s="1195"/>
      <c r="F49" s="1195"/>
      <c r="G49" s="1195"/>
      <c r="H49" s="1195"/>
      <c r="I49" s="1195"/>
      <c r="J49" s="1195"/>
      <c r="K49" s="1195"/>
      <c r="L49" s="1195"/>
      <c r="M49" s="1196"/>
      <c r="O49" s="1194"/>
      <c r="P49" s="1195"/>
      <c r="Q49" s="1195"/>
      <c r="R49" s="1195"/>
      <c r="S49" s="1195"/>
      <c r="T49" s="1195"/>
      <c r="U49" s="1195"/>
      <c r="V49" s="1195"/>
      <c r="W49" s="1195"/>
      <c r="X49" s="1195"/>
      <c r="Y49" s="1195"/>
      <c r="Z49" s="1196"/>
      <c r="AB49" s="125"/>
    </row>
    <row r="50" spans="2:28" ht="16" thickBot="1" x14ac:dyDescent="0.45">
      <c r="B50" s="1197"/>
      <c r="C50" s="1198"/>
      <c r="D50" s="1198"/>
      <c r="E50" s="1198"/>
      <c r="F50" s="1198"/>
      <c r="G50" s="1198"/>
      <c r="H50" s="1198"/>
      <c r="I50" s="1198"/>
      <c r="J50" s="1198"/>
      <c r="K50" s="1198"/>
      <c r="L50" s="1198"/>
      <c r="M50" s="1199"/>
      <c r="O50" s="1197"/>
      <c r="P50" s="1198"/>
      <c r="Q50" s="1198"/>
      <c r="R50" s="1198"/>
      <c r="S50" s="1198"/>
      <c r="T50" s="1198"/>
      <c r="U50" s="1198"/>
      <c r="V50" s="1198"/>
      <c r="W50" s="1198"/>
      <c r="X50" s="1198"/>
      <c r="Y50" s="1198"/>
      <c r="Z50" s="1199"/>
      <c r="AB50" s="125"/>
    </row>
    <row r="51" spans="2:28" ht="16" thickBot="1" x14ac:dyDescent="0.45">
      <c r="AB51" s="125"/>
    </row>
    <row r="52" spans="2:28" ht="16" thickBot="1" x14ac:dyDescent="0.45">
      <c r="B52" s="1200" t="s">
        <v>96</v>
      </c>
      <c r="C52" s="1201"/>
      <c r="D52" s="1201"/>
      <c r="E52" s="1201"/>
      <c r="F52" s="1201"/>
      <c r="G52" s="1201"/>
      <c r="H52" s="1201"/>
      <c r="I52" s="1201"/>
      <c r="J52" s="1201"/>
      <c r="K52" s="1201"/>
      <c r="L52" s="1201"/>
      <c r="M52" s="1202"/>
      <c r="O52" s="1200" t="s">
        <v>97</v>
      </c>
      <c r="P52" s="1201"/>
      <c r="Q52" s="1201"/>
      <c r="R52" s="1201"/>
      <c r="S52" s="1201"/>
      <c r="T52" s="1201"/>
      <c r="U52" s="1201"/>
      <c r="V52" s="1201"/>
      <c r="W52" s="1201"/>
      <c r="X52" s="1201"/>
      <c r="Y52" s="1201"/>
      <c r="Z52" s="1202"/>
      <c r="AB52" s="125"/>
    </row>
    <row r="53" spans="2:28" x14ac:dyDescent="0.4">
      <c r="B53" s="1191"/>
      <c r="C53" s="1192"/>
      <c r="D53" s="1192"/>
      <c r="E53" s="1192"/>
      <c r="F53" s="1192"/>
      <c r="G53" s="1192"/>
      <c r="H53" s="1192"/>
      <c r="I53" s="1192"/>
      <c r="J53" s="1192"/>
      <c r="K53" s="1192"/>
      <c r="L53" s="1192"/>
      <c r="M53" s="1193"/>
      <c r="O53" s="1191"/>
      <c r="P53" s="1192"/>
      <c r="Q53" s="1192"/>
      <c r="R53" s="1192"/>
      <c r="S53" s="1192"/>
      <c r="T53" s="1192"/>
      <c r="U53" s="1192"/>
      <c r="V53" s="1192"/>
      <c r="W53" s="1192"/>
      <c r="X53" s="1192"/>
      <c r="Y53" s="1192"/>
      <c r="Z53" s="1193"/>
      <c r="AB53" s="125"/>
    </row>
    <row r="54" spans="2:28" x14ac:dyDescent="0.4">
      <c r="B54" s="1194"/>
      <c r="C54" s="1195"/>
      <c r="D54" s="1195"/>
      <c r="E54" s="1195"/>
      <c r="F54" s="1195"/>
      <c r="G54" s="1195"/>
      <c r="H54" s="1195"/>
      <c r="I54" s="1195"/>
      <c r="J54" s="1195"/>
      <c r="K54" s="1195"/>
      <c r="L54" s="1195"/>
      <c r="M54" s="1196"/>
      <c r="O54" s="1194"/>
      <c r="P54" s="1195"/>
      <c r="Q54" s="1195"/>
      <c r="R54" s="1195"/>
      <c r="S54" s="1195"/>
      <c r="T54" s="1195"/>
      <c r="U54" s="1195"/>
      <c r="V54" s="1195"/>
      <c r="W54" s="1195"/>
      <c r="X54" s="1195"/>
      <c r="Y54" s="1195"/>
      <c r="Z54" s="1196"/>
      <c r="AB54" s="125"/>
    </row>
    <row r="55" spans="2:28" x14ac:dyDescent="0.4">
      <c r="B55" s="1194"/>
      <c r="C55" s="1195"/>
      <c r="D55" s="1195"/>
      <c r="E55" s="1195"/>
      <c r="F55" s="1195"/>
      <c r="G55" s="1195"/>
      <c r="H55" s="1195"/>
      <c r="I55" s="1195"/>
      <c r="J55" s="1195"/>
      <c r="K55" s="1195"/>
      <c r="L55" s="1195"/>
      <c r="M55" s="1196"/>
      <c r="O55" s="1194"/>
      <c r="P55" s="1195"/>
      <c r="Q55" s="1195"/>
      <c r="R55" s="1195"/>
      <c r="S55" s="1195"/>
      <c r="T55" s="1195"/>
      <c r="U55" s="1195"/>
      <c r="V55" s="1195"/>
      <c r="W55" s="1195"/>
      <c r="X55" s="1195"/>
      <c r="Y55" s="1195"/>
      <c r="Z55" s="1196"/>
      <c r="AB55" s="125"/>
    </row>
    <row r="56" spans="2:28" x14ac:dyDescent="0.4">
      <c r="B56" s="1194"/>
      <c r="C56" s="1195"/>
      <c r="D56" s="1195"/>
      <c r="E56" s="1195"/>
      <c r="F56" s="1195"/>
      <c r="G56" s="1195"/>
      <c r="H56" s="1195"/>
      <c r="I56" s="1195"/>
      <c r="J56" s="1195"/>
      <c r="K56" s="1195"/>
      <c r="L56" s="1195"/>
      <c r="M56" s="1196"/>
      <c r="O56" s="1194"/>
      <c r="P56" s="1195"/>
      <c r="Q56" s="1195"/>
      <c r="R56" s="1195"/>
      <c r="S56" s="1195"/>
      <c r="T56" s="1195"/>
      <c r="U56" s="1195"/>
      <c r="V56" s="1195"/>
      <c r="W56" s="1195"/>
      <c r="X56" s="1195"/>
      <c r="Y56" s="1195"/>
      <c r="Z56" s="1196"/>
      <c r="AB56" s="125"/>
    </row>
    <row r="57" spans="2:28" x14ac:dyDescent="0.4">
      <c r="B57" s="1194"/>
      <c r="C57" s="1195"/>
      <c r="D57" s="1195"/>
      <c r="E57" s="1195"/>
      <c r="F57" s="1195"/>
      <c r="G57" s="1195"/>
      <c r="H57" s="1195"/>
      <c r="I57" s="1195"/>
      <c r="J57" s="1195"/>
      <c r="K57" s="1195"/>
      <c r="L57" s="1195"/>
      <c r="M57" s="1196"/>
      <c r="O57" s="1194"/>
      <c r="P57" s="1195"/>
      <c r="Q57" s="1195"/>
      <c r="R57" s="1195"/>
      <c r="S57" s="1195"/>
      <c r="T57" s="1195"/>
      <c r="U57" s="1195"/>
      <c r="V57" s="1195"/>
      <c r="W57" s="1195"/>
      <c r="X57" s="1195"/>
      <c r="Y57" s="1195"/>
      <c r="Z57" s="1196"/>
      <c r="AB57" s="125"/>
    </row>
    <row r="58" spans="2:28" x14ac:dyDescent="0.4">
      <c r="B58" s="1194"/>
      <c r="C58" s="1195"/>
      <c r="D58" s="1195"/>
      <c r="E58" s="1195"/>
      <c r="F58" s="1195"/>
      <c r="G58" s="1195"/>
      <c r="H58" s="1195"/>
      <c r="I58" s="1195"/>
      <c r="J58" s="1195"/>
      <c r="K58" s="1195"/>
      <c r="L58" s="1195"/>
      <c r="M58" s="1196"/>
      <c r="O58" s="1194"/>
      <c r="P58" s="1195"/>
      <c r="Q58" s="1195"/>
      <c r="R58" s="1195"/>
      <c r="S58" s="1195"/>
      <c r="T58" s="1195"/>
      <c r="U58" s="1195"/>
      <c r="V58" s="1195"/>
      <c r="W58" s="1195"/>
      <c r="X58" s="1195"/>
      <c r="Y58" s="1195"/>
      <c r="Z58" s="1196"/>
      <c r="AB58" s="125"/>
    </row>
    <row r="59" spans="2:28" x14ac:dyDescent="0.4">
      <c r="B59" s="1194"/>
      <c r="C59" s="1195"/>
      <c r="D59" s="1195"/>
      <c r="E59" s="1195"/>
      <c r="F59" s="1195"/>
      <c r="G59" s="1195"/>
      <c r="H59" s="1195"/>
      <c r="I59" s="1195"/>
      <c r="J59" s="1195"/>
      <c r="K59" s="1195"/>
      <c r="L59" s="1195"/>
      <c r="M59" s="1196"/>
      <c r="O59" s="1194"/>
      <c r="P59" s="1195"/>
      <c r="Q59" s="1195"/>
      <c r="R59" s="1195"/>
      <c r="S59" s="1195"/>
      <c r="T59" s="1195"/>
      <c r="U59" s="1195"/>
      <c r="V59" s="1195"/>
      <c r="W59" s="1195"/>
      <c r="X59" s="1195"/>
      <c r="Y59" s="1195"/>
      <c r="Z59" s="1196"/>
      <c r="AB59" s="125"/>
    </row>
    <row r="60" spans="2:28" x14ac:dyDescent="0.4">
      <c r="B60" s="1194"/>
      <c r="C60" s="1195"/>
      <c r="D60" s="1195"/>
      <c r="E60" s="1195"/>
      <c r="F60" s="1195"/>
      <c r="G60" s="1195"/>
      <c r="H60" s="1195"/>
      <c r="I60" s="1195"/>
      <c r="J60" s="1195"/>
      <c r="K60" s="1195"/>
      <c r="L60" s="1195"/>
      <c r="M60" s="1196"/>
      <c r="O60" s="1194"/>
      <c r="P60" s="1195"/>
      <c r="Q60" s="1195"/>
      <c r="R60" s="1195"/>
      <c r="S60" s="1195"/>
      <c r="T60" s="1195"/>
      <c r="U60" s="1195"/>
      <c r="V60" s="1195"/>
      <c r="W60" s="1195"/>
      <c r="X60" s="1195"/>
      <c r="Y60" s="1195"/>
      <c r="Z60" s="1196"/>
      <c r="AB60" s="125"/>
    </row>
    <row r="61" spans="2:28" x14ac:dyDescent="0.4">
      <c r="B61" s="1194"/>
      <c r="C61" s="1195"/>
      <c r="D61" s="1195"/>
      <c r="E61" s="1195"/>
      <c r="F61" s="1195"/>
      <c r="G61" s="1195"/>
      <c r="H61" s="1195"/>
      <c r="I61" s="1195"/>
      <c r="J61" s="1195"/>
      <c r="K61" s="1195"/>
      <c r="L61" s="1195"/>
      <c r="M61" s="1196"/>
      <c r="O61" s="1194"/>
      <c r="P61" s="1195"/>
      <c r="Q61" s="1195"/>
      <c r="R61" s="1195"/>
      <c r="S61" s="1195"/>
      <c r="T61" s="1195"/>
      <c r="U61" s="1195"/>
      <c r="V61" s="1195"/>
      <c r="W61" s="1195"/>
      <c r="X61" s="1195"/>
      <c r="Y61" s="1195"/>
      <c r="Z61" s="1196"/>
      <c r="AB61" s="125"/>
    </row>
    <row r="62" spans="2:28" x14ac:dyDescent="0.4">
      <c r="B62" s="1194"/>
      <c r="C62" s="1195"/>
      <c r="D62" s="1195"/>
      <c r="E62" s="1195"/>
      <c r="F62" s="1195"/>
      <c r="G62" s="1195"/>
      <c r="H62" s="1195"/>
      <c r="I62" s="1195"/>
      <c r="J62" s="1195"/>
      <c r="K62" s="1195"/>
      <c r="L62" s="1195"/>
      <c r="M62" s="1196"/>
      <c r="O62" s="1194"/>
      <c r="P62" s="1195"/>
      <c r="Q62" s="1195"/>
      <c r="R62" s="1195"/>
      <c r="S62" s="1195"/>
      <c r="T62" s="1195"/>
      <c r="U62" s="1195"/>
      <c r="V62" s="1195"/>
      <c r="W62" s="1195"/>
      <c r="X62" s="1195"/>
      <c r="Y62" s="1195"/>
      <c r="Z62" s="1196"/>
      <c r="AB62" s="125"/>
    </row>
    <row r="63" spans="2:28" x14ac:dyDescent="0.4">
      <c r="B63" s="1194"/>
      <c r="C63" s="1195"/>
      <c r="D63" s="1195"/>
      <c r="E63" s="1195"/>
      <c r="F63" s="1195"/>
      <c r="G63" s="1195"/>
      <c r="H63" s="1195"/>
      <c r="I63" s="1195"/>
      <c r="J63" s="1195"/>
      <c r="K63" s="1195"/>
      <c r="L63" s="1195"/>
      <c r="M63" s="1196"/>
      <c r="O63" s="1194"/>
      <c r="P63" s="1195"/>
      <c r="Q63" s="1195"/>
      <c r="R63" s="1195"/>
      <c r="S63" s="1195"/>
      <c r="T63" s="1195"/>
      <c r="U63" s="1195"/>
      <c r="V63" s="1195"/>
      <c r="W63" s="1195"/>
      <c r="X63" s="1195"/>
      <c r="Y63" s="1195"/>
      <c r="Z63" s="1196"/>
      <c r="AB63" s="125"/>
    </row>
    <row r="64" spans="2:28" x14ac:dyDescent="0.4">
      <c r="B64" s="1194"/>
      <c r="C64" s="1195"/>
      <c r="D64" s="1195"/>
      <c r="E64" s="1195"/>
      <c r="F64" s="1195"/>
      <c r="G64" s="1195"/>
      <c r="H64" s="1195"/>
      <c r="I64" s="1195"/>
      <c r="J64" s="1195"/>
      <c r="K64" s="1195"/>
      <c r="L64" s="1195"/>
      <c r="M64" s="1196"/>
      <c r="O64" s="1194"/>
      <c r="P64" s="1195"/>
      <c r="Q64" s="1195"/>
      <c r="R64" s="1195"/>
      <c r="S64" s="1195"/>
      <c r="T64" s="1195"/>
      <c r="U64" s="1195"/>
      <c r="V64" s="1195"/>
      <c r="W64" s="1195"/>
      <c r="X64" s="1195"/>
      <c r="Y64" s="1195"/>
      <c r="Z64" s="1196"/>
      <c r="AB64" s="125"/>
    </row>
    <row r="65" spans="2:28" x14ac:dyDescent="0.4">
      <c r="B65" s="1194"/>
      <c r="C65" s="1195"/>
      <c r="D65" s="1195"/>
      <c r="E65" s="1195"/>
      <c r="F65" s="1195"/>
      <c r="G65" s="1195"/>
      <c r="H65" s="1195"/>
      <c r="I65" s="1195"/>
      <c r="J65" s="1195"/>
      <c r="K65" s="1195"/>
      <c r="L65" s="1195"/>
      <c r="M65" s="1196"/>
      <c r="O65" s="1194"/>
      <c r="P65" s="1195"/>
      <c r="Q65" s="1195"/>
      <c r="R65" s="1195"/>
      <c r="S65" s="1195"/>
      <c r="T65" s="1195"/>
      <c r="U65" s="1195"/>
      <c r="V65" s="1195"/>
      <c r="W65" s="1195"/>
      <c r="X65" s="1195"/>
      <c r="Y65" s="1195"/>
      <c r="Z65" s="1196"/>
      <c r="AB65" s="125"/>
    </row>
    <row r="66" spans="2:28" x14ac:dyDescent="0.4">
      <c r="B66" s="1194"/>
      <c r="C66" s="1195"/>
      <c r="D66" s="1195"/>
      <c r="E66" s="1195"/>
      <c r="F66" s="1195"/>
      <c r="G66" s="1195"/>
      <c r="H66" s="1195"/>
      <c r="I66" s="1195"/>
      <c r="J66" s="1195"/>
      <c r="K66" s="1195"/>
      <c r="L66" s="1195"/>
      <c r="M66" s="1196"/>
      <c r="O66" s="1194"/>
      <c r="P66" s="1195"/>
      <c r="Q66" s="1195"/>
      <c r="R66" s="1195"/>
      <c r="S66" s="1195"/>
      <c r="T66" s="1195"/>
      <c r="U66" s="1195"/>
      <c r="V66" s="1195"/>
      <c r="W66" s="1195"/>
      <c r="X66" s="1195"/>
      <c r="Y66" s="1195"/>
      <c r="Z66" s="1196"/>
      <c r="AB66" s="125"/>
    </row>
    <row r="67" spans="2:28" x14ac:dyDescent="0.4">
      <c r="B67" s="1194"/>
      <c r="C67" s="1195"/>
      <c r="D67" s="1195"/>
      <c r="E67" s="1195"/>
      <c r="F67" s="1195"/>
      <c r="G67" s="1195"/>
      <c r="H67" s="1195"/>
      <c r="I67" s="1195"/>
      <c r="J67" s="1195"/>
      <c r="K67" s="1195"/>
      <c r="L67" s="1195"/>
      <c r="M67" s="1196"/>
      <c r="O67" s="1194"/>
      <c r="P67" s="1195"/>
      <c r="Q67" s="1195"/>
      <c r="R67" s="1195"/>
      <c r="S67" s="1195"/>
      <c r="T67" s="1195"/>
      <c r="U67" s="1195"/>
      <c r="V67" s="1195"/>
      <c r="W67" s="1195"/>
      <c r="X67" s="1195"/>
      <c r="Y67" s="1195"/>
      <c r="Z67" s="1196"/>
      <c r="AB67" s="125"/>
    </row>
    <row r="68" spans="2:28" x14ac:dyDescent="0.4">
      <c r="B68" s="1194"/>
      <c r="C68" s="1195"/>
      <c r="D68" s="1195"/>
      <c r="E68" s="1195"/>
      <c r="F68" s="1195"/>
      <c r="G68" s="1195"/>
      <c r="H68" s="1195"/>
      <c r="I68" s="1195"/>
      <c r="J68" s="1195"/>
      <c r="K68" s="1195"/>
      <c r="L68" s="1195"/>
      <c r="M68" s="1196"/>
      <c r="O68" s="1194"/>
      <c r="P68" s="1195"/>
      <c r="Q68" s="1195"/>
      <c r="R68" s="1195"/>
      <c r="S68" s="1195"/>
      <c r="T68" s="1195"/>
      <c r="U68" s="1195"/>
      <c r="V68" s="1195"/>
      <c r="W68" s="1195"/>
      <c r="X68" s="1195"/>
      <c r="Y68" s="1195"/>
      <c r="Z68" s="1196"/>
      <c r="AB68" s="125"/>
    </row>
    <row r="69" spans="2:28" x14ac:dyDescent="0.4">
      <c r="B69" s="1194"/>
      <c r="C69" s="1195"/>
      <c r="D69" s="1195"/>
      <c r="E69" s="1195"/>
      <c r="F69" s="1195"/>
      <c r="G69" s="1195"/>
      <c r="H69" s="1195"/>
      <c r="I69" s="1195"/>
      <c r="J69" s="1195"/>
      <c r="K69" s="1195"/>
      <c r="L69" s="1195"/>
      <c r="M69" s="1196"/>
      <c r="O69" s="1194"/>
      <c r="P69" s="1195"/>
      <c r="Q69" s="1195"/>
      <c r="R69" s="1195"/>
      <c r="S69" s="1195"/>
      <c r="T69" s="1195"/>
      <c r="U69" s="1195"/>
      <c r="V69" s="1195"/>
      <c r="W69" s="1195"/>
      <c r="X69" s="1195"/>
      <c r="Y69" s="1195"/>
      <c r="Z69" s="1196"/>
      <c r="AB69" s="125"/>
    </row>
    <row r="70" spans="2:28" x14ac:dyDescent="0.4">
      <c r="B70" s="1194"/>
      <c r="C70" s="1195"/>
      <c r="D70" s="1195"/>
      <c r="E70" s="1195"/>
      <c r="F70" s="1195"/>
      <c r="G70" s="1195"/>
      <c r="H70" s="1195"/>
      <c r="I70" s="1195"/>
      <c r="J70" s="1195"/>
      <c r="K70" s="1195"/>
      <c r="L70" s="1195"/>
      <c r="M70" s="1196"/>
      <c r="O70" s="1194"/>
      <c r="P70" s="1195"/>
      <c r="Q70" s="1195"/>
      <c r="R70" s="1195"/>
      <c r="S70" s="1195"/>
      <c r="T70" s="1195"/>
      <c r="U70" s="1195"/>
      <c r="V70" s="1195"/>
      <c r="W70" s="1195"/>
      <c r="X70" s="1195"/>
      <c r="Y70" s="1195"/>
      <c r="Z70" s="1196"/>
      <c r="AB70" s="125"/>
    </row>
    <row r="71" spans="2:28" x14ac:dyDescent="0.4">
      <c r="B71" s="1194"/>
      <c r="C71" s="1195"/>
      <c r="D71" s="1195"/>
      <c r="E71" s="1195"/>
      <c r="F71" s="1195"/>
      <c r="G71" s="1195"/>
      <c r="H71" s="1195"/>
      <c r="I71" s="1195"/>
      <c r="J71" s="1195"/>
      <c r="K71" s="1195"/>
      <c r="L71" s="1195"/>
      <c r="M71" s="1196"/>
      <c r="O71" s="1194"/>
      <c r="P71" s="1195"/>
      <c r="Q71" s="1195"/>
      <c r="R71" s="1195"/>
      <c r="S71" s="1195"/>
      <c r="T71" s="1195"/>
      <c r="U71" s="1195"/>
      <c r="V71" s="1195"/>
      <c r="W71" s="1195"/>
      <c r="X71" s="1195"/>
      <c r="Y71" s="1195"/>
      <c r="Z71" s="1196"/>
      <c r="AB71" s="125"/>
    </row>
    <row r="72" spans="2:28" x14ac:dyDescent="0.4">
      <c r="B72" s="1194"/>
      <c r="C72" s="1195"/>
      <c r="D72" s="1195"/>
      <c r="E72" s="1195"/>
      <c r="F72" s="1195"/>
      <c r="G72" s="1195"/>
      <c r="H72" s="1195"/>
      <c r="I72" s="1195"/>
      <c r="J72" s="1195"/>
      <c r="K72" s="1195"/>
      <c r="L72" s="1195"/>
      <c r="M72" s="1196"/>
      <c r="O72" s="1194"/>
      <c r="P72" s="1195"/>
      <c r="Q72" s="1195"/>
      <c r="R72" s="1195"/>
      <c r="S72" s="1195"/>
      <c r="T72" s="1195"/>
      <c r="U72" s="1195"/>
      <c r="V72" s="1195"/>
      <c r="W72" s="1195"/>
      <c r="X72" s="1195"/>
      <c r="Y72" s="1195"/>
      <c r="Z72" s="1196"/>
      <c r="AB72" s="125"/>
    </row>
    <row r="73" spans="2:28" x14ac:dyDescent="0.4">
      <c r="B73" s="1194"/>
      <c r="C73" s="1195"/>
      <c r="D73" s="1195"/>
      <c r="E73" s="1195"/>
      <c r="F73" s="1195"/>
      <c r="G73" s="1195"/>
      <c r="H73" s="1195"/>
      <c r="I73" s="1195"/>
      <c r="J73" s="1195"/>
      <c r="K73" s="1195"/>
      <c r="L73" s="1195"/>
      <c r="M73" s="1196"/>
      <c r="O73" s="1194"/>
      <c r="P73" s="1195"/>
      <c r="Q73" s="1195"/>
      <c r="R73" s="1195"/>
      <c r="S73" s="1195"/>
      <c r="T73" s="1195"/>
      <c r="U73" s="1195"/>
      <c r="V73" s="1195"/>
      <c r="W73" s="1195"/>
      <c r="X73" s="1195"/>
      <c r="Y73" s="1195"/>
      <c r="Z73" s="1196"/>
      <c r="AB73" s="125"/>
    </row>
    <row r="74" spans="2:28" x14ac:dyDescent="0.4">
      <c r="B74" s="1194"/>
      <c r="C74" s="1195"/>
      <c r="D74" s="1195"/>
      <c r="E74" s="1195"/>
      <c r="F74" s="1195"/>
      <c r="G74" s="1195"/>
      <c r="H74" s="1195"/>
      <c r="I74" s="1195"/>
      <c r="J74" s="1195"/>
      <c r="K74" s="1195"/>
      <c r="L74" s="1195"/>
      <c r="M74" s="1196"/>
      <c r="O74" s="1194"/>
      <c r="P74" s="1195"/>
      <c r="Q74" s="1195"/>
      <c r="R74" s="1195"/>
      <c r="S74" s="1195"/>
      <c r="T74" s="1195"/>
      <c r="U74" s="1195"/>
      <c r="V74" s="1195"/>
      <c r="W74" s="1195"/>
      <c r="X74" s="1195"/>
      <c r="Y74" s="1195"/>
      <c r="Z74" s="1196"/>
      <c r="AB74" s="125"/>
    </row>
    <row r="75" spans="2:28" x14ac:dyDescent="0.4">
      <c r="B75" s="1194"/>
      <c r="C75" s="1195"/>
      <c r="D75" s="1195"/>
      <c r="E75" s="1195"/>
      <c r="F75" s="1195"/>
      <c r="G75" s="1195"/>
      <c r="H75" s="1195"/>
      <c r="I75" s="1195"/>
      <c r="J75" s="1195"/>
      <c r="K75" s="1195"/>
      <c r="L75" s="1195"/>
      <c r="M75" s="1196"/>
      <c r="O75" s="1194"/>
      <c r="P75" s="1195"/>
      <c r="Q75" s="1195"/>
      <c r="R75" s="1195"/>
      <c r="S75" s="1195"/>
      <c r="T75" s="1195"/>
      <c r="U75" s="1195"/>
      <c r="V75" s="1195"/>
      <c r="W75" s="1195"/>
      <c r="X75" s="1195"/>
      <c r="Y75" s="1195"/>
      <c r="Z75" s="1196"/>
      <c r="AB75" s="125"/>
    </row>
    <row r="76" spans="2:28" x14ac:dyDescent="0.4">
      <c r="B76" s="1194"/>
      <c r="C76" s="1195"/>
      <c r="D76" s="1195"/>
      <c r="E76" s="1195"/>
      <c r="F76" s="1195"/>
      <c r="G76" s="1195"/>
      <c r="H76" s="1195"/>
      <c r="I76" s="1195"/>
      <c r="J76" s="1195"/>
      <c r="K76" s="1195"/>
      <c r="L76" s="1195"/>
      <c r="M76" s="1196"/>
      <c r="O76" s="1194"/>
      <c r="P76" s="1195"/>
      <c r="Q76" s="1195"/>
      <c r="R76" s="1195"/>
      <c r="S76" s="1195"/>
      <c r="T76" s="1195"/>
      <c r="U76" s="1195"/>
      <c r="V76" s="1195"/>
      <c r="W76" s="1195"/>
      <c r="X76" s="1195"/>
      <c r="Y76" s="1195"/>
      <c r="Z76" s="1196"/>
      <c r="AB76" s="125"/>
    </row>
    <row r="77" spans="2:28" x14ac:dyDescent="0.4">
      <c r="B77" s="1194"/>
      <c r="C77" s="1195"/>
      <c r="D77" s="1195"/>
      <c r="E77" s="1195"/>
      <c r="F77" s="1195"/>
      <c r="G77" s="1195"/>
      <c r="H77" s="1195"/>
      <c r="I77" s="1195"/>
      <c r="J77" s="1195"/>
      <c r="K77" s="1195"/>
      <c r="L77" s="1195"/>
      <c r="M77" s="1196"/>
      <c r="O77" s="1194"/>
      <c r="P77" s="1195"/>
      <c r="Q77" s="1195"/>
      <c r="R77" s="1195"/>
      <c r="S77" s="1195"/>
      <c r="T77" s="1195"/>
      <c r="U77" s="1195"/>
      <c r="V77" s="1195"/>
      <c r="W77" s="1195"/>
      <c r="X77" s="1195"/>
      <c r="Y77" s="1195"/>
      <c r="Z77" s="1196"/>
      <c r="AB77" s="125"/>
    </row>
    <row r="78" spans="2:28" x14ac:dyDescent="0.4">
      <c r="B78" s="1194"/>
      <c r="C78" s="1195"/>
      <c r="D78" s="1195"/>
      <c r="E78" s="1195"/>
      <c r="F78" s="1195"/>
      <c r="G78" s="1195"/>
      <c r="H78" s="1195"/>
      <c r="I78" s="1195"/>
      <c r="J78" s="1195"/>
      <c r="K78" s="1195"/>
      <c r="L78" s="1195"/>
      <c r="M78" s="1196"/>
      <c r="O78" s="1194"/>
      <c r="P78" s="1195"/>
      <c r="Q78" s="1195"/>
      <c r="R78" s="1195"/>
      <c r="S78" s="1195"/>
      <c r="T78" s="1195"/>
      <c r="U78" s="1195"/>
      <c r="V78" s="1195"/>
      <c r="W78" s="1195"/>
      <c r="X78" s="1195"/>
      <c r="Y78" s="1195"/>
      <c r="Z78" s="1196"/>
      <c r="AB78" s="125"/>
    </row>
    <row r="79" spans="2:28" x14ac:dyDescent="0.4">
      <c r="B79" s="1194"/>
      <c r="C79" s="1195"/>
      <c r="D79" s="1195"/>
      <c r="E79" s="1195"/>
      <c r="F79" s="1195"/>
      <c r="G79" s="1195"/>
      <c r="H79" s="1195"/>
      <c r="I79" s="1195"/>
      <c r="J79" s="1195"/>
      <c r="K79" s="1195"/>
      <c r="L79" s="1195"/>
      <c r="M79" s="1196"/>
      <c r="O79" s="1194"/>
      <c r="P79" s="1195"/>
      <c r="Q79" s="1195"/>
      <c r="R79" s="1195"/>
      <c r="S79" s="1195"/>
      <c r="T79" s="1195"/>
      <c r="U79" s="1195"/>
      <c r="V79" s="1195"/>
      <c r="W79" s="1195"/>
      <c r="X79" s="1195"/>
      <c r="Y79" s="1195"/>
      <c r="Z79" s="1196"/>
      <c r="AB79" s="125"/>
    </row>
    <row r="80" spans="2:28" x14ac:dyDescent="0.4">
      <c r="B80" s="1194"/>
      <c r="C80" s="1195"/>
      <c r="D80" s="1195"/>
      <c r="E80" s="1195"/>
      <c r="F80" s="1195"/>
      <c r="G80" s="1195"/>
      <c r="H80" s="1195"/>
      <c r="I80" s="1195"/>
      <c r="J80" s="1195"/>
      <c r="K80" s="1195"/>
      <c r="L80" s="1195"/>
      <c r="M80" s="1196"/>
      <c r="O80" s="1194"/>
      <c r="P80" s="1195"/>
      <c r="Q80" s="1195"/>
      <c r="R80" s="1195"/>
      <c r="S80" s="1195"/>
      <c r="T80" s="1195"/>
      <c r="U80" s="1195"/>
      <c r="V80" s="1195"/>
      <c r="W80" s="1195"/>
      <c r="X80" s="1195"/>
      <c r="Y80" s="1195"/>
      <c r="Z80" s="1196"/>
      <c r="AB80" s="125"/>
    </row>
    <row r="81" spans="2:28" x14ac:dyDescent="0.4">
      <c r="B81" s="1194"/>
      <c r="C81" s="1195"/>
      <c r="D81" s="1195"/>
      <c r="E81" s="1195"/>
      <c r="F81" s="1195"/>
      <c r="G81" s="1195"/>
      <c r="H81" s="1195"/>
      <c r="I81" s="1195"/>
      <c r="J81" s="1195"/>
      <c r="K81" s="1195"/>
      <c r="L81" s="1195"/>
      <c r="M81" s="1196"/>
      <c r="O81" s="1194"/>
      <c r="P81" s="1195"/>
      <c r="Q81" s="1195"/>
      <c r="R81" s="1195"/>
      <c r="S81" s="1195"/>
      <c r="T81" s="1195"/>
      <c r="U81" s="1195"/>
      <c r="V81" s="1195"/>
      <c r="W81" s="1195"/>
      <c r="X81" s="1195"/>
      <c r="Y81" s="1195"/>
      <c r="Z81" s="1196"/>
      <c r="AB81" s="125"/>
    </row>
    <row r="82" spans="2:28" x14ac:dyDescent="0.4">
      <c r="B82" s="1194"/>
      <c r="C82" s="1195"/>
      <c r="D82" s="1195"/>
      <c r="E82" s="1195"/>
      <c r="F82" s="1195"/>
      <c r="G82" s="1195"/>
      <c r="H82" s="1195"/>
      <c r="I82" s="1195"/>
      <c r="J82" s="1195"/>
      <c r="K82" s="1195"/>
      <c r="L82" s="1195"/>
      <c r="M82" s="1196"/>
      <c r="O82" s="1194"/>
      <c r="P82" s="1195"/>
      <c r="Q82" s="1195"/>
      <c r="R82" s="1195"/>
      <c r="S82" s="1195"/>
      <c r="T82" s="1195"/>
      <c r="U82" s="1195"/>
      <c r="V82" s="1195"/>
      <c r="W82" s="1195"/>
      <c r="X82" s="1195"/>
      <c r="Y82" s="1195"/>
      <c r="Z82" s="1196"/>
      <c r="AB82" s="125"/>
    </row>
    <row r="83" spans="2:28" x14ac:dyDescent="0.4">
      <c r="B83" s="1194"/>
      <c r="C83" s="1195"/>
      <c r="D83" s="1195"/>
      <c r="E83" s="1195"/>
      <c r="F83" s="1195"/>
      <c r="G83" s="1195"/>
      <c r="H83" s="1195"/>
      <c r="I83" s="1195"/>
      <c r="J83" s="1195"/>
      <c r="K83" s="1195"/>
      <c r="L83" s="1195"/>
      <c r="M83" s="1196"/>
      <c r="O83" s="1194"/>
      <c r="P83" s="1195"/>
      <c r="Q83" s="1195"/>
      <c r="R83" s="1195"/>
      <c r="S83" s="1195"/>
      <c r="T83" s="1195"/>
      <c r="U83" s="1195"/>
      <c r="V83" s="1195"/>
      <c r="W83" s="1195"/>
      <c r="X83" s="1195"/>
      <c r="Y83" s="1195"/>
      <c r="Z83" s="1196"/>
      <c r="AB83" s="125"/>
    </row>
    <row r="84" spans="2:28" x14ac:dyDescent="0.4">
      <c r="B84" s="1194"/>
      <c r="C84" s="1195"/>
      <c r="D84" s="1195"/>
      <c r="E84" s="1195"/>
      <c r="F84" s="1195"/>
      <c r="G84" s="1195"/>
      <c r="H84" s="1195"/>
      <c r="I84" s="1195"/>
      <c r="J84" s="1195"/>
      <c r="K84" s="1195"/>
      <c r="L84" s="1195"/>
      <c r="M84" s="1196"/>
      <c r="O84" s="1194"/>
      <c r="P84" s="1195"/>
      <c r="Q84" s="1195"/>
      <c r="R84" s="1195"/>
      <c r="S84" s="1195"/>
      <c r="T84" s="1195"/>
      <c r="U84" s="1195"/>
      <c r="V84" s="1195"/>
      <c r="W84" s="1195"/>
      <c r="X84" s="1195"/>
      <c r="Y84" s="1195"/>
      <c r="Z84" s="1196"/>
      <c r="AB84" s="125"/>
    </row>
    <row r="85" spans="2:28" x14ac:dyDescent="0.4">
      <c r="B85" s="1194"/>
      <c r="C85" s="1195"/>
      <c r="D85" s="1195"/>
      <c r="E85" s="1195"/>
      <c r="F85" s="1195"/>
      <c r="G85" s="1195"/>
      <c r="H85" s="1195"/>
      <c r="I85" s="1195"/>
      <c r="J85" s="1195"/>
      <c r="K85" s="1195"/>
      <c r="L85" s="1195"/>
      <c r="M85" s="1196"/>
      <c r="O85" s="1194"/>
      <c r="P85" s="1195"/>
      <c r="Q85" s="1195"/>
      <c r="R85" s="1195"/>
      <c r="S85" s="1195"/>
      <c r="T85" s="1195"/>
      <c r="U85" s="1195"/>
      <c r="V85" s="1195"/>
      <c r="W85" s="1195"/>
      <c r="X85" s="1195"/>
      <c r="Y85" s="1195"/>
      <c r="Z85" s="1196"/>
      <c r="AB85" s="125"/>
    </row>
    <row r="86" spans="2:28" x14ac:dyDescent="0.4">
      <c r="B86" s="1194"/>
      <c r="C86" s="1195"/>
      <c r="D86" s="1195"/>
      <c r="E86" s="1195"/>
      <c r="F86" s="1195"/>
      <c r="G86" s="1195"/>
      <c r="H86" s="1195"/>
      <c r="I86" s="1195"/>
      <c r="J86" s="1195"/>
      <c r="K86" s="1195"/>
      <c r="L86" s="1195"/>
      <c r="M86" s="1196"/>
      <c r="O86" s="1194"/>
      <c r="P86" s="1195"/>
      <c r="Q86" s="1195"/>
      <c r="R86" s="1195"/>
      <c r="S86" s="1195"/>
      <c r="T86" s="1195"/>
      <c r="U86" s="1195"/>
      <c r="V86" s="1195"/>
      <c r="W86" s="1195"/>
      <c r="X86" s="1195"/>
      <c r="Y86" s="1195"/>
      <c r="Z86" s="1196"/>
      <c r="AB86" s="125"/>
    </row>
    <row r="87" spans="2:28" x14ac:dyDescent="0.4">
      <c r="B87" s="1194"/>
      <c r="C87" s="1195"/>
      <c r="D87" s="1195"/>
      <c r="E87" s="1195"/>
      <c r="F87" s="1195"/>
      <c r="G87" s="1195"/>
      <c r="H87" s="1195"/>
      <c r="I87" s="1195"/>
      <c r="J87" s="1195"/>
      <c r="K87" s="1195"/>
      <c r="L87" s="1195"/>
      <c r="M87" s="1196"/>
      <c r="O87" s="1194"/>
      <c r="P87" s="1195"/>
      <c r="Q87" s="1195"/>
      <c r="R87" s="1195"/>
      <c r="S87" s="1195"/>
      <c r="T87" s="1195"/>
      <c r="U87" s="1195"/>
      <c r="V87" s="1195"/>
      <c r="W87" s="1195"/>
      <c r="X87" s="1195"/>
      <c r="Y87" s="1195"/>
      <c r="Z87" s="1196"/>
      <c r="AB87" s="125"/>
    </row>
    <row r="88" spans="2:28" x14ac:dyDescent="0.4">
      <c r="B88" s="1194"/>
      <c r="C88" s="1195"/>
      <c r="D88" s="1195"/>
      <c r="E88" s="1195"/>
      <c r="F88" s="1195"/>
      <c r="G88" s="1195"/>
      <c r="H88" s="1195"/>
      <c r="I88" s="1195"/>
      <c r="J88" s="1195"/>
      <c r="K88" s="1195"/>
      <c r="L88" s="1195"/>
      <c r="M88" s="1196"/>
      <c r="O88" s="1194"/>
      <c r="P88" s="1195"/>
      <c r="Q88" s="1195"/>
      <c r="R88" s="1195"/>
      <c r="S88" s="1195"/>
      <c r="T88" s="1195"/>
      <c r="U88" s="1195"/>
      <c r="V88" s="1195"/>
      <c r="W88" s="1195"/>
      <c r="X88" s="1195"/>
      <c r="Y88" s="1195"/>
      <c r="Z88" s="1196"/>
      <c r="AB88" s="125"/>
    </row>
    <row r="89" spans="2:28" x14ac:dyDescent="0.4">
      <c r="B89" s="1194"/>
      <c r="C89" s="1195"/>
      <c r="D89" s="1195"/>
      <c r="E89" s="1195"/>
      <c r="F89" s="1195"/>
      <c r="G89" s="1195"/>
      <c r="H89" s="1195"/>
      <c r="I89" s="1195"/>
      <c r="J89" s="1195"/>
      <c r="K89" s="1195"/>
      <c r="L89" s="1195"/>
      <c r="M89" s="1196"/>
      <c r="O89" s="1194"/>
      <c r="P89" s="1195"/>
      <c r="Q89" s="1195"/>
      <c r="R89" s="1195"/>
      <c r="S89" s="1195"/>
      <c r="T89" s="1195"/>
      <c r="U89" s="1195"/>
      <c r="V89" s="1195"/>
      <c r="W89" s="1195"/>
      <c r="X89" s="1195"/>
      <c r="Y89" s="1195"/>
      <c r="Z89" s="1196"/>
      <c r="AB89" s="125"/>
    </row>
    <row r="90" spans="2:28" x14ac:dyDescent="0.4">
      <c r="B90" s="1194"/>
      <c r="C90" s="1195"/>
      <c r="D90" s="1195"/>
      <c r="E90" s="1195"/>
      <c r="F90" s="1195"/>
      <c r="G90" s="1195"/>
      <c r="H90" s="1195"/>
      <c r="I90" s="1195"/>
      <c r="J90" s="1195"/>
      <c r="K90" s="1195"/>
      <c r="L90" s="1195"/>
      <c r="M90" s="1196"/>
      <c r="O90" s="1194"/>
      <c r="P90" s="1195"/>
      <c r="Q90" s="1195"/>
      <c r="R90" s="1195"/>
      <c r="S90" s="1195"/>
      <c r="T90" s="1195"/>
      <c r="U90" s="1195"/>
      <c r="V90" s="1195"/>
      <c r="W90" s="1195"/>
      <c r="X90" s="1195"/>
      <c r="Y90" s="1195"/>
      <c r="Z90" s="1196"/>
      <c r="AB90" s="125"/>
    </row>
    <row r="91" spans="2:28" x14ac:dyDescent="0.4">
      <c r="B91" s="1194"/>
      <c r="C91" s="1195"/>
      <c r="D91" s="1195"/>
      <c r="E91" s="1195"/>
      <c r="F91" s="1195"/>
      <c r="G91" s="1195"/>
      <c r="H91" s="1195"/>
      <c r="I91" s="1195"/>
      <c r="J91" s="1195"/>
      <c r="K91" s="1195"/>
      <c r="L91" s="1195"/>
      <c r="M91" s="1196"/>
      <c r="O91" s="1194"/>
      <c r="P91" s="1195"/>
      <c r="Q91" s="1195"/>
      <c r="R91" s="1195"/>
      <c r="S91" s="1195"/>
      <c r="T91" s="1195"/>
      <c r="U91" s="1195"/>
      <c r="V91" s="1195"/>
      <c r="W91" s="1195"/>
      <c r="X91" s="1195"/>
      <c r="Y91" s="1195"/>
      <c r="Z91" s="1196"/>
      <c r="AB91" s="125"/>
    </row>
    <row r="92" spans="2:28" ht="16" thickBot="1" x14ac:dyDescent="0.45">
      <c r="B92" s="1197"/>
      <c r="C92" s="1198"/>
      <c r="D92" s="1198"/>
      <c r="E92" s="1198"/>
      <c r="F92" s="1198"/>
      <c r="G92" s="1198"/>
      <c r="H92" s="1198"/>
      <c r="I92" s="1198"/>
      <c r="J92" s="1198"/>
      <c r="K92" s="1198"/>
      <c r="L92" s="1198"/>
      <c r="M92" s="1199"/>
      <c r="O92" s="1197"/>
      <c r="P92" s="1198"/>
      <c r="Q92" s="1198"/>
      <c r="R92" s="1198"/>
      <c r="S92" s="1198"/>
      <c r="T92" s="1198"/>
      <c r="U92" s="1198"/>
      <c r="V92" s="1198"/>
      <c r="W92" s="1198"/>
      <c r="X92" s="1198"/>
      <c r="Y92" s="1198"/>
      <c r="Z92" s="1199"/>
      <c r="AB92" s="125"/>
    </row>
    <row r="93" spans="2:28" ht="16" thickBot="1" x14ac:dyDescent="0.45">
      <c r="AB93" s="125"/>
    </row>
    <row r="94" spans="2:28" ht="16" thickBot="1" x14ac:dyDescent="0.45">
      <c r="B94" s="1200" t="s">
        <v>98</v>
      </c>
      <c r="C94" s="1201"/>
      <c r="D94" s="1201"/>
      <c r="E94" s="1201"/>
      <c r="F94" s="1201"/>
      <c r="G94" s="1201"/>
      <c r="H94" s="1201"/>
      <c r="I94" s="1201"/>
      <c r="J94" s="1201"/>
      <c r="K94" s="1201"/>
      <c r="L94" s="1201"/>
      <c r="M94" s="1202"/>
      <c r="O94" s="1200" t="s">
        <v>99</v>
      </c>
      <c r="P94" s="1201"/>
      <c r="Q94" s="1201"/>
      <c r="R94" s="1201"/>
      <c r="S94" s="1201"/>
      <c r="T94" s="1201"/>
      <c r="U94" s="1201"/>
      <c r="V94" s="1201"/>
      <c r="W94" s="1201"/>
      <c r="X94" s="1201"/>
      <c r="Y94" s="1201"/>
      <c r="Z94" s="1202"/>
      <c r="AB94" s="125"/>
    </row>
    <row r="95" spans="2:28" x14ac:dyDescent="0.4">
      <c r="B95" s="1191"/>
      <c r="C95" s="1192"/>
      <c r="D95" s="1192"/>
      <c r="E95" s="1192"/>
      <c r="F95" s="1192"/>
      <c r="G95" s="1192"/>
      <c r="H95" s="1192"/>
      <c r="I95" s="1192"/>
      <c r="J95" s="1192"/>
      <c r="K95" s="1192"/>
      <c r="L95" s="1192"/>
      <c r="M95" s="1193"/>
      <c r="O95" s="1191"/>
      <c r="P95" s="1192"/>
      <c r="Q95" s="1192"/>
      <c r="R95" s="1192"/>
      <c r="S95" s="1192"/>
      <c r="T95" s="1192"/>
      <c r="U95" s="1192"/>
      <c r="V95" s="1192"/>
      <c r="W95" s="1192"/>
      <c r="X95" s="1192"/>
      <c r="Y95" s="1192"/>
      <c r="Z95" s="1193"/>
      <c r="AB95" s="125"/>
    </row>
    <row r="96" spans="2:28" x14ac:dyDescent="0.4">
      <c r="B96" s="1194"/>
      <c r="C96" s="1195"/>
      <c r="D96" s="1195"/>
      <c r="E96" s="1195"/>
      <c r="F96" s="1195"/>
      <c r="G96" s="1195"/>
      <c r="H96" s="1195"/>
      <c r="I96" s="1195"/>
      <c r="J96" s="1195"/>
      <c r="K96" s="1195"/>
      <c r="L96" s="1195"/>
      <c r="M96" s="1196"/>
      <c r="O96" s="1194"/>
      <c r="P96" s="1195"/>
      <c r="Q96" s="1195"/>
      <c r="R96" s="1195"/>
      <c r="S96" s="1195"/>
      <c r="T96" s="1195"/>
      <c r="U96" s="1195"/>
      <c r="V96" s="1195"/>
      <c r="W96" s="1195"/>
      <c r="X96" s="1195"/>
      <c r="Y96" s="1195"/>
      <c r="Z96" s="1196"/>
      <c r="AB96" s="125"/>
    </row>
    <row r="97" spans="2:28" x14ac:dyDescent="0.4">
      <c r="B97" s="1194"/>
      <c r="C97" s="1195"/>
      <c r="D97" s="1195"/>
      <c r="E97" s="1195"/>
      <c r="F97" s="1195"/>
      <c r="G97" s="1195"/>
      <c r="H97" s="1195"/>
      <c r="I97" s="1195"/>
      <c r="J97" s="1195"/>
      <c r="K97" s="1195"/>
      <c r="L97" s="1195"/>
      <c r="M97" s="1196"/>
      <c r="O97" s="1194"/>
      <c r="P97" s="1195"/>
      <c r="Q97" s="1195"/>
      <c r="R97" s="1195"/>
      <c r="S97" s="1195"/>
      <c r="T97" s="1195"/>
      <c r="U97" s="1195"/>
      <c r="V97" s="1195"/>
      <c r="W97" s="1195"/>
      <c r="X97" s="1195"/>
      <c r="Y97" s="1195"/>
      <c r="Z97" s="1196"/>
      <c r="AB97" s="125"/>
    </row>
    <row r="98" spans="2:28" x14ac:dyDescent="0.4">
      <c r="B98" s="1194"/>
      <c r="C98" s="1195"/>
      <c r="D98" s="1195"/>
      <c r="E98" s="1195"/>
      <c r="F98" s="1195"/>
      <c r="G98" s="1195"/>
      <c r="H98" s="1195"/>
      <c r="I98" s="1195"/>
      <c r="J98" s="1195"/>
      <c r="K98" s="1195"/>
      <c r="L98" s="1195"/>
      <c r="M98" s="1196"/>
      <c r="O98" s="1194"/>
      <c r="P98" s="1195"/>
      <c r="Q98" s="1195"/>
      <c r="R98" s="1195"/>
      <c r="S98" s="1195"/>
      <c r="T98" s="1195"/>
      <c r="U98" s="1195"/>
      <c r="V98" s="1195"/>
      <c r="W98" s="1195"/>
      <c r="X98" s="1195"/>
      <c r="Y98" s="1195"/>
      <c r="Z98" s="1196"/>
      <c r="AB98" s="125"/>
    </row>
    <row r="99" spans="2:28" x14ac:dyDescent="0.4">
      <c r="B99" s="1194"/>
      <c r="C99" s="1195"/>
      <c r="D99" s="1195"/>
      <c r="E99" s="1195"/>
      <c r="F99" s="1195"/>
      <c r="G99" s="1195"/>
      <c r="H99" s="1195"/>
      <c r="I99" s="1195"/>
      <c r="J99" s="1195"/>
      <c r="K99" s="1195"/>
      <c r="L99" s="1195"/>
      <c r="M99" s="1196"/>
      <c r="O99" s="1194"/>
      <c r="P99" s="1195"/>
      <c r="Q99" s="1195"/>
      <c r="R99" s="1195"/>
      <c r="S99" s="1195"/>
      <c r="T99" s="1195"/>
      <c r="U99" s="1195"/>
      <c r="V99" s="1195"/>
      <c r="W99" s="1195"/>
      <c r="X99" s="1195"/>
      <c r="Y99" s="1195"/>
      <c r="Z99" s="1196"/>
      <c r="AB99" s="125"/>
    </row>
    <row r="100" spans="2:28" x14ac:dyDescent="0.4">
      <c r="B100" s="1194"/>
      <c r="C100" s="1195"/>
      <c r="D100" s="1195"/>
      <c r="E100" s="1195"/>
      <c r="F100" s="1195"/>
      <c r="G100" s="1195"/>
      <c r="H100" s="1195"/>
      <c r="I100" s="1195"/>
      <c r="J100" s="1195"/>
      <c r="K100" s="1195"/>
      <c r="L100" s="1195"/>
      <c r="M100" s="1196"/>
      <c r="O100" s="1194"/>
      <c r="P100" s="1195"/>
      <c r="Q100" s="1195"/>
      <c r="R100" s="1195"/>
      <c r="S100" s="1195"/>
      <c r="T100" s="1195"/>
      <c r="U100" s="1195"/>
      <c r="V100" s="1195"/>
      <c r="W100" s="1195"/>
      <c r="X100" s="1195"/>
      <c r="Y100" s="1195"/>
      <c r="Z100" s="1196"/>
      <c r="AB100" s="125"/>
    </row>
    <row r="101" spans="2:28" x14ac:dyDescent="0.4">
      <c r="B101" s="1194"/>
      <c r="C101" s="1195"/>
      <c r="D101" s="1195"/>
      <c r="E101" s="1195"/>
      <c r="F101" s="1195"/>
      <c r="G101" s="1195"/>
      <c r="H101" s="1195"/>
      <c r="I101" s="1195"/>
      <c r="J101" s="1195"/>
      <c r="K101" s="1195"/>
      <c r="L101" s="1195"/>
      <c r="M101" s="1196"/>
      <c r="O101" s="1194"/>
      <c r="P101" s="1195"/>
      <c r="Q101" s="1195"/>
      <c r="R101" s="1195"/>
      <c r="S101" s="1195"/>
      <c r="T101" s="1195"/>
      <c r="U101" s="1195"/>
      <c r="V101" s="1195"/>
      <c r="W101" s="1195"/>
      <c r="X101" s="1195"/>
      <c r="Y101" s="1195"/>
      <c r="Z101" s="1196"/>
      <c r="AB101" s="125"/>
    </row>
    <row r="102" spans="2:28" x14ac:dyDescent="0.4">
      <c r="B102" s="1194"/>
      <c r="C102" s="1195"/>
      <c r="D102" s="1195"/>
      <c r="E102" s="1195"/>
      <c r="F102" s="1195"/>
      <c r="G102" s="1195"/>
      <c r="H102" s="1195"/>
      <c r="I102" s="1195"/>
      <c r="J102" s="1195"/>
      <c r="K102" s="1195"/>
      <c r="L102" s="1195"/>
      <c r="M102" s="1196"/>
      <c r="O102" s="1194"/>
      <c r="P102" s="1195"/>
      <c r="Q102" s="1195"/>
      <c r="R102" s="1195"/>
      <c r="S102" s="1195"/>
      <c r="T102" s="1195"/>
      <c r="U102" s="1195"/>
      <c r="V102" s="1195"/>
      <c r="W102" s="1195"/>
      <c r="X102" s="1195"/>
      <c r="Y102" s="1195"/>
      <c r="Z102" s="1196"/>
      <c r="AB102" s="125"/>
    </row>
    <row r="103" spans="2:28" x14ac:dyDescent="0.4">
      <c r="B103" s="1194"/>
      <c r="C103" s="1195"/>
      <c r="D103" s="1195"/>
      <c r="E103" s="1195"/>
      <c r="F103" s="1195"/>
      <c r="G103" s="1195"/>
      <c r="H103" s="1195"/>
      <c r="I103" s="1195"/>
      <c r="J103" s="1195"/>
      <c r="K103" s="1195"/>
      <c r="L103" s="1195"/>
      <c r="M103" s="1196"/>
      <c r="O103" s="1194"/>
      <c r="P103" s="1195"/>
      <c r="Q103" s="1195"/>
      <c r="R103" s="1195"/>
      <c r="S103" s="1195"/>
      <c r="T103" s="1195"/>
      <c r="U103" s="1195"/>
      <c r="V103" s="1195"/>
      <c r="W103" s="1195"/>
      <c r="X103" s="1195"/>
      <c r="Y103" s="1195"/>
      <c r="Z103" s="1196"/>
      <c r="AB103" s="125"/>
    </row>
    <row r="104" spans="2:28" x14ac:dyDescent="0.4">
      <c r="B104" s="1194"/>
      <c r="C104" s="1195"/>
      <c r="D104" s="1195"/>
      <c r="E104" s="1195"/>
      <c r="F104" s="1195"/>
      <c r="G104" s="1195"/>
      <c r="H104" s="1195"/>
      <c r="I104" s="1195"/>
      <c r="J104" s="1195"/>
      <c r="K104" s="1195"/>
      <c r="L104" s="1195"/>
      <c r="M104" s="1196"/>
      <c r="O104" s="1194"/>
      <c r="P104" s="1195"/>
      <c r="Q104" s="1195"/>
      <c r="R104" s="1195"/>
      <c r="S104" s="1195"/>
      <c r="T104" s="1195"/>
      <c r="U104" s="1195"/>
      <c r="V104" s="1195"/>
      <c r="W104" s="1195"/>
      <c r="X104" s="1195"/>
      <c r="Y104" s="1195"/>
      <c r="Z104" s="1196"/>
      <c r="AB104" s="125"/>
    </row>
    <row r="105" spans="2:28" x14ac:dyDescent="0.4">
      <c r="B105" s="1194"/>
      <c r="C105" s="1195"/>
      <c r="D105" s="1195"/>
      <c r="E105" s="1195"/>
      <c r="F105" s="1195"/>
      <c r="G105" s="1195"/>
      <c r="H105" s="1195"/>
      <c r="I105" s="1195"/>
      <c r="J105" s="1195"/>
      <c r="K105" s="1195"/>
      <c r="L105" s="1195"/>
      <c r="M105" s="1196"/>
      <c r="O105" s="1194"/>
      <c r="P105" s="1195"/>
      <c r="Q105" s="1195"/>
      <c r="R105" s="1195"/>
      <c r="S105" s="1195"/>
      <c r="T105" s="1195"/>
      <c r="U105" s="1195"/>
      <c r="V105" s="1195"/>
      <c r="W105" s="1195"/>
      <c r="X105" s="1195"/>
      <c r="Y105" s="1195"/>
      <c r="Z105" s="1196"/>
      <c r="AB105" s="125"/>
    </row>
    <row r="106" spans="2:28" x14ac:dyDescent="0.4">
      <c r="B106" s="1194"/>
      <c r="C106" s="1195"/>
      <c r="D106" s="1195"/>
      <c r="E106" s="1195"/>
      <c r="F106" s="1195"/>
      <c r="G106" s="1195"/>
      <c r="H106" s="1195"/>
      <c r="I106" s="1195"/>
      <c r="J106" s="1195"/>
      <c r="K106" s="1195"/>
      <c r="L106" s="1195"/>
      <c r="M106" s="1196"/>
      <c r="O106" s="1194"/>
      <c r="P106" s="1195"/>
      <c r="Q106" s="1195"/>
      <c r="R106" s="1195"/>
      <c r="S106" s="1195"/>
      <c r="T106" s="1195"/>
      <c r="U106" s="1195"/>
      <c r="V106" s="1195"/>
      <c r="W106" s="1195"/>
      <c r="X106" s="1195"/>
      <c r="Y106" s="1195"/>
      <c r="Z106" s="1196"/>
      <c r="AB106" s="125"/>
    </row>
    <row r="107" spans="2:28" x14ac:dyDescent="0.4">
      <c r="B107" s="1194"/>
      <c r="C107" s="1195"/>
      <c r="D107" s="1195"/>
      <c r="E107" s="1195"/>
      <c r="F107" s="1195"/>
      <c r="G107" s="1195"/>
      <c r="H107" s="1195"/>
      <c r="I107" s="1195"/>
      <c r="J107" s="1195"/>
      <c r="K107" s="1195"/>
      <c r="L107" s="1195"/>
      <c r="M107" s="1196"/>
      <c r="O107" s="1194"/>
      <c r="P107" s="1195"/>
      <c r="Q107" s="1195"/>
      <c r="R107" s="1195"/>
      <c r="S107" s="1195"/>
      <c r="T107" s="1195"/>
      <c r="U107" s="1195"/>
      <c r="V107" s="1195"/>
      <c r="W107" s="1195"/>
      <c r="X107" s="1195"/>
      <c r="Y107" s="1195"/>
      <c r="Z107" s="1196"/>
      <c r="AB107" s="125"/>
    </row>
    <row r="108" spans="2:28" x14ac:dyDescent="0.4">
      <c r="B108" s="1194"/>
      <c r="C108" s="1195"/>
      <c r="D108" s="1195"/>
      <c r="E108" s="1195"/>
      <c r="F108" s="1195"/>
      <c r="G108" s="1195"/>
      <c r="H108" s="1195"/>
      <c r="I108" s="1195"/>
      <c r="J108" s="1195"/>
      <c r="K108" s="1195"/>
      <c r="L108" s="1195"/>
      <c r="M108" s="1196"/>
      <c r="O108" s="1194"/>
      <c r="P108" s="1195"/>
      <c r="Q108" s="1195"/>
      <c r="R108" s="1195"/>
      <c r="S108" s="1195"/>
      <c r="T108" s="1195"/>
      <c r="U108" s="1195"/>
      <c r="V108" s="1195"/>
      <c r="W108" s="1195"/>
      <c r="X108" s="1195"/>
      <c r="Y108" s="1195"/>
      <c r="Z108" s="1196"/>
      <c r="AB108" s="125"/>
    </row>
    <row r="109" spans="2:28" x14ac:dyDescent="0.4">
      <c r="B109" s="1194"/>
      <c r="C109" s="1195"/>
      <c r="D109" s="1195"/>
      <c r="E109" s="1195"/>
      <c r="F109" s="1195"/>
      <c r="G109" s="1195"/>
      <c r="H109" s="1195"/>
      <c r="I109" s="1195"/>
      <c r="J109" s="1195"/>
      <c r="K109" s="1195"/>
      <c r="L109" s="1195"/>
      <c r="M109" s="1196"/>
      <c r="O109" s="1194"/>
      <c r="P109" s="1195"/>
      <c r="Q109" s="1195"/>
      <c r="R109" s="1195"/>
      <c r="S109" s="1195"/>
      <c r="T109" s="1195"/>
      <c r="U109" s="1195"/>
      <c r="V109" s="1195"/>
      <c r="W109" s="1195"/>
      <c r="X109" s="1195"/>
      <c r="Y109" s="1195"/>
      <c r="Z109" s="1196"/>
      <c r="AB109" s="125"/>
    </row>
    <row r="110" spans="2:28" x14ac:dyDescent="0.4">
      <c r="B110" s="1194"/>
      <c r="C110" s="1195"/>
      <c r="D110" s="1195"/>
      <c r="E110" s="1195"/>
      <c r="F110" s="1195"/>
      <c r="G110" s="1195"/>
      <c r="H110" s="1195"/>
      <c r="I110" s="1195"/>
      <c r="J110" s="1195"/>
      <c r="K110" s="1195"/>
      <c r="L110" s="1195"/>
      <c r="M110" s="1196"/>
      <c r="O110" s="1194"/>
      <c r="P110" s="1195"/>
      <c r="Q110" s="1195"/>
      <c r="R110" s="1195"/>
      <c r="S110" s="1195"/>
      <c r="T110" s="1195"/>
      <c r="U110" s="1195"/>
      <c r="V110" s="1195"/>
      <c r="W110" s="1195"/>
      <c r="X110" s="1195"/>
      <c r="Y110" s="1195"/>
      <c r="Z110" s="1196"/>
      <c r="AB110" s="125"/>
    </row>
    <row r="111" spans="2:28" x14ac:dyDescent="0.4">
      <c r="B111" s="1194"/>
      <c r="C111" s="1195"/>
      <c r="D111" s="1195"/>
      <c r="E111" s="1195"/>
      <c r="F111" s="1195"/>
      <c r="G111" s="1195"/>
      <c r="H111" s="1195"/>
      <c r="I111" s="1195"/>
      <c r="J111" s="1195"/>
      <c r="K111" s="1195"/>
      <c r="L111" s="1195"/>
      <c r="M111" s="1196"/>
      <c r="O111" s="1194"/>
      <c r="P111" s="1195"/>
      <c r="Q111" s="1195"/>
      <c r="R111" s="1195"/>
      <c r="S111" s="1195"/>
      <c r="T111" s="1195"/>
      <c r="U111" s="1195"/>
      <c r="V111" s="1195"/>
      <c r="W111" s="1195"/>
      <c r="X111" s="1195"/>
      <c r="Y111" s="1195"/>
      <c r="Z111" s="1196"/>
      <c r="AB111" s="125"/>
    </row>
    <row r="112" spans="2:28" x14ac:dyDescent="0.4">
      <c r="B112" s="1194"/>
      <c r="C112" s="1195"/>
      <c r="D112" s="1195"/>
      <c r="E112" s="1195"/>
      <c r="F112" s="1195"/>
      <c r="G112" s="1195"/>
      <c r="H112" s="1195"/>
      <c r="I112" s="1195"/>
      <c r="J112" s="1195"/>
      <c r="K112" s="1195"/>
      <c r="L112" s="1195"/>
      <c r="M112" s="1196"/>
      <c r="O112" s="1194"/>
      <c r="P112" s="1195"/>
      <c r="Q112" s="1195"/>
      <c r="R112" s="1195"/>
      <c r="S112" s="1195"/>
      <c r="T112" s="1195"/>
      <c r="U112" s="1195"/>
      <c r="V112" s="1195"/>
      <c r="W112" s="1195"/>
      <c r="X112" s="1195"/>
      <c r="Y112" s="1195"/>
      <c r="Z112" s="1196"/>
      <c r="AB112" s="125"/>
    </row>
    <row r="113" spans="2:28" x14ac:dyDescent="0.4">
      <c r="B113" s="1194"/>
      <c r="C113" s="1195"/>
      <c r="D113" s="1195"/>
      <c r="E113" s="1195"/>
      <c r="F113" s="1195"/>
      <c r="G113" s="1195"/>
      <c r="H113" s="1195"/>
      <c r="I113" s="1195"/>
      <c r="J113" s="1195"/>
      <c r="K113" s="1195"/>
      <c r="L113" s="1195"/>
      <c r="M113" s="1196"/>
      <c r="O113" s="1194"/>
      <c r="P113" s="1195"/>
      <c r="Q113" s="1195"/>
      <c r="R113" s="1195"/>
      <c r="S113" s="1195"/>
      <c r="T113" s="1195"/>
      <c r="U113" s="1195"/>
      <c r="V113" s="1195"/>
      <c r="W113" s="1195"/>
      <c r="X113" s="1195"/>
      <c r="Y113" s="1195"/>
      <c r="Z113" s="1196"/>
      <c r="AB113" s="125"/>
    </row>
    <row r="114" spans="2:28" x14ac:dyDescent="0.4">
      <c r="B114" s="1194"/>
      <c r="C114" s="1195"/>
      <c r="D114" s="1195"/>
      <c r="E114" s="1195"/>
      <c r="F114" s="1195"/>
      <c r="G114" s="1195"/>
      <c r="H114" s="1195"/>
      <c r="I114" s="1195"/>
      <c r="J114" s="1195"/>
      <c r="K114" s="1195"/>
      <c r="L114" s="1195"/>
      <c r="M114" s="1196"/>
      <c r="O114" s="1194"/>
      <c r="P114" s="1195"/>
      <c r="Q114" s="1195"/>
      <c r="R114" s="1195"/>
      <c r="S114" s="1195"/>
      <c r="T114" s="1195"/>
      <c r="U114" s="1195"/>
      <c r="V114" s="1195"/>
      <c r="W114" s="1195"/>
      <c r="X114" s="1195"/>
      <c r="Y114" s="1195"/>
      <c r="Z114" s="1196"/>
      <c r="AB114" s="125"/>
    </row>
    <row r="115" spans="2:28" x14ac:dyDescent="0.4">
      <c r="B115" s="1194"/>
      <c r="C115" s="1195"/>
      <c r="D115" s="1195"/>
      <c r="E115" s="1195"/>
      <c r="F115" s="1195"/>
      <c r="G115" s="1195"/>
      <c r="H115" s="1195"/>
      <c r="I115" s="1195"/>
      <c r="J115" s="1195"/>
      <c r="K115" s="1195"/>
      <c r="L115" s="1195"/>
      <c r="M115" s="1196"/>
      <c r="O115" s="1194"/>
      <c r="P115" s="1195"/>
      <c r="Q115" s="1195"/>
      <c r="R115" s="1195"/>
      <c r="S115" s="1195"/>
      <c r="T115" s="1195"/>
      <c r="U115" s="1195"/>
      <c r="V115" s="1195"/>
      <c r="W115" s="1195"/>
      <c r="X115" s="1195"/>
      <c r="Y115" s="1195"/>
      <c r="Z115" s="1196"/>
      <c r="AB115" s="125"/>
    </row>
    <row r="116" spans="2:28" x14ac:dyDescent="0.4">
      <c r="B116" s="1194"/>
      <c r="C116" s="1195"/>
      <c r="D116" s="1195"/>
      <c r="E116" s="1195"/>
      <c r="F116" s="1195"/>
      <c r="G116" s="1195"/>
      <c r="H116" s="1195"/>
      <c r="I116" s="1195"/>
      <c r="J116" s="1195"/>
      <c r="K116" s="1195"/>
      <c r="L116" s="1195"/>
      <c r="M116" s="1196"/>
      <c r="O116" s="1194"/>
      <c r="P116" s="1195"/>
      <c r="Q116" s="1195"/>
      <c r="R116" s="1195"/>
      <c r="S116" s="1195"/>
      <c r="T116" s="1195"/>
      <c r="U116" s="1195"/>
      <c r="V116" s="1195"/>
      <c r="W116" s="1195"/>
      <c r="X116" s="1195"/>
      <c r="Y116" s="1195"/>
      <c r="Z116" s="1196"/>
      <c r="AB116" s="125"/>
    </row>
    <row r="117" spans="2:28" x14ac:dyDescent="0.4">
      <c r="B117" s="1194"/>
      <c r="C117" s="1195"/>
      <c r="D117" s="1195"/>
      <c r="E117" s="1195"/>
      <c r="F117" s="1195"/>
      <c r="G117" s="1195"/>
      <c r="H117" s="1195"/>
      <c r="I117" s="1195"/>
      <c r="J117" s="1195"/>
      <c r="K117" s="1195"/>
      <c r="L117" s="1195"/>
      <c r="M117" s="1196"/>
      <c r="O117" s="1194"/>
      <c r="P117" s="1195"/>
      <c r="Q117" s="1195"/>
      <c r="R117" s="1195"/>
      <c r="S117" s="1195"/>
      <c r="T117" s="1195"/>
      <c r="U117" s="1195"/>
      <c r="V117" s="1195"/>
      <c r="W117" s="1195"/>
      <c r="X117" s="1195"/>
      <c r="Y117" s="1195"/>
      <c r="Z117" s="1196"/>
      <c r="AB117" s="125"/>
    </row>
    <row r="118" spans="2:28" x14ac:dyDescent="0.4">
      <c r="B118" s="1194"/>
      <c r="C118" s="1195"/>
      <c r="D118" s="1195"/>
      <c r="E118" s="1195"/>
      <c r="F118" s="1195"/>
      <c r="G118" s="1195"/>
      <c r="H118" s="1195"/>
      <c r="I118" s="1195"/>
      <c r="J118" s="1195"/>
      <c r="K118" s="1195"/>
      <c r="L118" s="1195"/>
      <c r="M118" s="1196"/>
      <c r="O118" s="1194"/>
      <c r="P118" s="1195"/>
      <c r="Q118" s="1195"/>
      <c r="R118" s="1195"/>
      <c r="S118" s="1195"/>
      <c r="T118" s="1195"/>
      <c r="U118" s="1195"/>
      <c r="V118" s="1195"/>
      <c r="W118" s="1195"/>
      <c r="X118" s="1195"/>
      <c r="Y118" s="1195"/>
      <c r="Z118" s="1196"/>
      <c r="AB118" s="125"/>
    </row>
    <row r="119" spans="2:28" x14ac:dyDescent="0.4">
      <c r="B119" s="1194"/>
      <c r="C119" s="1195"/>
      <c r="D119" s="1195"/>
      <c r="E119" s="1195"/>
      <c r="F119" s="1195"/>
      <c r="G119" s="1195"/>
      <c r="H119" s="1195"/>
      <c r="I119" s="1195"/>
      <c r="J119" s="1195"/>
      <c r="K119" s="1195"/>
      <c r="L119" s="1195"/>
      <c r="M119" s="1196"/>
      <c r="O119" s="1194"/>
      <c r="P119" s="1195"/>
      <c r="Q119" s="1195"/>
      <c r="R119" s="1195"/>
      <c r="S119" s="1195"/>
      <c r="T119" s="1195"/>
      <c r="U119" s="1195"/>
      <c r="V119" s="1195"/>
      <c r="W119" s="1195"/>
      <c r="X119" s="1195"/>
      <c r="Y119" s="1195"/>
      <c r="Z119" s="1196"/>
      <c r="AB119" s="125"/>
    </row>
    <row r="120" spans="2:28" x14ac:dyDescent="0.4">
      <c r="B120" s="1194"/>
      <c r="C120" s="1195"/>
      <c r="D120" s="1195"/>
      <c r="E120" s="1195"/>
      <c r="F120" s="1195"/>
      <c r="G120" s="1195"/>
      <c r="H120" s="1195"/>
      <c r="I120" s="1195"/>
      <c r="J120" s="1195"/>
      <c r="K120" s="1195"/>
      <c r="L120" s="1195"/>
      <c r="M120" s="1196"/>
      <c r="O120" s="1194"/>
      <c r="P120" s="1195"/>
      <c r="Q120" s="1195"/>
      <c r="R120" s="1195"/>
      <c r="S120" s="1195"/>
      <c r="T120" s="1195"/>
      <c r="U120" s="1195"/>
      <c r="V120" s="1195"/>
      <c r="W120" s="1195"/>
      <c r="X120" s="1195"/>
      <c r="Y120" s="1195"/>
      <c r="Z120" s="1196"/>
      <c r="AB120" s="125"/>
    </row>
    <row r="121" spans="2:28" x14ac:dyDescent="0.4">
      <c r="B121" s="1194"/>
      <c r="C121" s="1195"/>
      <c r="D121" s="1195"/>
      <c r="E121" s="1195"/>
      <c r="F121" s="1195"/>
      <c r="G121" s="1195"/>
      <c r="H121" s="1195"/>
      <c r="I121" s="1195"/>
      <c r="J121" s="1195"/>
      <c r="K121" s="1195"/>
      <c r="L121" s="1195"/>
      <c r="M121" s="1196"/>
      <c r="O121" s="1194"/>
      <c r="P121" s="1195"/>
      <c r="Q121" s="1195"/>
      <c r="R121" s="1195"/>
      <c r="S121" s="1195"/>
      <c r="T121" s="1195"/>
      <c r="U121" s="1195"/>
      <c r="V121" s="1195"/>
      <c r="W121" s="1195"/>
      <c r="X121" s="1195"/>
      <c r="Y121" s="1195"/>
      <c r="Z121" s="1196"/>
      <c r="AB121" s="125"/>
    </row>
    <row r="122" spans="2:28" x14ac:dyDescent="0.4">
      <c r="B122" s="1194"/>
      <c r="C122" s="1195"/>
      <c r="D122" s="1195"/>
      <c r="E122" s="1195"/>
      <c r="F122" s="1195"/>
      <c r="G122" s="1195"/>
      <c r="H122" s="1195"/>
      <c r="I122" s="1195"/>
      <c r="J122" s="1195"/>
      <c r="K122" s="1195"/>
      <c r="L122" s="1195"/>
      <c r="M122" s="1196"/>
      <c r="O122" s="1194"/>
      <c r="P122" s="1195"/>
      <c r="Q122" s="1195"/>
      <c r="R122" s="1195"/>
      <c r="S122" s="1195"/>
      <c r="T122" s="1195"/>
      <c r="U122" s="1195"/>
      <c r="V122" s="1195"/>
      <c r="W122" s="1195"/>
      <c r="X122" s="1195"/>
      <c r="Y122" s="1195"/>
      <c r="Z122" s="1196"/>
      <c r="AB122" s="125"/>
    </row>
    <row r="123" spans="2:28" x14ac:dyDescent="0.4">
      <c r="B123" s="1194"/>
      <c r="C123" s="1195"/>
      <c r="D123" s="1195"/>
      <c r="E123" s="1195"/>
      <c r="F123" s="1195"/>
      <c r="G123" s="1195"/>
      <c r="H123" s="1195"/>
      <c r="I123" s="1195"/>
      <c r="J123" s="1195"/>
      <c r="K123" s="1195"/>
      <c r="L123" s="1195"/>
      <c r="M123" s="1196"/>
      <c r="O123" s="1194"/>
      <c r="P123" s="1195"/>
      <c r="Q123" s="1195"/>
      <c r="R123" s="1195"/>
      <c r="S123" s="1195"/>
      <c r="T123" s="1195"/>
      <c r="U123" s="1195"/>
      <c r="V123" s="1195"/>
      <c r="W123" s="1195"/>
      <c r="X123" s="1195"/>
      <c r="Y123" s="1195"/>
      <c r="Z123" s="1196"/>
      <c r="AB123" s="125"/>
    </row>
    <row r="124" spans="2:28" x14ac:dyDescent="0.4">
      <c r="B124" s="1194"/>
      <c r="C124" s="1195"/>
      <c r="D124" s="1195"/>
      <c r="E124" s="1195"/>
      <c r="F124" s="1195"/>
      <c r="G124" s="1195"/>
      <c r="H124" s="1195"/>
      <c r="I124" s="1195"/>
      <c r="J124" s="1195"/>
      <c r="K124" s="1195"/>
      <c r="L124" s="1195"/>
      <c r="M124" s="1196"/>
      <c r="O124" s="1194"/>
      <c r="P124" s="1195"/>
      <c r="Q124" s="1195"/>
      <c r="R124" s="1195"/>
      <c r="S124" s="1195"/>
      <c r="T124" s="1195"/>
      <c r="U124" s="1195"/>
      <c r="V124" s="1195"/>
      <c r="W124" s="1195"/>
      <c r="X124" s="1195"/>
      <c r="Y124" s="1195"/>
      <c r="Z124" s="1196"/>
      <c r="AB124" s="125"/>
    </row>
    <row r="125" spans="2:28" x14ac:dyDescent="0.4">
      <c r="B125" s="1194"/>
      <c r="C125" s="1195"/>
      <c r="D125" s="1195"/>
      <c r="E125" s="1195"/>
      <c r="F125" s="1195"/>
      <c r="G125" s="1195"/>
      <c r="H125" s="1195"/>
      <c r="I125" s="1195"/>
      <c r="J125" s="1195"/>
      <c r="K125" s="1195"/>
      <c r="L125" s="1195"/>
      <c r="M125" s="1196"/>
      <c r="O125" s="1194"/>
      <c r="P125" s="1195"/>
      <c r="Q125" s="1195"/>
      <c r="R125" s="1195"/>
      <c r="S125" s="1195"/>
      <c r="T125" s="1195"/>
      <c r="U125" s="1195"/>
      <c r="V125" s="1195"/>
      <c r="W125" s="1195"/>
      <c r="X125" s="1195"/>
      <c r="Y125" s="1195"/>
      <c r="Z125" s="1196"/>
      <c r="AB125" s="125"/>
    </row>
    <row r="126" spans="2:28" x14ac:dyDescent="0.4">
      <c r="B126" s="1194"/>
      <c r="C126" s="1195"/>
      <c r="D126" s="1195"/>
      <c r="E126" s="1195"/>
      <c r="F126" s="1195"/>
      <c r="G126" s="1195"/>
      <c r="H126" s="1195"/>
      <c r="I126" s="1195"/>
      <c r="J126" s="1195"/>
      <c r="K126" s="1195"/>
      <c r="L126" s="1195"/>
      <c r="M126" s="1196"/>
      <c r="O126" s="1194"/>
      <c r="P126" s="1195"/>
      <c r="Q126" s="1195"/>
      <c r="R126" s="1195"/>
      <c r="S126" s="1195"/>
      <c r="T126" s="1195"/>
      <c r="U126" s="1195"/>
      <c r="V126" s="1195"/>
      <c r="W126" s="1195"/>
      <c r="X126" s="1195"/>
      <c r="Y126" s="1195"/>
      <c r="Z126" s="1196"/>
      <c r="AB126" s="125"/>
    </row>
    <row r="127" spans="2:28" x14ac:dyDescent="0.4">
      <c r="B127" s="1194"/>
      <c r="C127" s="1195"/>
      <c r="D127" s="1195"/>
      <c r="E127" s="1195"/>
      <c r="F127" s="1195"/>
      <c r="G127" s="1195"/>
      <c r="H127" s="1195"/>
      <c r="I127" s="1195"/>
      <c r="J127" s="1195"/>
      <c r="K127" s="1195"/>
      <c r="L127" s="1195"/>
      <c r="M127" s="1196"/>
      <c r="O127" s="1194"/>
      <c r="P127" s="1195"/>
      <c r="Q127" s="1195"/>
      <c r="R127" s="1195"/>
      <c r="S127" s="1195"/>
      <c r="T127" s="1195"/>
      <c r="U127" s="1195"/>
      <c r="V127" s="1195"/>
      <c r="W127" s="1195"/>
      <c r="X127" s="1195"/>
      <c r="Y127" s="1195"/>
      <c r="Z127" s="1196"/>
      <c r="AB127" s="125"/>
    </row>
    <row r="128" spans="2:28" x14ac:dyDescent="0.4">
      <c r="B128" s="1194"/>
      <c r="C128" s="1195"/>
      <c r="D128" s="1195"/>
      <c r="E128" s="1195"/>
      <c r="F128" s="1195"/>
      <c r="G128" s="1195"/>
      <c r="H128" s="1195"/>
      <c r="I128" s="1195"/>
      <c r="J128" s="1195"/>
      <c r="K128" s="1195"/>
      <c r="L128" s="1195"/>
      <c r="M128" s="1196"/>
      <c r="O128" s="1194"/>
      <c r="P128" s="1195"/>
      <c r="Q128" s="1195"/>
      <c r="R128" s="1195"/>
      <c r="S128" s="1195"/>
      <c r="T128" s="1195"/>
      <c r="U128" s="1195"/>
      <c r="V128" s="1195"/>
      <c r="W128" s="1195"/>
      <c r="X128" s="1195"/>
      <c r="Y128" s="1195"/>
      <c r="Z128" s="1196"/>
      <c r="AB128" s="125"/>
    </row>
    <row r="129" spans="2:28" x14ac:dyDescent="0.4">
      <c r="B129" s="1194"/>
      <c r="C129" s="1195"/>
      <c r="D129" s="1195"/>
      <c r="E129" s="1195"/>
      <c r="F129" s="1195"/>
      <c r="G129" s="1195"/>
      <c r="H129" s="1195"/>
      <c r="I129" s="1195"/>
      <c r="J129" s="1195"/>
      <c r="K129" s="1195"/>
      <c r="L129" s="1195"/>
      <c r="M129" s="1196"/>
      <c r="O129" s="1194"/>
      <c r="P129" s="1195"/>
      <c r="Q129" s="1195"/>
      <c r="R129" s="1195"/>
      <c r="S129" s="1195"/>
      <c r="T129" s="1195"/>
      <c r="U129" s="1195"/>
      <c r="V129" s="1195"/>
      <c r="W129" s="1195"/>
      <c r="X129" s="1195"/>
      <c r="Y129" s="1195"/>
      <c r="Z129" s="1196"/>
      <c r="AB129" s="125"/>
    </row>
    <row r="130" spans="2:28" x14ac:dyDescent="0.4">
      <c r="B130" s="1194"/>
      <c r="C130" s="1195"/>
      <c r="D130" s="1195"/>
      <c r="E130" s="1195"/>
      <c r="F130" s="1195"/>
      <c r="G130" s="1195"/>
      <c r="H130" s="1195"/>
      <c r="I130" s="1195"/>
      <c r="J130" s="1195"/>
      <c r="K130" s="1195"/>
      <c r="L130" s="1195"/>
      <c r="M130" s="1196"/>
      <c r="O130" s="1194"/>
      <c r="P130" s="1195"/>
      <c r="Q130" s="1195"/>
      <c r="R130" s="1195"/>
      <c r="S130" s="1195"/>
      <c r="T130" s="1195"/>
      <c r="U130" s="1195"/>
      <c r="V130" s="1195"/>
      <c r="W130" s="1195"/>
      <c r="X130" s="1195"/>
      <c r="Y130" s="1195"/>
      <c r="Z130" s="1196"/>
      <c r="AB130" s="125"/>
    </row>
    <row r="131" spans="2:28" x14ac:dyDescent="0.4">
      <c r="B131" s="1194"/>
      <c r="C131" s="1195"/>
      <c r="D131" s="1195"/>
      <c r="E131" s="1195"/>
      <c r="F131" s="1195"/>
      <c r="G131" s="1195"/>
      <c r="H131" s="1195"/>
      <c r="I131" s="1195"/>
      <c r="J131" s="1195"/>
      <c r="K131" s="1195"/>
      <c r="L131" s="1195"/>
      <c r="M131" s="1196"/>
      <c r="O131" s="1194"/>
      <c r="P131" s="1195"/>
      <c r="Q131" s="1195"/>
      <c r="R131" s="1195"/>
      <c r="S131" s="1195"/>
      <c r="T131" s="1195"/>
      <c r="U131" s="1195"/>
      <c r="V131" s="1195"/>
      <c r="W131" s="1195"/>
      <c r="X131" s="1195"/>
      <c r="Y131" s="1195"/>
      <c r="Z131" s="1196"/>
      <c r="AB131" s="125"/>
    </row>
    <row r="132" spans="2:28" x14ac:dyDescent="0.4">
      <c r="B132" s="1194"/>
      <c r="C132" s="1195"/>
      <c r="D132" s="1195"/>
      <c r="E132" s="1195"/>
      <c r="F132" s="1195"/>
      <c r="G132" s="1195"/>
      <c r="H132" s="1195"/>
      <c r="I132" s="1195"/>
      <c r="J132" s="1195"/>
      <c r="K132" s="1195"/>
      <c r="L132" s="1195"/>
      <c r="M132" s="1196"/>
      <c r="O132" s="1194"/>
      <c r="P132" s="1195"/>
      <c r="Q132" s="1195"/>
      <c r="R132" s="1195"/>
      <c r="S132" s="1195"/>
      <c r="T132" s="1195"/>
      <c r="U132" s="1195"/>
      <c r="V132" s="1195"/>
      <c r="W132" s="1195"/>
      <c r="X132" s="1195"/>
      <c r="Y132" s="1195"/>
      <c r="Z132" s="1196"/>
      <c r="AB132" s="125"/>
    </row>
    <row r="133" spans="2:28" x14ac:dyDescent="0.4">
      <c r="B133" s="1194"/>
      <c r="C133" s="1195"/>
      <c r="D133" s="1195"/>
      <c r="E133" s="1195"/>
      <c r="F133" s="1195"/>
      <c r="G133" s="1195"/>
      <c r="H133" s="1195"/>
      <c r="I133" s="1195"/>
      <c r="J133" s="1195"/>
      <c r="K133" s="1195"/>
      <c r="L133" s="1195"/>
      <c r="M133" s="1196"/>
      <c r="O133" s="1194"/>
      <c r="P133" s="1195"/>
      <c r="Q133" s="1195"/>
      <c r="R133" s="1195"/>
      <c r="S133" s="1195"/>
      <c r="T133" s="1195"/>
      <c r="U133" s="1195"/>
      <c r="V133" s="1195"/>
      <c r="W133" s="1195"/>
      <c r="X133" s="1195"/>
      <c r="Y133" s="1195"/>
      <c r="Z133" s="1196"/>
      <c r="AB133" s="125"/>
    </row>
    <row r="134" spans="2:28" ht="16" thickBot="1" x14ac:dyDescent="0.45">
      <c r="B134" s="1197"/>
      <c r="C134" s="1198"/>
      <c r="D134" s="1198"/>
      <c r="E134" s="1198"/>
      <c r="F134" s="1198"/>
      <c r="G134" s="1198"/>
      <c r="H134" s="1198"/>
      <c r="I134" s="1198"/>
      <c r="J134" s="1198"/>
      <c r="K134" s="1198"/>
      <c r="L134" s="1198"/>
      <c r="M134" s="1199"/>
      <c r="O134" s="1197"/>
      <c r="P134" s="1198"/>
      <c r="Q134" s="1198"/>
      <c r="R134" s="1198"/>
      <c r="S134" s="1198"/>
      <c r="T134" s="1198"/>
      <c r="U134" s="1198"/>
      <c r="V134" s="1198"/>
      <c r="W134" s="1198"/>
      <c r="X134" s="1198"/>
      <c r="Y134" s="1198"/>
      <c r="Z134" s="1199"/>
      <c r="AB134" s="125"/>
    </row>
    <row r="135" spans="2:28" ht="16" thickBot="1" x14ac:dyDescent="0.45">
      <c r="AB135" s="125"/>
    </row>
    <row r="136" spans="2:28" ht="16" thickBot="1" x14ac:dyDescent="0.45">
      <c r="B136" s="1200" t="s">
        <v>100</v>
      </c>
      <c r="C136" s="1201"/>
      <c r="D136" s="1201"/>
      <c r="E136" s="1201"/>
      <c r="F136" s="1201"/>
      <c r="G136" s="1201"/>
      <c r="H136" s="1201"/>
      <c r="I136" s="1201"/>
      <c r="J136" s="1201"/>
      <c r="K136" s="1201"/>
      <c r="L136" s="1201"/>
      <c r="M136" s="1202"/>
      <c r="O136" s="1200" t="s">
        <v>101</v>
      </c>
      <c r="P136" s="1201"/>
      <c r="Q136" s="1201"/>
      <c r="R136" s="1201"/>
      <c r="S136" s="1201"/>
      <c r="T136" s="1201"/>
      <c r="U136" s="1201"/>
      <c r="V136" s="1201"/>
      <c r="W136" s="1201"/>
      <c r="X136" s="1201"/>
      <c r="Y136" s="1201"/>
      <c r="Z136" s="1202"/>
      <c r="AB136" s="125"/>
    </row>
    <row r="137" spans="2:28" x14ac:dyDescent="0.4">
      <c r="B137" s="1191"/>
      <c r="C137" s="1192"/>
      <c r="D137" s="1192"/>
      <c r="E137" s="1192"/>
      <c r="F137" s="1192"/>
      <c r="G137" s="1192"/>
      <c r="H137" s="1192"/>
      <c r="I137" s="1192"/>
      <c r="J137" s="1192"/>
      <c r="K137" s="1192"/>
      <c r="L137" s="1192"/>
      <c r="M137" s="1193"/>
      <c r="O137" s="1191"/>
      <c r="P137" s="1192"/>
      <c r="Q137" s="1192"/>
      <c r="R137" s="1192"/>
      <c r="S137" s="1192"/>
      <c r="T137" s="1192"/>
      <c r="U137" s="1192"/>
      <c r="V137" s="1192"/>
      <c r="W137" s="1192"/>
      <c r="X137" s="1192"/>
      <c r="Y137" s="1192"/>
      <c r="Z137" s="1193"/>
      <c r="AB137" s="125"/>
    </row>
    <row r="138" spans="2:28" x14ac:dyDescent="0.4">
      <c r="B138" s="1194"/>
      <c r="C138" s="1195"/>
      <c r="D138" s="1195"/>
      <c r="E138" s="1195"/>
      <c r="F138" s="1195"/>
      <c r="G138" s="1195"/>
      <c r="H138" s="1195"/>
      <c r="I138" s="1195"/>
      <c r="J138" s="1195"/>
      <c r="K138" s="1195"/>
      <c r="L138" s="1195"/>
      <c r="M138" s="1196"/>
      <c r="O138" s="1194"/>
      <c r="P138" s="1195"/>
      <c r="Q138" s="1195"/>
      <c r="R138" s="1195"/>
      <c r="S138" s="1195"/>
      <c r="T138" s="1195"/>
      <c r="U138" s="1195"/>
      <c r="V138" s="1195"/>
      <c r="W138" s="1195"/>
      <c r="X138" s="1195"/>
      <c r="Y138" s="1195"/>
      <c r="Z138" s="1196"/>
      <c r="AB138" s="125"/>
    </row>
    <row r="139" spans="2:28" x14ac:dyDescent="0.4">
      <c r="B139" s="1194"/>
      <c r="C139" s="1195"/>
      <c r="D139" s="1195"/>
      <c r="E139" s="1195"/>
      <c r="F139" s="1195"/>
      <c r="G139" s="1195"/>
      <c r="H139" s="1195"/>
      <c r="I139" s="1195"/>
      <c r="J139" s="1195"/>
      <c r="K139" s="1195"/>
      <c r="L139" s="1195"/>
      <c r="M139" s="1196"/>
      <c r="O139" s="1194"/>
      <c r="P139" s="1195"/>
      <c r="Q139" s="1195"/>
      <c r="R139" s="1195"/>
      <c r="S139" s="1195"/>
      <c r="T139" s="1195"/>
      <c r="U139" s="1195"/>
      <c r="V139" s="1195"/>
      <c r="W139" s="1195"/>
      <c r="X139" s="1195"/>
      <c r="Y139" s="1195"/>
      <c r="Z139" s="1196"/>
      <c r="AB139" s="125"/>
    </row>
    <row r="140" spans="2:28" x14ac:dyDescent="0.4">
      <c r="B140" s="1194"/>
      <c r="C140" s="1195"/>
      <c r="D140" s="1195"/>
      <c r="E140" s="1195"/>
      <c r="F140" s="1195"/>
      <c r="G140" s="1195"/>
      <c r="H140" s="1195"/>
      <c r="I140" s="1195"/>
      <c r="J140" s="1195"/>
      <c r="K140" s="1195"/>
      <c r="L140" s="1195"/>
      <c r="M140" s="1196"/>
      <c r="O140" s="1194"/>
      <c r="P140" s="1195"/>
      <c r="Q140" s="1195"/>
      <c r="R140" s="1195"/>
      <c r="S140" s="1195"/>
      <c r="T140" s="1195"/>
      <c r="U140" s="1195"/>
      <c r="V140" s="1195"/>
      <c r="W140" s="1195"/>
      <c r="X140" s="1195"/>
      <c r="Y140" s="1195"/>
      <c r="Z140" s="1196"/>
      <c r="AB140" s="125"/>
    </row>
    <row r="141" spans="2:28" x14ac:dyDescent="0.4">
      <c r="B141" s="1194"/>
      <c r="C141" s="1195"/>
      <c r="D141" s="1195"/>
      <c r="E141" s="1195"/>
      <c r="F141" s="1195"/>
      <c r="G141" s="1195"/>
      <c r="H141" s="1195"/>
      <c r="I141" s="1195"/>
      <c r="J141" s="1195"/>
      <c r="K141" s="1195"/>
      <c r="L141" s="1195"/>
      <c r="M141" s="1196"/>
      <c r="O141" s="1194"/>
      <c r="P141" s="1195"/>
      <c r="Q141" s="1195"/>
      <c r="R141" s="1195"/>
      <c r="S141" s="1195"/>
      <c r="T141" s="1195"/>
      <c r="U141" s="1195"/>
      <c r="V141" s="1195"/>
      <c r="W141" s="1195"/>
      <c r="X141" s="1195"/>
      <c r="Y141" s="1195"/>
      <c r="Z141" s="1196"/>
      <c r="AB141" s="125"/>
    </row>
    <row r="142" spans="2:28" x14ac:dyDescent="0.4">
      <c r="B142" s="1194"/>
      <c r="C142" s="1195"/>
      <c r="D142" s="1195"/>
      <c r="E142" s="1195"/>
      <c r="F142" s="1195"/>
      <c r="G142" s="1195"/>
      <c r="H142" s="1195"/>
      <c r="I142" s="1195"/>
      <c r="J142" s="1195"/>
      <c r="K142" s="1195"/>
      <c r="L142" s="1195"/>
      <c r="M142" s="1196"/>
      <c r="O142" s="1194"/>
      <c r="P142" s="1195"/>
      <c r="Q142" s="1195"/>
      <c r="R142" s="1195"/>
      <c r="S142" s="1195"/>
      <c r="T142" s="1195"/>
      <c r="U142" s="1195"/>
      <c r="V142" s="1195"/>
      <c r="W142" s="1195"/>
      <c r="X142" s="1195"/>
      <c r="Y142" s="1195"/>
      <c r="Z142" s="1196"/>
      <c r="AB142" s="125"/>
    </row>
    <row r="143" spans="2:28" x14ac:dyDescent="0.4">
      <c r="B143" s="1194"/>
      <c r="C143" s="1195"/>
      <c r="D143" s="1195"/>
      <c r="E143" s="1195"/>
      <c r="F143" s="1195"/>
      <c r="G143" s="1195"/>
      <c r="H143" s="1195"/>
      <c r="I143" s="1195"/>
      <c r="J143" s="1195"/>
      <c r="K143" s="1195"/>
      <c r="L143" s="1195"/>
      <c r="M143" s="1196"/>
      <c r="O143" s="1194"/>
      <c r="P143" s="1195"/>
      <c r="Q143" s="1195"/>
      <c r="R143" s="1195"/>
      <c r="S143" s="1195"/>
      <c r="T143" s="1195"/>
      <c r="U143" s="1195"/>
      <c r="V143" s="1195"/>
      <c r="W143" s="1195"/>
      <c r="X143" s="1195"/>
      <c r="Y143" s="1195"/>
      <c r="Z143" s="1196"/>
      <c r="AB143" s="125"/>
    </row>
    <row r="144" spans="2:28" x14ac:dyDescent="0.4">
      <c r="B144" s="1194"/>
      <c r="C144" s="1195"/>
      <c r="D144" s="1195"/>
      <c r="E144" s="1195"/>
      <c r="F144" s="1195"/>
      <c r="G144" s="1195"/>
      <c r="H144" s="1195"/>
      <c r="I144" s="1195"/>
      <c r="J144" s="1195"/>
      <c r="K144" s="1195"/>
      <c r="L144" s="1195"/>
      <c r="M144" s="1196"/>
      <c r="O144" s="1194"/>
      <c r="P144" s="1195"/>
      <c r="Q144" s="1195"/>
      <c r="R144" s="1195"/>
      <c r="S144" s="1195"/>
      <c r="T144" s="1195"/>
      <c r="U144" s="1195"/>
      <c r="V144" s="1195"/>
      <c r="W144" s="1195"/>
      <c r="X144" s="1195"/>
      <c r="Y144" s="1195"/>
      <c r="Z144" s="1196"/>
      <c r="AB144" s="125"/>
    </row>
    <row r="145" spans="2:28" x14ac:dyDescent="0.4">
      <c r="B145" s="1194"/>
      <c r="C145" s="1195"/>
      <c r="D145" s="1195"/>
      <c r="E145" s="1195"/>
      <c r="F145" s="1195"/>
      <c r="G145" s="1195"/>
      <c r="H145" s="1195"/>
      <c r="I145" s="1195"/>
      <c r="J145" s="1195"/>
      <c r="K145" s="1195"/>
      <c r="L145" s="1195"/>
      <c r="M145" s="1196"/>
      <c r="O145" s="1194"/>
      <c r="P145" s="1195"/>
      <c r="Q145" s="1195"/>
      <c r="R145" s="1195"/>
      <c r="S145" s="1195"/>
      <c r="T145" s="1195"/>
      <c r="U145" s="1195"/>
      <c r="V145" s="1195"/>
      <c r="W145" s="1195"/>
      <c r="X145" s="1195"/>
      <c r="Y145" s="1195"/>
      <c r="Z145" s="1196"/>
      <c r="AB145" s="125"/>
    </row>
    <row r="146" spans="2:28" x14ac:dyDescent="0.4">
      <c r="B146" s="1194"/>
      <c r="C146" s="1195"/>
      <c r="D146" s="1195"/>
      <c r="E146" s="1195"/>
      <c r="F146" s="1195"/>
      <c r="G146" s="1195"/>
      <c r="H146" s="1195"/>
      <c r="I146" s="1195"/>
      <c r="J146" s="1195"/>
      <c r="K146" s="1195"/>
      <c r="L146" s="1195"/>
      <c r="M146" s="1196"/>
      <c r="O146" s="1194"/>
      <c r="P146" s="1195"/>
      <c r="Q146" s="1195"/>
      <c r="R146" s="1195"/>
      <c r="S146" s="1195"/>
      <c r="T146" s="1195"/>
      <c r="U146" s="1195"/>
      <c r="V146" s="1195"/>
      <c r="W146" s="1195"/>
      <c r="X146" s="1195"/>
      <c r="Y146" s="1195"/>
      <c r="Z146" s="1196"/>
      <c r="AB146" s="125"/>
    </row>
    <row r="147" spans="2:28" x14ac:dyDescent="0.4">
      <c r="B147" s="1194"/>
      <c r="C147" s="1195"/>
      <c r="D147" s="1195"/>
      <c r="E147" s="1195"/>
      <c r="F147" s="1195"/>
      <c r="G147" s="1195"/>
      <c r="H147" s="1195"/>
      <c r="I147" s="1195"/>
      <c r="J147" s="1195"/>
      <c r="K147" s="1195"/>
      <c r="L147" s="1195"/>
      <c r="M147" s="1196"/>
      <c r="O147" s="1194"/>
      <c r="P147" s="1195"/>
      <c r="Q147" s="1195"/>
      <c r="R147" s="1195"/>
      <c r="S147" s="1195"/>
      <c r="T147" s="1195"/>
      <c r="U147" s="1195"/>
      <c r="V147" s="1195"/>
      <c r="W147" s="1195"/>
      <c r="X147" s="1195"/>
      <c r="Y147" s="1195"/>
      <c r="Z147" s="1196"/>
      <c r="AB147" s="125"/>
    </row>
    <row r="148" spans="2:28" x14ac:dyDescent="0.4">
      <c r="B148" s="1194"/>
      <c r="C148" s="1195"/>
      <c r="D148" s="1195"/>
      <c r="E148" s="1195"/>
      <c r="F148" s="1195"/>
      <c r="G148" s="1195"/>
      <c r="H148" s="1195"/>
      <c r="I148" s="1195"/>
      <c r="J148" s="1195"/>
      <c r="K148" s="1195"/>
      <c r="L148" s="1195"/>
      <c r="M148" s="1196"/>
      <c r="O148" s="1194"/>
      <c r="P148" s="1195"/>
      <c r="Q148" s="1195"/>
      <c r="R148" s="1195"/>
      <c r="S148" s="1195"/>
      <c r="T148" s="1195"/>
      <c r="U148" s="1195"/>
      <c r="V148" s="1195"/>
      <c r="W148" s="1195"/>
      <c r="X148" s="1195"/>
      <c r="Y148" s="1195"/>
      <c r="Z148" s="1196"/>
      <c r="AB148" s="125"/>
    </row>
    <row r="149" spans="2:28" x14ac:dyDescent="0.4">
      <c r="B149" s="1194"/>
      <c r="C149" s="1195"/>
      <c r="D149" s="1195"/>
      <c r="E149" s="1195"/>
      <c r="F149" s="1195"/>
      <c r="G149" s="1195"/>
      <c r="H149" s="1195"/>
      <c r="I149" s="1195"/>
      <c r="J149" s="1195"/>
      <c r="K149" s="1195"/>
      <c r="L149" s="1195"/>
      <c r="M149" s="1196"/>
      <c r="O149" s="1194"/>
      <c r="P149" s="1195"/>
      <c r="Q149" s="1195"/>
      <c r="R149" s="1195"/>
      <c r="S149" s="1195"/>
      <c r="T149" s="1195"/>
      <c r="U149" s="1195"/>
      <c r="V149" s="1195"/>
      <c r="W149" s="1195"/>
      <c r="X149" s="1195"/>
      <c r="Y149" s="1195"/>
      <c r="Z149" s="1196"/>
      <c r="AB149" s="125"/>
    </row>
    <row r="150" spans="2:28" x14ac:dyDescent="0.4">
      <c r="B150" s="1194"/>
      <c r="C150" s="1195"/>
      <c r="D150" s="1195"/>
      <c r="E150" s="1195"/>
      <c r="F150" s="1195"/>
      <c r="G150" s="1195"/>
      <c r="H150" s="1195"/>
      <c r="I150" s="1195"/>
      <c r="J150" s="1195"/>
      <c r="K150" s="1195"/>
      <c r="L150" s="1195"/>
      <c r="M150" s="1196"/>
      <c r="O150" s="1194"/>
      <c r="P150" s="1195"/>
      <c r="Q150" s="1195"/>
      <c r="R150" s="1195"/>
      <c r="S150" s="1195"/>
      <c r="T150" s="1195"/>
      <c r="U150" s="1195"/>
      <c r="V150" s="1195"/>
      <c r="W150" s="1195"/>
      <c r="X150" s="1195"/>
      <c r="Y150" s="1195"/>
      <c r="Z150" s="1196"/>
      <c r="AB150" s="125"/>
    </row>
    <row r="151" spans="2:28" x14ac:dyDescent="0.4">
      <c r="B151" s="1194"/>
      <c r="C151" s="1195"/>
      <c r="D151" s="1195"/>
      <c r="E151" s="1195"/>
      <c r="F151" s="1195"/>
      <c r="G151" s="1195"/>
      <c r="H151" s="1195"/>
      <c r="I151" s="1195"/>
      <c r="J151" s="1195"/>
      <c r="K151" s="1195"/>
      <c r="L151" s="1195"/>
      <c r="M151" s="1196"/>
      <c r="O151" s="1194"/>
      <c r="P151" s="1195"/>
      <c r="Q151" s="1195"/>
      <c r="R151" s="1195"/>
      <c r="S151" s="1195"/>
      <c r="T151" s="1195"/>
      <c r="U151" s="1195"/>
      <c r="V151" s="1195"/>
      <c r="W151" s="1195"/>
      <c r="X151" s="1195"/>
      <c r="Y151" s="1195"/>
      <c r="Z151" s="1196"/>
      <c r="AB151" s="125"/>
    </row>
    <row r="152" spans="2:28" x14ac:dyDescent="0.4">
      <c r="B152" s="1194"/>
      <c r="C152" s="1195"/>
      <c r="D152" s="1195"/>
      <c r="E152" s="1195"/>
      <c r="F152" s="1195"/>
      <c r="G152" s="1195"/>
      <c r="H152" s="1195"/>
      <c r="I152" s="1195"/>
      <c r="J152" s="1195"/>
      <c r="K152" s="1195"/>
      <c r="L152" s="1195"/>
      <c r="M152" s="1196"/>
      <c r="O152" s="1194"/>
      <c r="P152" s="1195"/>
      <c r="Q152" s="1195"/>
      <c r="R152" s="1195"/>
      <c r="S152" s="1195"/>
      <c r="T152" s="1195"/>
      <c r="U152" s="1195"/>
      <c r="V152" s="1195"/>
      <c r="W152" s="1195"/>
      <c r="X152" s="1195"/>
      <c r="Y152" s="1195"/>
      <c r="Z152" s="1196"/>
      <c r="AB152" s="125"/>
    </row>
    <row r="153" spans="2:28" x14ac:dyDescent="0.4">
      <c r="B153" s="1194"/>
      <c r="C153" s="1195"/>
      <c r="D153" s="1195"/>
      <c r="E153" s="1195"/>
      <c r="F153" s="1195"/>
      <c r="G153" s="1195"/>
      <c r="H153" s="1195"/>
      <c r="I153" s="1195"/>
      <c r="J153" s="1195"/>
      <c r="K153" s="1195"/>
      <c r="L153" s="1195"/>
      <c r="M153" s="1196"/>
      <c r="O153" s="1194"/>
      <c r="P153" s="1195"/>
      <c r="Q153" s="1195"/>
      <c r="R153" s="1195"/>
      <c r="S153" s="1195"/>
      <c r="T153" s="1195"/>
      <c r="U153" s="1195"/>
      <c r="V153" s="1195"/>
      <c r="W153" s="1195"/>
      <c r="X153" s="1195"/>
      <c r="Y153" s="1195"/>
      <c r="Z153" s="1196"/>
      <c r="AB153" s="125"/>
    </row>
    <row r="154" spans="2:28" x14ac:dyDescent="0.4">
      <c r="B154" s="1194"/>
      <c r="C154" s="1195"/>
      <c r="D154" s="1195"/>
      <c r="E154" s="1195"/>
      <c r="F154" s="1195"/>
      <c r="G154" s="1195"/>
      <c r="H154" s="1195"/>
      <c r="I154" s="1195"/>
      <c r="J154" s="1195"/>
      <c r="K154" s="1195"/>
      <c r="L154" s="1195"/>
      <c r="M154" s="1196"/>
      <c r="O154" s="1194"/>
      <c r="P154" s="1195"/>
      <c r="Q154" s="1195"/>
      <c r="R154" s="1195"/>
      <c r="S154" s="1195"/>
      <c r="T154" s="1195"/>
      <c r="U154" s="1195"/>
      <c r="V154" s="1195"/>
      <c r="W154" s="1195"/>
      <c r="X154" s="1195"/>
      <c r="Y154" s="1195"/>
      <c r="Z154" s="1196"/>
      <c r="AB154" s="125"/>
    </row>
    <row r="155" spans="2:28" x14ac:dyDescent="0.4">
      <c r="B155" s="1194"/>
      <c r="C155" s="1195"/>
      <c r="D155" s="1195"/>
      <c r="E155" s="1195"/>
      <c r="F155" s="1195"/>
      <c r="G155" s="1195"/>
      <c r="H155" s="1195"/>
      <c r="I155" s="1195"/>
      <c r="J155" s="1195"/>
      <c r="K155" s="1195"/>
      <c r="L155" s="1195"/>
      <c r="M155" s="1196"/>
      <c r="O155" s="1194"/>
      <c r="P155" s="1195"/>
      <c r="Q155" s="1195"/>
      <c r="R155" s="1195"/>
      <c r="S155" s="1195"/>
      <c r="T155" s="1195"/>
      <c r="U155" s="1195"/>
      <c r="V155" s="1195"/>
      <c r="W155" s="1195"/>
      <c r="X155" s="1195"/>
      <c r="Y155" s="1195"/>
      <c r="Z155" s="1196"/>
      <c r="AB155" s="125"/>
    </row>
    <row r="156" spans="2:28" x14ac:dyDescent="0.4">
      <c r="B156" s="1194"/>
      <c r="C156" s="1195"/>
      <c r="D156" s="1195"/>
      <c r="E156" s="1195"/>
      <c r="F156" s="1195"/>
      <c r="G156" s="1195"/>
      <c r="H156" s="1195"/>
      <c r="I156" s="1195"/>
      <c r="J156" s="1195"/>
      <c r="K156" s="1195"/>
      <c r="L156" s="1195"/>
      <c r="M156" s="1196"/>
      <c r="O156" s="1194"/>
      <c r="P156" s="1195"/>
      <c r="Q156" s="1195"/>
      <c r="R156" s="1195"/>
      <c r="S156" s="1195"/>
      <c r="T156" s="1195"/>
      <c r="U156" s="1195"/>
      <c r="V156" s="1195"/>
      <c r="W156" s="1195"/>
      <c r="X156" s="1195"/>
      <c r="Y156" s="1195"/>
      <c r="Z156" s="1196"/>
      <c r="AB156" s="125"/>
    </row>
    <row r="157" spans="2:28" x14ac:dyDescent="0.4">
      <c r="B157" s="1194"/>
      <c r="C157" s="1195"/>
      <c r="D157" s="1195"/>
      <c r="E157" s="1195"/>
      <c r="F157" s="1195"/>
      <c r="G157" s="1195"/>
      <c r="H157" s="1195"/>
      <c r="I157" s="1195"/>
      <c r="J157" s="1195"/>
      <c r="K157" s="1195"/>
      <c r="L157" s="1195"/>
      <c r="M157" s="1196"/>
      <c r="O157" s="1194"/>
      <c r="P157" s="1195"/>
      <c r="Q157" s="1195"/>
      <c r="R157" s="1195"/>
      <c r="S157" s="1195"/>
      <c r="T157" s="1195"/>
      <c r="U157" s="1195"/>
      <c r="V157" s="1195"/>
      <c r="W157" s="1195"/>
      <c r="X157" s="1195"/>
      <c r="Y157" s="1195"/>
      <c r="Z157" s="1196"/>
      <c r="AB157" s="125"/>
    </row>
    <row r="158" spans="2:28" x14ac:dyDescent="0.4">
      <c r="B158" s="1194"/>
      <c r="C158" s="1195"/>
      <c r="D158" s="1195"/>
      <c r="E158" s="1195"/>
      <c r="F158" s="1195"/>
      <c r="G158" s="1195"/>
      <c r="H158" s="1195"/>
      <c r="I158" s="1195"/>
      <c r="J158" s="1195"/>
      <c r="K158" s="1195"/>
      <c r="L158" s="1195"/>
      <c r="M158" s="1196"/>
      <c r="O158" s="1194"/>
      <c r="P158" s="1195"/>
      <c r="Q158" s="1195"/>
      <c r="R158" s="1195"/>
      <c r="S158" s="1195"/>
      <c r="T158" s="1195"/>
      <c r="U158" s="1195"/>
      <c r="V158" s="1195"/>
      <c r="W158" s="1195"/>
      <c r="X158" s="1195"/>
      <c r="Y158" s="1195"/>
      <c r="Z158" s="1196"/>
      <c r="AB158" s="125"/>
    </row>
    <row r="159" spans="2:28" x14ac:dyDescent="0.4">
      <c r="B159" s="1194"/>
      <c r="C159" s="1195"/>
      <c r="D159" s="1195"/>
      <c r="E159" s="1195"/>
      <c r="F159" s="1195"/>
      <c r="G159" s="1195"/>
      <c r="H159" s="1195"/>
      <c r="I159" s="1195"/>
      <c r="J159" s="1195"/>
      <c r="K159" s="1195"/>
      <c r="L159" s="1195"/>
      <c r="M159" s="1196"/>
      <c r="O159" s="1194"/>
      <c r="P159" s="1195"/>
      <c r="Q159" s="1195"/>
      <c r="R159" s="1195"/>
      <c r="S159" s="1195"/>
      <c r="T159" s="1195"/>
      <c r="U159" s="1195"/>
      <c r="V159" s="1195"/>
      <c r="W159" s="1195"/>
      <c r="X159" s="1195"/>
      <c r="Y159" s="1195"/>
      <c r="Z159" s="1196"/>
      <c r="AB159" s="125"/>
    </row>
    <row r="160" spans="2:28" x14ac:dyDescent="0.4">
      <c r="B160" s="1194"/>
      <c r="C160" s="1195"/>
      <c r="D160" s="1195"/>
      <c r="E160" s="1195"/>
      <c r="F160" s="1195"/>
      <c r="G160" s="1195"/>
      <c r="H160" s="1195"/>
      <c r="I160" s="1195"/>
      <c r="J160" s="1195"/>
      <c r="K160" s="1195"/>
      <c r="L160" s="1195"/>
      <c r="M160" s="1196"/>
      <c r="O160" s="1194"/>
      <c r="P160" s="1195"/>
      <c r="Q160" s="1195"/>
      <c r="R160" s="1195"/>
      <c r="S160" s="1195"/>
      <c r="T160" s="1195"/>
      <c r="U160" s="1195"/>
      <c r="V160" s="1195"/>
      <c r="W160" s="1195"/>
      <c r="X160" s="1195"/>
      <c r="Y160" s="1195"/>
      <c r="Z160" s="1196"/>
      <c r="AB160" s="125"/>
    </row>
    <row r="161" spans="2:28" x14ac:dyDescent="0.4">
      <c r="B161" s="1194"/>
      <c r="C161" s="1195"/>
      <c r="D161" s="1195"/>
      <c r="E161" s="1195"/>
      <c r="F161" s="1195"/>
      <c r="G161" s="1195"/>
      <c r="H161" s="1195"/>
      <c r="I161" s="1195"/>
      <c r="J161" s="1195"/>
      <c r="K161" s="1195"/>
      <c r="L161" s="1195"/>
      <c r="M161" s="1196"/>
      <c r="O161" s="1194"/>
      <c r="P161" s="1195"/>
      <c r="Q161" s="1195"/>
      <c r="R161" s="1195"/>
      <c r="S161" s="1195"/>
      <c r="T161" s="1195"/>
      <c r="U161" s="1195"/>
      <c r="V161" s="1195"/>
      <c r="W161" s="1195"/>
      <c r="X161" s="1195"/>
      <c r="Y161" s="1195"/>
      <c r="Z161" s="1196"/>
      <c r="AB161" s="125"/>
    </row>
    <row r="162" spans="2:28" x14ac:dyDescent="0.4">
      <c r="B162" s="1194"/>
      <c r="C162" s="1195"/>
      <c r="D162" s="1195"/>
      <c r="E162" s="1195"/>
      <c r="F162" s="1195"/>
      <c r="G162" s="1195"/>
      <c r="H162" s="1195"/>
      <c r="I162" s="1195"/>
      <c r="J162" s="1195"/>
      <c r="K162" s="1195"/>
      <c r="L162" s="1195"/>
      <c r="M162" s="1196"/>
      <c r="O162" s="1194"/>
      <c r="P162" s="1195"/>
      <c r="Q162" s="1195"/>
      <c r="R162" s="1195"/>
      <c r="S162" s="1195"/>
      <c r="T162" s="1195"/>
      <c r="U162" s="1195"/>
      <c r="V162" s="1195"/>
      <c r="W162" s="1195"/>
      <c r="X162" s="1195"/>
      <c r="Y162" s="1195"/>
      <c r="Z162" s="1196"/>
      <c r="AB162" s="125"/>
    </row>
    <row r="163" spans="2:28" x14ac:dyDescent="0.4">
      <c r="B163" s="1194"/>
      <c r="C163" s="1195"/>
      <c r="D163" s="1195"/>
      <c r="E163" s="1195"/>
      <c r="F163" s="1195"/>
      <c r="G163" s="1195"/>
      <c r="H163" s="1195"/>
      <c r="I163" s="1195"/>
      <c r="J163" s="1195"/>
      <c r="K163" s="1195"/>
      <c r="L163" s="1195"/>
      <c r="M163" s="1196"/>
      <c r="O163" s="1194"/>
      <c r="P163" s="1195"/>
      <c r="Q163" s="1195"/>
      <c r="R163" s="1195"/>
      <c r="S163" s="1195"/>
      <c r="T163" s="1195"/>
      <c r="U163" s="1195"/>
      <c r="V163" s="1195"/>
      <c r="W163" s="1195"/>
      <c r="X163" s="1195"/>
      <c r="Y163" s="1195"/>
      <c r="Z163" s="1196"/>
      <c r="AB163" s="125"/>
    </row>
    <row r="164" spans="2:28" x14ac:dyDescent="0.4">
      <c r="B164" s="1194"/>
      <c r="C164" s="1195"/>
      <c r="D164" s="1195"/>
      <c r="E164" s="1195"/>
      <c r="F164" s="1195"/>
      <c r="G164" s="1195"/>
      <c r="H164" s="1195"/>
      <c r="I164" s="1195"/>
      <c r="J164" s="1195"/>
      <c r="K164" s="1195"/>
      <c r="L164" s="1195"/>
      <c r="M164" s="1196"/>
      <c r="O164" s="1194"/>
      <c r="P164" s="1195"/>
      <c r="Q164" s="1195"/>
      <c r="R164" s="1195"/>
      <c r="S164" s="1195"/>
      <c r="T164" s="1195"/>
      <c r="U164" s="1195"/>
      <c r="V164" s="1195"/>
      <c r="W164" s="1195"/>
      <c r="X164" s="1195"/>
      <c r="Y164" s="1195"/>
      <c r="Z164" s="1196"/>
      <c r="AB164" s="125"/>
    </row>
    <row r="165" spans="2:28" x14ac:dyDescent="0.4">
      <c r="B165" s="1194"/>
      <c r="C165" s="1195"/>
      <c r="D165" s="1195"/>
      <c r="E165" s="1195"/>
      <c r="F165" s="1195"/>
      <c r="G165" s="1195"/>
      <c r="H165" s="1195"/>
      <c r="I165" s="1195"/>
      <c r="J165" s="1195"/>
      <c r="K165" s="1195"/>
      <c r="L165" s="1195"/>
      <c r="M165" s="1196"/>
      <c r="O165" s="1194"/>
      <c r="P165" s="1195"/>
      <c r="Q165" s="1195"/>
      <c r="R165" s="1195"/>
      <c r="S165" s="1195"/>
      <c r="T165" s="1195"/>
      <c r="U165" s="1195"/>
      <c r="V165" s="1195"/>
      <c r="W165" s="1195"/>
      <c r="X165" s="1195"/>
      <c r="Y165" s="1195"/>
      <c r="Z165" s="1196"/>
      <c r="AB165" s="125"/>
    </row>
    <row r="166" spans="2:28" x14ac:dyDescent="0.4">
      <c r="B166" s="1194"/>
      <c r="C166" s="1195"/>
      <c r="D166" s="1195"/>
      <c r="E166" s="1195"/>
      <c r="F166" s="1195"/>
      <c r="G166" s="1195"/>
      <c r="H166" s="1195"/>
      <c r="I166" s="1195"/>
      <c r="J166" s="1195"/>
      <c r="K166" s="1195"/>
      <c r="L166" s="1195"/>
      <c r="M166" s="1196"/>
      <c r="O166" s="1194"/>
      <c r="P166" s="1195"/>
      <c r="Q166" s="1195"/>
      <c r="R166" s="1195"/>
      <c r="S166" s="1195"/>
      <c r="T166" s="1195"/>
      <c r="U166" s="1195"/>
      <c r="V166" s="1195"/>
      <c r="W166" s="1195"/>
      <c r="X166" s="1195"/>
      <c r="Y166" s="1195"/>
      <c r="Z166" s="1196"/>
      <c r="AB166" s="125"/>
    </row>
    <row r="167" spans="2:28" x14ac:dyDescent="0.4">
      <c r="B167" s="1194"/>
      <c r="C167" s="1195"/>
      <c r="D167" s="1195"/>
      <c r="E167" s="1195"/>
      <c r="F167" s="1195"/>
      <c r="G167" s="1195"/>
      <c r="H167" s="1195"/>
      <c r="I167" s="1195"/>
      <c r="J167" s="1195"/>
      <c r="K167" s="1195"/>
      <c r="L167" s="1195"/>
      <c r="M167" s="1196"/>
      <c r="O167" s="1194"/>
      <c r="P167" s="1195"/>
      <c r="Q167" s="1195"/>
      <c r="R167" s="1195"/>
      <c r="S167" s="1195"/>
      <c r="T167" s="1195"/>
      <c r="U167" s="1195"/>
      <c r="V167" s="1195"/>
      <c r="W167" s="1195"/>
      <c r="X167" s="1195"/>
      <c r="Y167" s="1195"/>
      <c r="Z167" s="1196"/>
      <c r="AB167" s="125"/>
    </row>
    <row r="168" spans="2:28" x14ac:dyDescent="0.4">
      <c r="B168" s="1194"/>
      <c r="C168" s="1195"/>
      <c r="D168" s="1195"/>
      <c r="E168" s="1195"/>
      <c r="F168" s="1195"/>
      <c r="G168" s="1195"/>
      <c r="H168" s="1195"/>
      <c r="I168" s="1195"/>
      <c r="J168" s="1195"/>
      <c r="K168" s="1195"/>
      <c r="L168" s="1195"/>
      <c r="M168" s="1196"/>
      <c r="O168" s="1194"/>
      <c r="P168" s="1195"/>
      <c r="Q168" s="1195"/>
      <c r="R168" s="1195"/>
      <c r="S168" s="1195"/>
      <c r="T168" s="1195"/>
      <c r="U168" s="1195"/>
      <c r="V168" s="1195"/>
      <c r="W168" s="1195"/>
      <c r="X168" s="1195"/>
      <c r="Y168" s="1195"/>
      <c r="Z168" s="1196"/>
      <c r="AB168" s="125"/>
    </row>
    <row r="169" spans="2:28" x14ac:dyDescent="0.4">
      <c r="B169" s="1194"/>
      <c r="C169" s="1195"/>
      <c r="D169" s="1195"/>
      <c r="E169" s="1195"/>
      <c r="F169" s="1195"/>
      <c r="G169" s="1195"/>
      <c r="H169" s="1195"/>
      <c r="I169" s="1195"/>
      <c r="J169" s="1195"/>
      <c r="K169" s="1195"/>
      <c r="L169" s="1195"/>
      <c r="M169" s="1196"/>
      <c r="O169" s="1194"/>
      <c r="P169" s="1195"/>
      <c r="Q169" s="1195"/>
      <c r="R169" s="1195"/>
      <c r="S169" s="1195"/>
      <c r="T169" s="1195"/>
      <c r="U169" s="1195"/>
      <c r="V169" s="1195"/>
      <c r="W169" s="1195"/>
      <c r="X169" s="1195"/>
      <c r="Y169" s="1195"/>
      <c r="Z169" s="1196"/>
      <c r="AB169" s="125"/>
    </row>
    <row r="170" spans="2:28" x14ac:dyDescent="0.4">
      <c r="B170" s="1194"/>
      <c r="C170" s="1195"/>
      <c r="D170" s="1195"/>
      <c r="E170" s="1195"/>
      <c r="F170" s="1195"/>
      <c r="G170" s="1195"/>
      <c r="H170" s="1195"/>
      <c r="I170" s="1195"/>
      <c r="J170" s="1195"/>
      <c r="K170" s="1195"/>
      <c r="L170" s="1195"/>
      <c r="M170" s="1196"/>
      <c r="O170" s="1194"/>
      <c r="P170" s="1195"/>
      <c r="Q170" s="1195"/>
      <c r="R170" s="1195"/>
      <c r="S170" s="1195"/>
      <c r="T170" s="1195"/>
      <c r="U170" s="1195"/>
      <c r="V170" s="1195"/>
      <c r="W170" s="1195"/>
      <c r="X170" s="1195"/>
      <c r="Y170" s="1195"/>
      <c r="Z170" s="1196"/>
      <c r="AB170" s="125"/>
    </row>
    <row r="171" spans="2:28" x14ac:dyDescent="0.4">
      <c r="B171" s="1194"/>
      <c r="C171" s="1195"/>
      <c r="D171" s="1195"/>
      <c r="E171" s="1195"/>
      <c r="F171" s="1195"/>
      <c r="G171" s="1195"/>
      <c r="H171" s="1195"/>
      <c r="I171" s="1195"/>
      <c r="J171" s="1195"/>
      <c r="K171" s="1195"/>
      <c r="L171" s="1195"/>
      <c r="M171" s="1196"/>
      <c r="O171" s="1194"/>
      <c r="P171" s="1195"/>
      <c r="Q171" s="1195"/>
      <c r="R171" s="1195"/>
      <c r="S171" s="1195"/>
      <c r="T171" s="1195"/>
      <c r="U171" s="1195"/>
      <c r="V171" s="1195"/>
      <c r="W171" s="1195"/>
      <c r="X171" s="1195"/>
      <c r="Y171" s="1195"/>
      <c r="Z171" s="1196"/>
      <c r="AB171" s="125"/>
    </row>
    <row r="172" spans="2:28" x14ac:dyDescent="0.4">
      <c r="B172" s="1194"/>
      <c r="C172" s="1195"/>
      <c r="D172" s="1195"/>
      <c r="E172" s="1195"/>
      <c r="F172" s="1195"/>
      <c r="G172" s="1195"/>
      <c r="H172" s="1195"/>
      <c r="I172" s="1195"/>
      <c r="J172" s="1195"/>
      <c r="K172" s="1195"/>
      <c r="L172" s="1195"/>
      <c r="M172" s="1196"/>
      <c r="O172" s="1194"/>
      <c r="P172" s="1195"/>
      <c r="Q172" s="1195"/>
      <c r="R172" s="1195"/>
      <c r="S172" s="1195"/>
      <c r="T172" s="1195"/>
      <c r="U172" s="1195"/>
      <c r="V172" s="1195"/>
      <c r="W172" s="1195"/>
      <c r="X172" s="1195"/>
      <c r="Y172" s="1195"/>
      <c r="Z172" s="1196"/>
      <c r="AB172" s="125"/>
    </row>
    <row r="173" spans="2:28" x14ac:dyDescent="0.4">
      <c r="B173" s="1194"/>
      <c r="C173" s="1195"/>
      <c r="D173" s="1195"/>
      <c r="E173" s="1195"/>
      <c r="F173" s="1195"/>
      <c r="G173" s="1195"/>
      <c r="H173" s="1195"/>
      <c r="I173" s="1195"/>
      <c r="J173" s="1195"/>
      <c r="K173" s="1195"/>
      <c r="L173" s="1195"/>
      <c r="M173" s="1196"/>
      <c r="O173" s="1194"/>
      <c r="P173" s="1195"/>
      <c r="Q173" s="1195"/>
      <c r="R173" s="1195"/>
      <c r="S173" s="1195"/>
      <c r="T173" s="1195"/>
      <c r="U173" s="1195"/>
      <c r="V173" s="1195"/>
      <c r="W173" s="1195"/>
      <c r="X173" s="1195"/>
      <c r="Y173" s="1195"/>
      <c r="Z173" s="1196"/>
      <c r="AB173" s="125"/>
    </row>
    <row r="174" spans="2:28" x14ac:dyDescent="0.4">
      <c r="B174" s="1194"/>
      <c r="C174" s="1195"/>
      <c r="D174" s="1195"/>
      <c r="E174" s="1195"/>
      <c r="F174" s="1195"/>
      <c r="G174" s="1195"/>
      <c r="H174" s="1195"/>
      <c r="I174" s="1195"/>
      <c r="J174" s="1195"/>
      <c r="K174" s="1195"/>
      <c r="L174" s="1195"/>
      <c r="M174" s="1196"/>
      <c r="O174" s="1194"/>
      <c r="P174" s="1195"/>
      <c r="Q174" s="1195"/>
      <c r="R174" s="1195"/>
      <c r="S174" s="1195"/>
      <c r="T174" s="1195"/>
      <c r="U174" s="1195"/>
      <c r="V174" s="1195"/>
      <c r="W174" s="1195"/>
      <c r="X174" s="1195"/>
      <c r="Y174" s="1195"/>
      <c r="Z174" s="1196"/>
      <c r="AB174" s="125"/>
    </row>
    <row r="175" spans="2:28" x14ac:dyDescent="0.4">
      <c r="B175" s="1194"/>
      <c r="C175" s="1195"/>
      <c r="D175" s="1195"/>
      <c r="E175" s="1195"/>
      <c r="F175" s="1195"/>
      <c r="G175" s="1195"/>
      <c r="H175" s="1195"/>
      <c r="I175" s="1195"/>
      <c r="J175" s="1195"/>
      <c r="K175" s="1195"/>
      <c r="L175" s="1195"/>
      <c r="M175" s="1196"/>
      <c r="O175" s="1194"/>
      <c r="P175" s="1195"/>
      <c r="Q175" s="1195"/>
      <c r="R175" s="1195"/>
      <c r="S175" s="1195"/>
      <c r="T175" s="1195"/>
      <c r="U175" s="1195"/>
      <c r="V175" s="1195"/>
      <c r="W175" s="1195"/>
      <c r="X175" s="1195"/>
      <c r="Y175" s="1195"/>
      <c r="Z175" s="1196"/>
      <c r="AB175" s="125"/>
    </row>
    <row r="176" spans="2:28" ht="16" thickBot="1" x14ac:dyDescent="0.45">
      <c r="B176" s="1197"/>
      <c r="C176" s="1198"/>
      <c r="D176" s="1198"/>
      <c r="E176" s="1198"/>
      <c r="F176" s="1198"/>
      <c r="G176" s="1198"/>
      <c r="H176" s="1198"/>
      <c r="I176" s="1198"/>
      <c r="J176" s="1198"/>
      <c r="K176" s="1198"/>
      <c r="L176" s="1198"/>
      <c r="M176" s="1199"/>
      <c r="O176" s="1197"/>
      <c r="P176" s="1198"/>
      <c r="Q176" s="1198"/>
      <c r="R176" s="1198"/>
      <c r="S176" s="1198"/>
      <c r="T176" s="1198"/>
      <c r="U176" s="1198"/>
      <c r="V176" s="1198"/>
      <c r="W176" s="1198"/>
      <c r="X176" s="1198"/>
      <c r="Y176" s="1198"/>
      <c r="Z176" s="1199"/>
      <c r="AB176" s="125"/>
    </row>
    <row r="177" spans="1:28" x14ac:dyDescent="0.4">
      <c r="AB177" s="125"/>
    </row>
    <row r="178" spans="1:28" x14ac:dyDescent="0.4">
      <c r="A178" s="125"/>
      <c r="B178" s="125"/>
      <c r="C178" s="125"/>
      <c r="D178" s="125"/>
      <c r="E178" s="125"/>
      <c r="F178" s="125"/>
      <c r="G178" s="125"/>
      <c r="H178" s="125"/>
      <c r="I178" s="125"/>
      <c r="J178" s="125"/>
      <c r="K178" s="125"/>
      <c r="L178" s="125"/>
      <c r="M178" s="125"/>
      <c r="N178" s="125"/>
      <c r="O178" s="125"/>
      <c r="P178" s="125"/>
      <c r="Q178" s="125"/>
      <c r="R178" s="125"/>
      <c r="S178" s="125"/>
      <c r="T178" s="125"/>
      <c r="U178" s="125"/>
      <c r="V178" s="125"/>
      <c r="W178" s="125"/>
      <c r="X178" s="125"/>
      <c r="Y178" s="125"/>
      <c r="Z178" s="125"/>
      <c r="AA178" s="125"/>
      <c r="AB178" s="125"/>
    </row>
  </sheetData>
  <sheetProtection algorithmName="SHA-512" hashValue="aJGPnZ3vRP7UkB7e0Fg4Qmlb7lPzN1GYdNk5scr9W5mjpVCEO4YPzkw2PRdXvlrtPuNYzJmkULXedDBV6KpUog==" saltValue="45BNJ+53HvATDetIPxIX3Q==" spinCount="100000" sheet="1" selectLockedCells="1"/>
  <mergeCells count="23">
    <mergeCell ref="B11:M50"/>
    <mergeCell ref="O11:Z50"/>
    <mergeCell ref="B53:M92"/>
    <mergeCell ref="O53:Z92"/>
    <mergeCell ref="G2:I2"/>
    <mergeCell ref="B10:M10"/>
    <mergeCell ref="O10:Z10"/>
    <mergeCell ref="B52:M52"/>
    <mergeCell ref="O52:Z52"/>
    <mergeCell ref="B2:E2"/>
    <mergeCell ref="C3:E3"/>
    <mergeCell ref="C4:E4"/>
    <mergeCell ref="C5:E5"/>
    <mergeCell ref="C6:E6"/>
    <mergeCell ref="C7:E7"/>
    <mergeCell ref="B137:M176"/>
    <mergeCell ref="O137:Z176"/>
    <mergeCell ref="O94:Z94"/>
    <mergeCell ref="B136:M136"/>
    <mergeCell ref="O136:Z136"/>
    <mergeCell ref="B95:M134"/>
    <mergeCell ref="O95:Z134"/>
    <mergeCell ref="B94:M94"/>
  </mergeCells>
  <hyperlinks>
    <hyperlink ref="G2" location="Instructions!A1" display="Back to Instructions tab" xr:uid="{00000000-0004-0000-0900-00000000000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0070C0"/>
  </sheetPr>
  <dimension ref="A1:H52"/>
  <sheetViews>
    <sheetView showGridLines="0" zoomScale="80" zoomScaleNormal="80" workbookViewId="0">
      <selection activeCell="E2" sqref="E2"/>
    </sheetView>
  </sheetViews>
  <sheetFormatPr defaultColWidth="9.08984375" defaultRowHeight="15.5" x14ac:dyDescent="0.4"/>
  <cols>
    <col min="1" max="1" width="9.08984375" style="75"/>
    <col min="2" max="2" width="30.6328125" style="75" bestFit="1" customWidth="1"/>
    <col min="3" max="3" width="63.453125" style="75" customWidth="1"/>
    <col min="4" max="4" width="9.08984375" style="75"/>
    <col min="5" max="5" width="33.54296875" style="75" customWidth="1"/>
    <col min="6" max="6" width="19.36328125" style="75" customWidth="1"/>
    <col min="7" max="7" width="9.08984375" style="75"/>
    <col min="8" max="8" width="3.453125" style="75" customWidth="1"/>
    <col min="9" max="16384" width="9.08984375" style="75"/>
  </cols>
  <sheetData>
    <row r="1" spans="2:8" ht="16" thickBot="1" x14ac:dyDescent="0.45">
      <c r="H1" s="125"/>
    </row>
    <row r="2" spans="2:8" ht="16" thickBot="1" x14ac:dyDescent="0.45">
      <c r="B2" s="951" t="s">
        <v>12</v>
      </c>
      <c r="C2" s="952"/>
      <c r="E2" s="777" t="s">
        <v>51</v>
      </c>
      <c r="H2" s="125"/>
    </row>
    <row r="3" spans="2:8" x14ac:dyDescent="0.4">
      <c r="B3" s="41" t="str">
        <f>'Version Control'!B3</f>
        <v>Test Report Template Name:</v>
      </c>
      <c r="C3" s="613" t="str">
        <f>'Version Control'!$C3</f>
        <v>Consumer Water Heater, UEF</v>
      </c>
      <c r="H3" s="125"/>
    </row>
    <row r="4" spans="2:8" x14ac:dyDescent="0.4">
      <c r="B4" s="41" t="str">
        <f>'Version Control'!B4</f>
        <v>Version Number:</v>
      </c>
      <c r="C4" s="614" t="str">
        <f>'Version Control'!$C4</f>
        <v>v1.3</v>
      </c>
      <c r="H4" s="125"/>
    </row>
    <row r="5" spans="2:8" x14ac:dyDescent="0.4">
      <c r="B5" s="41" t="str">
        <f>'Version Control'!B5</f>
        <v xml:space="preserve">Latest Template Revision: </v>
      </c>
      <c r="C5" s="615">
        <f>'Version Control'!$C5</f>
        <v>43643</v>
      </c>
      <c r="H5" s="125"/>
    </row>
    <row r="6" spans="2:8" x14ac:dyDescent="0.4">
      <c r="B6" s="41" t="str">
        <f>'Version Control'!B6</f>
        <v>Tab Name:</v>
      </c>
      <c r="C6" s="613" t="str">
        <f ca="1">MID(CELL("filename",A1), FIND("]", CELL("filename", A1))+ 1, 255)</f>
        <v>Comments</v>
      </c>
      <c r="H6" s="125"/>
    </row>
    <row r="7" spans="2:8" ht="16" thickBot="1" x14ac:dyDescent="0.45">
      <c r="B7" s="616" t="str">
        <f>'Version Control'!B7</f>
        <v>File Name:</v>
      </c>
      <c r="C7" s="617" t="str">
        <f ca="1">'Version Control'!$C7</f>
        <v>Consumer Water Heater, UEF - v1.3.xlsx</v>
      </c>
      <c r="H7" s="125"/>
    </row>
    <row r="8" spans="2:8" x14ac:dyDescent="0.4">
      <c r="H8" s="125"/>
    </row>
    <row r="9" spans="2:8" ht="16" thickBot="1" x14ac:dyDescent="0.45">
      <c r="H9" s="125"/>
    </row>
    <row r="10" spans="2:8" ht="16" thickBot="1" x14ac:dyDescent="0.45">
      <c r="B10" s="994" t="s">
        <v>8</v>
      </c>
      <c r="C10" s="995"/>
      <c r="D10" s="995"/>
      <c r="E10" s="995"/>
      <c r="F10" s="996"/>
      <c r="H10" s="125"/>
    </row>
    <row r="11" spans="2:8" x14ac:dyDescent="0.4">
      <c r="B11" s="42"/>
      <c r="C11" s="43"/>
      <c r="D11" s="43"/>
      <c r="E11" s="43"/>
      <c r="F11" s="44"/>
      <c r="H11" s="125"/>
    </row>
    <row r="12" spans="2:8" x14ac:dyDescent="0.4">
      <c r="B12" s="1204"/>
      <c r="C12" s="1205"/>
      <c r="D12" s="1205"/>
      <c r="E12" s="1205"/>
      <c r="F12" s="1206"/>
      <c r="H12" s="125"/>
    </row>
    <row r="13" spans="2:8" x14ac:dyDescent="0.4">
      <c r="B13" s="982"/>
      <c r="C13" s="983"/>
      <c r="D13" s="983"/>
      <c r="E13" s="983"/>
      <c r="F13" s="984"/>
      <c r="H13" s="125"/>
    </row>
    <row r="14" spans="2:8" x14ac:dyDescent="0.4">
      <c r="B14" s="982"/>
      <c r="C14" s="983"/>
      <c r="D14" s="983"/>
      <c r="E14" s="983"/>
      <c r="F14" s="984"/>
      <c r="H14" s="125"/>
    </row>
    <row r="15" spans="2:8" x14ac:dyDescent="0.4">
      <c r="B15" s="1207"/>
      <c r="C15" s="1208"/>
      <c r="D15" s="1208"/>
      <c r="E15" s="1208"/>
      <c r="F15" s="1209"/>
      <c r="H15" s="125"/>
    </row>
    <row r="16" spans="2:8" x14ac:dyDescent="0.4">
      <c r="B16" s="42"/>
      <c r="C16" s="43"/>
      <c r="D16" s="43"/>
      <c r="E16" s="43"/>
      <c r="F16" s="44"/>
      <c r="H16" s="125"/>
    </row>
    <row r="17" spans="2:8" x14ac:dyDescent="0.4">
      <c r="B17" s="1204"/>
      <c r="C17" s="1205"/>
      <c r="D17" s="1205"/>
      <c r="E17" s="1205"/>
      <c r="F17" s="1206"/>
      <c r="H17" s="125"/>
    </row>
    <row r="18" spans="2:8" x14ac:dyDescent="0.4">
      <c r="B18" s="982"/>
      <c r="C18" s="983"/>
      <c r="D18" s="983"/>
      <c r="E18" s="983"/>
      <c r="F18" s="984"/>
      <c r="H18" s="125"/>
    </row>
    <row r="19" spans="2:8" x14ac:dyDescent="0.4">
      <c r="B19" s="982"/>
      <c r="C19" s="983"/>
      <c r="D19" s="983"/>
      <c r="E19" s="983"/>
      <c r="F19" s="984"/>
      <c r="H19" s="125"/>
    </row>
    <row r="20" spans="2:8" x14ac:dyDescent="0.4">
      <c r="B20" s="1207"/>
      <c r="C20" s="1208"/>
      <c r="D20" s="1208"/>
      <c r="E20" s="1208"/>
      <c r="F20" s="1209"/>
      <c r="H20" s="125"/>
    </row>
    <row r="21" spans="2:8" x14ac:dyDescent="0.4">
      <c r="B21" s="42"/>
      <c r="C21" s="43"/>
      <c r="D21" s="43"/>
      <c r="E21" s="43"/>
      <c r="F21" s="44"/>
      <c r="H21" s="125"/>
    </row>
    <row r="22" spans="2:8" x14ac:dyDescent="0.4">
      <c r="B22" s="1204"/>
      <c r="C22" s="1205"/>
      <c r="D22" s="1205"/>
      <c r="E22" s="1205"/>
      <c r="F22" s="1206"/>
      <c r="H22" s="125"/>
    </row>
    <row r="23" spans="2:8" x14ac:dyDescent="0.4">
      <c r="B23" s="982"/>
      <c r="C23" s="983"/>
      <c r="D23" s="983"/>
      <c r="E23" s="983"/>
      <c r="F23" s="984"/>
      <c r="H23" s="125"/>
    </row>
    <row r="24" spans="2:8" x14ac:dyDescent="0.4">
      <c r="B24" s="982"/>
      <c r="C24" s="983"/>
      <c r="D24" s="983"/>
      <c r="E24" s="983"/>
      <c r="F24" s="984"/>
      <c r="H24" s="125"/>
    </row>
    <row r="25" spans="2:8" x14ac:dyDescent="0.4">
      <c r="B25" s="1207"/>
      <c r="C25" s="1208"/>
      <c r="D25" s="1208"/>
      <c r="E25" s="1208"/>
      <c r="F25" s="1209"/>
      <c r="H25" s="125"/>
    </row>
    <row r="26" spans="2:8" x14ac:dyDescent="0.4">
      <c r="B26" s="42"/>
      <c r="C26" s="43"/>
      <c r="D26" s="43"/>
      <c r="E26" s="43"/>
      <c r="F26" s="44"/>
      <c r="H26" s="125"/>
    </row>
    <row r="27" spans="2:8" x14ac:dyDescent="0.4">
      <c r="B27" s="1204"/>
      <c r="C27" s="1205"/>
      <c r="D27" s="1205"/>
      <c r="E27" s="1205"/>
      <c r="F27" s="1206"/>
      <c r="H27" s="125"/>
    </row>
    <row r="28" spans="2:8" x14ac:dyDescent="0.4">
      <c r="B28" s="982"/>
      <c r="C28" s="983"/>
      <c r="D28" s="983"/>
      <c r="E28" s="983"/>
      <c r="F28" s="984"/>
      <c r="H28" s="125"/>
    </row>
    <row r="29" spans="2:8" x14ac:dyDescent="0.4">
      <c r="B29" s="982"/>
      <c r="C29" s="983"/>
      <c r="D29" s="983"/>
      <c r="E29" s="983"/>
      <c r="F29" s="984"/>
      <c r="H29" s="125"/>
    </row>
    <row r="30" spans="2:8" x14ac:dyDescent="0.4">
      <c r="B30" s="1207"/>
      <c r="C30" s="1208"/>
      <c r="D30" s="1208"/>
      <c r="E30" s="1208"/>
      <c r="F30" s="1209"/>
      <c r="H30" s="125"/>
    </row>
    <row r="31" spans="2:8" x14ac:dyDescent="0.4">
      <c r="B31" s="42"/>
      <c r="C31" s="43"/>
      <c r="D31" s="43"/>
      <c r="E31" s="43"/>
      <c r="F31" s="44"/>
      <c r="H31" s="125"/>
    </row>
    <row r="32" spans="2:8" x14ac:dyDescent="0.4">
      <c r="B32" s="1204"/>
      <c r="C32" s="1205"/>
      <c r="D32" s="1205"/>
      <c r="E32" s="1205"/>
      <c r="F32" s="1206"/>
      <c r="H32" s="125"/>
    </row>
    <row r="33" spans="2:8" x14ac:dyDescent="0.4">
      <c r="B33" s="982"/>
      <c r="C33" s="983"/>
      <c r="D33" s="983"/>
      <c r="E33" s="983"/>
      <c r="F33" s="984"/>
      <c r="H33" s="125"/>
    </row>
    <row r="34" spans="2:8" x14ac:dyDescent="0.4">
      <c r="B34" s="982"/>
      <c r="C34" s="983"/>
      <c r="D34" s="983"/>
      <c r="E34" s="983"/>
      <c r="F34" s="984"/>
      <c r="H34" s="125"/>
    </row>
    <row r="35" spans="2:8" x14ac:dyDescent="0.4">
      <c r="B35" s="1207"/>
      <c r="C35" s="1208"/>
      <c r="D35" s="1208"/>
      <c r="E35" s="1208"/>
      <c r="F35" s="1209"/>
      <c r="H35" s="125"/>
    </row>
    <row r="36" spans="2:8" x14ac:dyDescent="0.4">
      <c r="B36" s="42"/>
      <c r="C36" s="43"/>
      <c r="D36" s="43"/>
      <c r="E36" s="43"/>
      <c r="F36" s="44"/>
      <c r="H36" s="125"/>
    </row>
    <row r="37" spans="2:8" x14ac:dyDescent="0.4">
      <c r="B37" s="1204"/>
      <c r="C37" s="1205"/>
      <c r="D37" s="1205"/>
      <c r="E37" s="1205"/>
      <c r="F37" s="1206"/>
      <c r="H37" s="125"/>
    </row>
    <row r="38" spans="2:8" x14ac:dyDescent="0.4">
      <c r="B38" s="982"/>
      <c r="C38" s="983"/>
      <c r="D38" s="983"/>
      <c r="E38" s="983"/>
      <c r="F38" s="984"/>
      <c r="H38" s="125"/>
    </row>
    <row r="39" spans="2:8" x14ac:dyDescent="0.4">
      <c r="B39" s="982"/>
      <c r="C39" s="983"/>
      <c r="D39" s="983"/>
      <c r="E39" s="983"/>
      <c r="F39" s="984"/>
      <c r="H39" s="125"/>
    </row>
    <row r="40" spans="2:8" x14ac:dyDescent="0.4">
      <c r="B40" s="1207"/>
      <c r="C40" s="1208"/>
      <c r="D40" s="1208"/>
      <c r="E40" s="1208"/>
      <c r="F40" s="1209"/>
      <c r="H40" s="125"/>
    </row>
    <row r="41" spans="2:8" x14ac:dyDescent="0.4">
      <c r="B41" s="42"/>
      <c r="C41" s="43"/>
      <c r="D41" s="43"/>
      <c r="E41" s="43"/>
      <c r="F41" s="44"/>
      <c r="H41" s="125"/>
    </row>
    <row r="42" spans="2:8" x14ac:dyDescent="0.4">
      <c r="B42" s="1204"/>
      <c r="C42" s="1205"/>
      <c r="D42" s="1205"/>
      <c r="E42" s="1205"/>
      <c r="F42" s="1206"/>
      <c r="H42" s="125"/>
    </row>
    <row r="43" spans="2:8" x14ac:dyDescent="0.4">
      <c r="B43" s="982"/>
      <c r="C43" s="983"/>
      <c r="D43" s="983"/>
      <c r="E43" s="983"/>
      <c r="F43" s="984"/>
      <c r="H43" s="125"/>
    </row>
    <row r="44" spans="2:8" x14ac:dyDescent="0.4">
      <c r="B44" s="982"/>
      <c r="C44" s="983"/>
      <c r="D44" s="983"/>
      <c r="E44" s="983"/>
      <c r="F44" s="984"/>
      <c r="H44" s="125"/>
    </row>
    <row r="45" spans="2:8" x14ac:dyDescent="0.4">
      <c r="B45" s="1207"/>
      <c r="C45" s="1208"/>
      <c r="D45" s="1208"/>
      <c r="E45" s="1208"/>
      <c r="F45" s="1209"/>
      <c r="H45" s="125"/>
    </row>
    <row r="46" spans="2:8" x14ac:dyDescent="0.4">
      <c r="B46" s="42"/>
      <c r="C46" s="43"/>
      <c r="D46" s="43"/>
      <c r="E46" s="43"/>
      <c r="F46" s="44"/>
      <c r="H46" s="125"/>
    </row>
    <row r="47" spans="2:8" x14ac:dyDescent="0.4">
      <c r="B47" s="1204"/>
      <c r="C47" s="1205"/>
      <c r="D47" s="1205"/>
      <c r="E47" s="1205"/>
      <c r="F47" s="1206"/>
      <c r="H47" s="125"/>
    </row>
    <row r="48" spans="2:8" x14ac:dyDescent="0.4">
      <c r="B48" s="982"/>
      <c r="C48" s="983"/>
      <c r="D48" s="983"/>
      <c r="E48" s="983"/>
      <c r="F48" s="984"/>
      <c r="H48" s="125"/>
    </row>
    <row r="49" spans="1:8" x14ac:dyDescent="0.4">
      <c r="B49" s="982"/>
      <c r="C49" s="983"/>
      <c r="D49" s="983"/>
      <c r="E49" s="983"/>
      <c r="F49" s="984"/>
      <c r="H49" s="125"/>
    </row>
    <row r="50" spans="1:8" ht="16" thickBot="1" x14ac:dyDescent="0.45">
      <c r="B50" s="985"/>
      <c r="C50" s="986"/>
      <c r="D50" s="986"/>
      <c r="E50" s="986"/>
      <c r="F50" s="987"/>
      <c r="H50" s="125"/>
    </row>
    <row r="51" spans="1:8" x14ac:dyDescent="0.4">
      <c r="H51" s="125"/>
    </row>
    <row r="52" spans="1:8" x14ac:dyDescent="0.4">
      <c r="A52" s="125"/>
      <c r="B52" s="125"/>
      <c r="C52" s="125"/>
      <c r="D52" s="125"/>
      <c r="E52" s="125"/>
      <c r="F52" s="125"/>
      <c r="G52" s="125"/>
      <c r="H52" s="125"/>
    </row>
  </sheetData>
  <sheetProtection algorithmName="SHA-512" hashValue="Qm91/zK+2yhAQtogMO15dcma2P5VZqtPxXAqh/Q7A5vcrl5Nxf5YYFZvUUfKalIstyo6i08UN9LMKG1n+k+jRg==" saltValue="/xfLBaJ8WABARRKUFWyr1w==" spinCount="100000" sheet="1" selectLockedCells="1"/>
  <mergeCells count="10">
    <mergeCell ref="B32:F35"/>
    <mergeCell ref="B37:F40"/>
    <mergeCell ref="B42:F45"/>
    <mergeCell ref="B47:F50"/>
    <mergeCell ref="B2:C2"/>
    <mergeCell ref="B10:F10"/>
    <mergeCell ref="B12:F15"/>
    <mergeCell ref="B17:F20"/>
    <mergeCell ref="B22:F25"/>
    <mergeCell ref="B27:F30"/>
  </mergeCells>
  <hyperlinks>
    <hyperlink ref="E2" location="Instructions!A1" display="Back to Instructions tab"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0070C0"/>
  </sheetPr>
  <dimension ref="A1:H19"/>
  <sheetViews>
    <sheetView showGridLines="0" workbookViewId="0">
      <selection activeCell="F2" sqref="F2"/>
    </sheetView>
  </sheetViews>
  <sheetFormatPr defaultColWidth="9.08984375" defaultRowHeight="15.5" x14ac:dyDescent="0.4"/>
  <cols>
    <col min="1" max="1" width="9.08984375" style="75"/>
    <col min="2" max="2" width="28.90625" style="75" bestFit="1" customWidth="1"/>
    <col min="3" max="3" width="33.453125" style="75" customWidth="1"/>
    <col min="4" max="4" width="34.90625" style="75" customWidth="1"/>
    <col min="5" max="5" width="35.08984375" style="75" customWidth="1"/>
    <col min="6" max="6" width="23.90625" style="75" bestFit="1" customWidth="1"/>
    <col min="7" max="7" width="9.08984375" style="75"/>
    <col min="8" max="8" width="3.08984375" style="75" customWidth="1"/>
    <col min="9" max="16384" width="9.08984375" style="75"/>
  </cols>
  <sheetData>
    <row r="1" spans="2:8" ht="16" thickBot="1" x14ac:dyDescent="0.45">
      <c r="H1" s="125"/>
    </row>
    <row r="2" spans="2:8" ht="16" thickBot="1" x14ac:dyDescent="0.45">
      <c r="B2" s="1079" t="s">
        <v>12</v>
      </c>
      <c r="C2" s="1080"/>
      <c r="D2" s="1081"/>
      <c r="F2" s="243" t="s">
        <v>51</v>
      </c>
      <c r="H2" s="125"/>
    </row>
    <row r="3" spans="2:8" x14ac:dyDescent="0.4">
      <c r="B3" s="610" t="str">
        <f>'Version Control'!B3</f>
        <v>Test Report Template Name:</v>
      </c>
      <c r="C3" s="1015" t="str">
        <f>'Version Control'!C3</f>
        <v>Consumer Water Heater, UEF</v>
      </c>
      <c r="D3" s="1016"/>
      <c r="H3" s="125"/>
    </row>
    <row r="4" spans="2:8" ht="17" x14ac:dyDescent="0.45">
      <c r="B4" s="611" t="str">
        <f>'Version Control'!B4</f>
        <v>Version Number:</v>
      </c>
      <c r="C4" s="1017" t="str">
        <f>'Version Control'!C4</f>
        <v>v1.3</v>
      </c>
      <c r="D4" s="1018"/>
      <c r="F4" s="431"/>
      <c r="H4" s="125"/>
    </row>
    <row r="5" spans="2:8" x14ac:dyDescent="0.4">
      <c r="B5" s="611" t="str">
        <f>'Version Control'!B5</f>
        <v xml:space="preserve">Latest Template Revision: </v>
      </c>
      <c r="C5" s="1019">
        <f>'Version Control'!C5</f>
        <v>43643</v>
      </c>
      <c r="D5" s="1020"/>
      <c r="H5" s="125"/>
    </row>
    <row r="6" spans="2:8" x14ac:dyDescent="0.4">
      <c r="B6" s="611" t="str">
        <f>'Version Control'!B6</f>
        <v>Tab Name:</v>
      </c>
      <c r="C6" s="1017" t="str">
        <f ca="1">MID(CELL("filename",A1), FIND("]", CELL("filename", A1))+ 1, 255)</f>
        <v>Report Sign-Off Block</v>
      </c>
      <c r="D6" s="1018"/>
      <c r="H6" s="125"/>
    </row>
    <row r="7" spans="2:8" ht="16" thickBot="1" x14ac:dyDescent="0.45">
      <c r="B7" s="612" t="str">
        <f>'Version Control'!B7</f>
        <v>File Name:</v>
      </c>
      <c r="C7" s="1013" t="str">
        <f ca="1">'Version Control'!C7</f>
        <v>Consumer Water Heater, UEF - v1.3.xlsx</v>
      </c>
      <c r="D7" s="1014"/>
      <c r="H7" s="125"/>
    </row>
    <row r="8" spans="2:8" x14ac:dyDescent="0.4">
      <c r="B8" s="56"/>
      <c r="C8" s="57"/>
      <c r="H8" s="125"/>
    </row>
    <row r="9" spans="2:8" ht="16" thickBot="1" x14ac:dyDescent="0.45">
      <c r="H9" s="125"/>
    </row>
    <row r="10" spans="2:8" ht="16" thickBot="1" x14ac:dyDescent="0.45">
      <c r="B10" s="951" t="s">
        <v>65</v>
      </c>
      <c r="C10" s="993"/>
      <c r="D10" s="993"/>
      <c r="E10" s="952"/>
      <c r="F10" s="62"/>
      <c r="H10" s="125"/>
    </row>
    <row r="11" spans="2:8" ht="16.5" customHeight="1" x14ac:dyDescent="0.4">
      <c r="B11" s="1212" t="s">
        <v>79</v>
      </c>
      <c r="C11" s="1213"/>
      <c r="D11" s="1213"/>
      <c r="E11" s="1214"/>
      <c r="F11" s="34"/>
      <c r="H11" s="125"/>
    </row>
    <row r="12" spans="2:8" ht="35.25" customHeight="1" thickBot="1" x14ac:dyDescent="0.45">
      <c r="B12" s="1215"/>
      <c r="C12" s="1216"/>
      <c r="D12" s="1216"/>
      <c r="E12" s="1217"/>
      <c r="F12" s="34"/>
      <c r="H12" s="125"/>
    </row>
    <row r="13" spans="2:8" ht="16" thickBot="1" x14ac:dyDescent="0.45">
      <c r="B13" s="1218" t="s">
        <v>70</v>
      </c>
      <c r="C13" s="1219"/>
      <c r="D13" s="38" t="s">
        <v>50</v>
      </c>
      <c r="E13" s="39" t="s">
        <v>71</v>
      </c>
      <c r="F13" s="35"/>
      <c r="H13" s="125"/>
    </row>
    <row r="14" spans="2:8" x14ac:dyDescent="0.4">
      <c r="B14" s="1220" t="s">
        <v>72</v>
      </c>
      <c r="C14" s="1221"/>
      <c r="D14" s="37" t="str">
        <f>'General Info &amp; Test Results'!C43</f>
        <v>[MM/DD/YYYY]</v>
      </c>
      <c r="E14" s="927" t="s">
        <v>80</v>
      </c>
      <c r="F14" s="36"/>
      <c r="H14" s="125"/>
    </row>
    <row r="15" spans="2:8" x14ac:dyDescent="0.4">
      <c r="B15" s="1222" t="s">
        <v>74</v>
      </c>
      <c r="C15" s="1223"/>
      <c r="D15" s="33" t="s">
        <v>81</v>
      </c>
      <c r="E15" s="927" t="s">
        <v>80</v>
      </c>
      <c r="F15" s="36"/>
      <c r="H15" s="125"/>
    </row>
    <row r="16" spans="2:8" x14ac:dyDescent="0.4">
      <c r="B16" s="1222" t="s">
        <v>76</v>
      </c>
      <c r="C16" s="1223"/>
      <c r="D16" s="33" t="s">
        <v>81</v>
      </c>
      <c r="E16" s="927" t="s">
        <v>80</v>
      </c>
      <c r="F16" s="36"/>
      <c r="H16" s="125"/>
    </row>
    <row r="17" spans="1:8" ht="16" thickBot="1" x14ac:dyDescent="0.45">
      <c r="B17" s="1210" t="s">
        <v>76</v>
      </c>
      <c r="C17" s="1211"/>
      <c r="D17" s="40" t="s">
        <v>81</v>
      </c>
      <c r="E17" s="928" t="s">
        <v>80</v>
      </c>
      <c r="F17" s="36"/>
      <c r="H17" s="125"/>
    </row>
    <row r="18" spans="1:8" x14ac:dyDescent="0.4">
      <c r="B18" s="32"/>
      <c r="D18" s="32"/>
      <c r="E18" s="32"/>
      <c r="F18" s="32"/>
      <c r="H18" s="125"/>
    </row>
    <row r="19" spans="1:8" x14ac:dyDescent="0.4">
      <c r="A19" s="125"/>
      <c r="B19" s="125"/>
      <c r="C19" s="125"/>
      <c r="D19" s="125"/>
      <c r="E19" s="125"/>
      <c r="F19" s="125"/>
      <c r="G19" s="125"/>
      <c r="H19" s="125"/>
    </row>
  </sheetData>
  <sheetProtection algorithmName="SHA-512" hashValue="W1jl2gSPc3s7snGVcPGUFCMhAVTKeGZ9+zttDI/HaAjMnl9swJNbXaOsblGG/ywZEm0xcUM/CcPh6U0wyeVE8Q==" saltValue="jRDIuGH8oAmu1uZjw/k50w==" spinCount="100000" sheet="1" selectLockedCells="1"/>
  <mergeCells count="13">
    <mergeCell ref="B10:E10"/>
    <mergeCell ref="C7:D7"/>
    <mergeCell ref="B2:D2"/>
    <mergeCell ref="C3:D3"/>
    <mergeCell ref="C4:D4"/>
    <mergeCell ref="C5:D5"/>
    <mergeCell ref="C6:D6"/>
    <mergeCell ref="B17:C17"/>
    <mergeCell ref="B11:E12"/>
    <mergeCell ref="B13:C13"/>
    <mergeCell ref="B14:C14"/>
    <mergeCell ref="B15:C15"/>
    <mergeCell ref="B16:C16"/>
  </mergeCells>
  <hyperlinks>
    <hyperlink ref="F2" location="Instructions!A1" display="Back to Instructions tab"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B1:BK65"/>
  <sheetViews>
    <sheetView showGridLines="0" zoomScale="60" zoomScaleNormal="60" workbookViewId="0"/>
  </sheetViews>
  <sheetFormatPr defaultColWidth="9.08984375" defaultRowHeight="15.5" x14ac:dyDescent="0.4"/>
  <cols>
    <col min="1" max="1" width="4.453125" style="473" customWidth="1"/>
    <col min="2" max="2" width="9.08984375" style="473"/>
    <col min="3" max="3" width="9.08984375" style="473" customWidth="1"/>
    <col min="4" max="50" width="9.08984375" style="473"/>
    <col min="51" max="51" width="49.90625" style="473" customWidth="1"/>
    <col min="52" max="53" width="23.453125" style="473" bestFit="1" customWidth="1"/>
    <col min="54" max="54" width="21.90625" style="473" bestFit="1" customWidth="1"/>
    <col min="55" max="55" width="18.36328125" style="473" bestFit="1" customWidth="1"/>
    <col min="56" max="56" width="17.36328125" style="473" bestFit="1" customWidth="1"/>
    <col min="57" max="57" width="17.36328125" style="473" customWidth="1"/>
    <col min="58" max="58" width="11.08984375" style="473" bestFit="1" customWidth="1"/>
    <col min="59" max="59" width="16.54296875" style="473" bestFit="1" customWidth="1"/>
    <col min="60" max="60" width="15.453125" style="473" bestFit="1" customWidth="1"/>
    <col min="61" max="61" width="14.6328125" style="473" bestFit="1" customWidth="1"/>
    <col min="62" max="62" width="23" style="473" bestFit="1" customWidth="1"/>
    <col min="63" max="63" width="22" style="473" bestFit="1" customWidth="1"/>
    <col min="64" max="16384" width="9.08984375" style="473"/>
  </cols>
  <sheetData>
    <row r="1" spans="2:63" ht="30" customHeight="1" x14ac:dyDescent="0.4">
      <c r="B1" s="1224" t="s">
        <v>351</v>
      </c>
      <c r="C1" s="1225"/>
      <c r="D1" s="1225"/>
      <c r="E1" s="1225"/>
      <c r="F1" s="1225"/>
      <c r="G1" s="1225"/>
      <c r="H1" s="1225"/>
      <c r="I1" s="1225"/>
      <c r="J1" s="1225"/>
      <c r="K1" s="1225"/>
      <c r="L1" s="1225"/>
      <c r="M1" s="1225"/>
      <c r="N1" s="1225"/>
      <c r="O1" s="1225"/>
      <c r="P1" s="1225"/>
      <c r="Q1" s="1226"/>
    </row>
    <row r="2" spans="2:63" ht="23.25" customHeight="1" thickBot="1" x14ac:dyDescent="0.45">
      <c r="B2" s="1227"/>
      <c r="C2" s="1228"/>
      <c r="D2" s="1228"/>
      <c r="E2" s="1228"/>
      <c r="F2" s="1228"/>
      <c r="G2" s="1228"/>
      <c r="H2" s="1228"/>
      <c r="I2" s="1228"/>
      <c r="J2" s="1228"/>
      <c r="K2" s="1228"/>
      <c r="L2" s="1228"/>
      <c r="M2" s="1228"/>
      <c r="N2" s="1228"/>
      <c r="O2" s="1228"/>
      <c r="P2" s="1228"/>
      <c r="Q2" s="1229"/>
    </row>
    <row r="3" spans="2:63" x14ac:dyDescent="0.4">
      <c r="AY3" s="474" t="s">
        <v>338</v>
      </c>
      <c r="AZ3" s="475"/>
      <c r="BA3" s="475"/>
      <c r="BB3" s="475"/>
      <c r="BC3" s="475"/>
      <c r="BD3" s="475"/>
      <c r="BE3" s="475"/>
      <c r="BF3" s="475"/>
      <c r="BG3" s="475"/>
      <c r="BH3" s="475"/>
      <c r="BI3" s="475"/>
      <c r="BJ3" s="476"/>
      <c r="BK3" s="477"/>
    </row>
    <row r="4" spans="2:63" ht="16" thickBot="1" x14ac:dyDescent="0.45">
      <c r="AY4" s="478"/>
      <c r="AZ4" s="479"/>
      <c r="BA4" s="479"/>
      <c r="BB4" s="479"/>
      <c r="BC4" s="479"/>
      <c r="BD4" s="479"/>
      <c r="BE4" s="479"/>
      <c r="BF4" s="479"/>
      <c r="BG4" s="479"/>
      <c r="BH4" s="479"/>
      <c r="BI4" s="479"/>
      <c r="BJ4" s="480"/>
      <c r="BK4" s="481"/>
    </row>
    <row r="5" spans="2:63" x14ac:dyDescent="0.4">
      <c r="AY5" s="482" t="s">
        <v>129</v>
      </c>
      <c r="AZ5" s="483" t="s">
        <v>322</v>
      </c>
      <c r="BA5" s="483" t="s">
        <v>324</v>
      </c>
      <c r="BB5" s="484" t="s">
        <v>348</v>
      </c>
      <c r="BC5" s="483" t="s">
        <v>334</v>
      </c>
      <c r="BD5" s="485" t="s">
        <v>335</v>
      </c>
      <c r="BE5" s="486"/>
      <c r="BF5" s="487" t="s">
        <v>321</v>
      </c>
      <c r="BG5" s="488" t="s">
        <v>323</v>
      </c>
      <c r="BH5" s="488" t="s">
        <v>325</v>
      </c>
      <c r="BI5" s="484" t="s">
        <v>348</v>
      </c>
      <c r="BJ5" s="488" t="s">
        <v>336</v>
      </c>
      <c r="BK5" s="489" t="s">
        <v>337</v>
      </c>
    </row>
    <row r="6" spans="2:63" x14ac:dyDescent="0.4">
      <c r="AY6" s="490">
        <v>1</v>
      </c>
      <c r="AZ6" s="491">
        <f ca="1">ROUND(IF(BB6="",1440,'24-Hr Simulated Use Test'!D30),0)</f>
        <v>1440</v>
      </c>
      <c r="BA6" s="492">
        <f ca="1">ROUND(IF(BB6="",1440,AZ6+BB6/60),0)</f>
        <v>1440</v>
      </c>
      <c r="BB6" s="493" t="str">
        <f ca="1">IF('24-Hr Simulated Use Test'!$D$33="","",'24-Hr Simulated Use Test'!$D$33*60)</f>
        <v/>
      </c>
      <c r="BC6" s="494">
        <f ca="1">IF(AZ6=1440,0,VLOOKUP(AZ6,'24-Hr Simulated Use Test'!$C$413:$D$1853,2,TRUE))</f>
        <v>0</v>
      </c>
      <c r="BD6" s="495">
        <f ca="1">IF(BA6=1440,0,VLOOKUP(BA6,'24-Hr Simulated Use Test'!$C$413:$D$1853,2,FALSE))</f>
        <v>0</v>
      </c>
      <c r="BE6" s="486"/>
      <c r="BF6" s="496">
        <f>IF('24-Hr Simulated Use Test'!$D$46&gt;'24-Hr Simulated Use Test'!$D$45,"",'24-Hr Simulated Use Test'!$D$46)</f>
        <v>1</v>
      </c>
      <c r="BG6" s="497">
        <f>ROUND(IF(BF6="",1440,'24-Hr Simulated Use Test'!D47),0)</f>
        <v>0</v>
      </c>
      <c r="BH6" s="498">
        <f>IF(BF6="",1440,ROUND('24-Hr Simulated Use Test'!D48,0))</f>
        <v>0</v>
      </c>
      <c r="BI6" s="498">
        <f t="shared" ref="BI6:BI21" si="0">(BH6-BG6)*60</f>
        <v>0</v>
      </c>
      <c r="BJ6" s="499">
        <f>IF(BF6="",0,VLOOKUP(BG6,'24-Hr Simulated Use Test'!$C$413:$D$1853,2,FALSE))</f>
        <v>0</v>
      </c>
      <c r="BK6" s="500">
        <f>IF(BF6="",0,VLOOKUP(BH6,'24-Hr Simulated Use Test'!$C$413:$D$1853,2,FALSE))</f>
        <v>0</v>
      </c>
    </row>
    <row r="7" spans="2:63" x14ac:dyDescent="0.4">
      <c r="AY7" s="501">
        <v>2</v>
      </c>
      <c r="AZ7" s="502">
        <f ca="1">ROUND(IF(BB7="",1440,'24-Hr Simulated Use Test'!E30),0)</f>
        <v>1440</v>
      </c>
      <c r="BA7" s="503">
        <f t="shared" ref="BA7:BA19" ca="1" si="1">ROUND(IF(BB7="",1440,AZ7+BB7/60),0)</f>
        <v>1440</v>
      </c>
      <c r="BB7" s="504" t="str">
        <f ca="1">IF('24-Hr Simulated Use Test'!$E$33="","",'24-Hr Simulated Use Test'!$E$33*60)</f>
        <v/>
      </c>
      <c r="BC7" s="505">
        <f ca="1">IF(AZ7=1440,0,VLOOKUP(AZ7,'24-Hr Simulated Use Test'!$C$413:$D$1853,2,TRUE))</f>
        <v>0</v>
      </c>
      <c r="BD7" s="506">
        <f ca="1">IF(BA7=1440,0,VLOOKUP(BA7,'24-Hr Simulated Use Test'!$C$413:$D$1853,2,FALSE))</f>
        <v>0</v>
      </c>
      <c r="BE7" s="486"/>
      <c r="BF7" s="507">
        <f>IF('24-Hr Simulated Use Test'!$E$46&gt;'24-Hr Simulated Use Test'!$D$45,"",'24-Hr Simulated Use Test'!$E$46)</f>
        <v>2</v>
      </c>
      <c r="BG7" s="508">
        <f>ROUND(IF(BF7="",1440,'24-Hr Simulated Use Test'!E47),0)</f>
        <v>0</v>
      </c>
      <c r="BH7" s="509">
        <f>IF(BF7="",1440,ROUND('24-Hr Simulated Use Test'!E48,0))</f>
        <v>0</v>
      </c>
      <c r="BI7" s="509">
        <f t="shared" si="0"/>
        <v>0</v>
      </c>
      <c r="BJ7" s="510">
        <f>IF(BF7="",0,VLOOKUP(BG7,'24-Hr Simulated Use Test'!$C$413:$D$1853,2,FALSE))</f>
        <v>0</v>
      </c>
      <c r="BK7" s="511">
        <f>IF(BF7="",0,VLOOKUP(BH7,'24-Hr Simulated Use Test'!$C$413:$D$1853,2,FALSE))</f>
        <v>0</v>
      </c>
    </row>
    <row r="8" spans="2:63" x14ac:dyDescent="0.4">
      <c r="AY8" s="501">
        <v>3</v>
      </c>
      <c r="AZ8" s="502">
        <f ca="1">ROUND(IF(BB8="",1440,'24-Hr Simulated Use Test'!F30),0)</f>
        <v>1440</v>
      </c>
      <c r="BA8" s="503">
        <f t="shared" ca="1" si="1"/>
        <v>1440</v>
      </c>
      <c r="BB8" s="504" t="str">
        <f ca="1">IF('24-Hr Simulated Use Test'!$F$33="","",'24-Hr Simulated Use Test'!$F$33*60)</f>
        <v/>
      </c>
      <c r="BC8" s="505">
        <f ca="1">IF(AZ8=1440,0,VLOOKUP(AZ8,'24-Hr Simulated Use Test'!$C$413:$D$1853,2,TRUE))</f>
        <v>0</v>
      </c>
      <c r="BD8" s="506">
        <f ca="1">IF(BA8=1440,0,VLOOKUP(BA8,'24-Hr Simulated Use Test'!$C$413:$D$1853,2,FALSE))</f>
        <v>0</v>
      </c>
      <c r="BE8" s="486"/>
      <c r="BF8" s="507">
        <f>IF('24-Hr Simulated Use Test'!$F$46&gt;'24-Hr Simulated Use Test'!$D$45,"",'24-Hr Simulated Use Test'!$F$46)</f>
        <v>3</v>
      </c>
      <c r="BG8" s="508">
        <f>IF(BF8="",1440,ROUND('24-Hr Simulated Use Test'!F47,0))</f>
        <v>0</v>
      </c>
      <c r="BH8" s="509">
        <f>IF(BF8="",1440,ROUND('24-Hr Simulated Use Test'!F48,0))</f>
        <v>0</v>
      </c>
      <c r="BI8" s="509">
        <f t="shared" si="0"/>
        <v>0</v>
      </c>
      <c r="BJ8" s="510">
        <f>IF(BF8="",0,VLOOKUP(BG8,'24-Hr Simulated Use Test'!$C$413:$D$1853,2,FALSE))</f>
        <v>0</v>
      </c>
      <c r="BK8" s="511">
        <f>IF(BF8="",0,VLOOKUP(BH8,'24-Hr Simulated Use Test'!$C$413:$D$1853,2,FALSE))</f>
        <v>0</v>
      </c>
    </row>
    <row r="9" spans="2:63" x14ac:dyDescent="0.4">
      <c r="AY9" s="501">
        <v>4</v>
      </c>
      <c r="AZ9" s="502">
        <f ca="1">ROUND(IF(BB9="",1440,'24-Hr Simulated Use Test'!G30),0)</f>
        <v>1440</v>
      </c>
      <c r="BA9" s="503">
        <f t="shared" ca="1" si="1"/>
        <v>1440</v>
      </c>
      <c r="BB9" s="504" t="str">
        <f ca="1">IF('24-Hr Simulated Use Test'!$G$33="","",'24-Hr Simulated Use Test'!$G$33*60)</f>
        <v/>
      </c>
      <c r="BC9" s="505">
        <f ca="1">IF(AZ9=1440,0,VLOOKUP(AZ9,'24-Hr Simulated Use Test'!$C$413:$D$1853,2,TRUE))</f>
        <v>0</v>
      </c>
      <c r="BD9" s="506">
        <f ca="1">IF(BA9=1440,0,VLOOKUP(BA9,'24-Hr Simulated Use Test'!$C$413:$D$1853,2,FALSE))</f>
        <v>0</v>
      </c>
      <c r="BE9" s="512"/>
      <c r="BF9" s="507">
        <f>IF('24-Hr Simulated Use Test'!$G$46&gt;'24-Hr Simulated Use Test'!$D$45,"",'24-Hr Simulated Use Test'!$G$46)</f>
        <v>4</v>
      </c>
      <c r="BG9" s="508">
        <f>IF(BF9="",1440,ROUND('24-Hr Simulated Use Test'!G47,0))</f>
        <v>0</v>
      </c>
      <c r="BH9" s="509">
        <f>IF(BF9="",1440,ROUND('24-Hr Simulated Use Test'!G48,0))</f>
        <v>0</v>
      </c>
      <c r="BI9" s="509">
        <f t="shared" si="0"/>
        <v>0</v>
      </c>
      <c r="BJ9" s="510">
        <f>IF(BF9="",0,VLOOKUP(BG9,'24-Hr Simulated Use Test'!$C$413:$D$1853,2,FALSE))</f>
        <v>0</v>
      </c>
      <c r="BK9" s="511">
        <f>IF(BF9="",0,VLOOKUP(BH9,'24-Hr Simulated Use Test'!$C$413:$D$1853,2,FALSE))</f>
        <v>0</v>
      </c>
    </row>
    <row r="10" spans="2:63" x14ac:dyDescent="0.4">
      <c r="AY10" s="501">
        <v>5</v>
      </c>
      <c r="AZ10" s="502">
        <f ca="1">ROUND(IF(BB10="",1440,'24-Hr Simulated Use Test'!H30),0)</f>
        <v>1440</v>
      </c>
      <c r="BA10" s="503">
        <f t="shared" ca="1" si="1"/>
        <v>1440</v>
      </c>
      <c r="BB10" s="504" t="str">
        <f ca="1">IF('24-Hr Simulated Use Test'!$H$33="","",'24-Hr Simulated Use Test'!$H$33*60)</f>
        <v/>
      </c>
      <c r="BC10" s="505">
        <f ca="1">IF(AZ10=1440,0,VLOOKUP(AZ10,'24-Hr Simulated Use Test'!$C$413:$D$1853,2,TRUE))</f>
        <v>0</v>
      </c>
      <c r="BD10" s="506">
        <f ca="1">IF(BA10=1440,0,VLOOKUP(BA10,'24-Hr Simulated Use Test'!$C$413:$D$1853,2,FALSE))</f>
        <v>0</v>
      </c>
      <c r="BE10" s="512"/>
      <c r="BF10" s="507">
        <f>IF('24-Hr Simulated Use Test'!$H$46&gt;'24-Hr Simulated Use Test'!$D$45,"",'24-Hr Simulated Use Test'!$H$46)</f>
        <v>5</v>
      </c>
      <c r="BG10" s="508">
        <f>IF(BF10="",1440,ROUND('24-Hr Simulated Use Test'!H47,0))</f>
        <v>0</v>
      </c>
      <c r="BH10" s="509">
        <f>IF(BF10="",1440,ROUND('24-Hr Simulated Use Test'!H48,0))</f>
        <v>0</v>
      </c>
      <c r="BI10" s="509">
        <f t="shared" si="0"/>
        <v>0</v>
      </c>
      <c r="BJ10" s="510">
        <f>IF(BF10="",0,VLOOKUP(BG10,'24-Hr Simulated Use Test'!$C$413:$D$1853,2,FALSE))</f>
        <v>0</v>
      </c>
      <c r="BK10" s="511">
        <f>IF(BF10="",0,VLOOKUP(BH10,'24-Hr Simulated Use Test'!$C$413:$D$1853,2,FALSE))</f>
        <v>0</v>
      </c>
    </row>
    <row r="11" spans="2:63" x14ac:dyDescent="0.4">
      <c r="AY11" s="501">
        <v>6</v>
      </c>
      <c r="AZ11" s="502">
        <f ca="1">ROUND(IF(BB11="",1440,'24-Hr Simulated Use Test'!I30),0)</f>
        <v>1440</v>
      </c>
      <c r="BA11" s="503">
        <f t="shared" ca="1" si="1"/>
        <v>1440</v>
      </c>
      <c r="BB11" s="504" t="str">
        <f ca="1">IF('24-Hr Simulated Use Test'!$I$33="","",'24-Hr Simulated Use Test'!$I$33*60)</f>
        <v/>
      </c>
      <c r="BC11" s="505">
        <f ca="1">IF(AZ11=1440,0,VLOOKUP(AZ11,'24-Hr Simulated Use Test'!$C$413:$D$1853,2,TRUE))</f>
        <v>0</v>
      </c>
      <c r="BD11" s="506">
        <f ca="1">IF(BA11=1440,0,VLOOKUP(BA11,'24-Hr Simulated Use Test'!$C$413:$D$1853,2,FALSE))</f>
        <v>0</v>
      </c>
      <c r="BE11" s="486"/>
      <c r="BF11" s="507">
        <f>IF('24-Hr Simulated Use Test'!$I$46&gt;'24-Hr Simulated Use Test'!$D$45,"",'24-Hr Simulated Use Test'!$I$46)</f>
        <v>6</v>
      </c>
      <c r="BG11" s="513">
        <f>IF(BF11="",1440,ROUND('24-Hr Simulated Use Test'!I47,0))</f>
        <v>0</v>
      </c>
      <c r="BH11" s="509">
        <f>IF(BF11="",1440,ROUND('24-Hr Simulated Use Test'!I48,0))</f>
        <v>0</v>
      </c>
      <c r="BI11" s="509">
        <f t="shared" si="0"/>
        <v>0</v>
      </c>
      <c r="BJ11" s="510">
        <f>IF(BF11="",0,VLOOKUP(BG11,'24-Hr Simulated Use Test'!$C$413:$D$1853,2,FALSE))</f>
        <v>0</v>
      </c>
      <c r="BK11" s="511">
        <f>IF(BF11="",0,VLOOKUP(BH11,'24-Hr Simulated Use Test'!$C$413:$D$1853,2,FALSE))</f>
        <v>0</v>
      </c>
    </row>
    <row r="12" spans="2:63" x14ac:dyDescent="0.4">
      <c r="AY12" s="501">
        <v>7</v>
      </c>
      <c r="AZ12" s="502">
        <f ca="1">ROUND(IF(BB12="",1440,'24-Hr Simulated Use Test'!J30),0)</f>
        <v>1440</v>
      </c>
      <c r="BA12" s="503">
        <f t="shared" ca="1" si="1"/>
        <v>1440</v>
      </c>
      <c r="BB12" s="504" t="str">
        <f ca="1">IF('24-Hr Simulated Use Test'!$J$33="","",'24-Hr Simulated Use Test'!$J$33*60)</f>
        <v/>
      </c>
      <c r="BC12" s="505">
        <f ca="1">IF(AZ12=1440,0,VLOOKUP(AZ12,'24-Hr Simulated Use Test'!$C$413:$D$1853,2,TRUE))</f>
        <v>0</v>
      </c>
      <c r="BD12" s="506">
        <f ca="1">IF(BA12=1440,0,VLOOKUP(BA12,'24-Hr Simulated Use Test'!$C$413:$D$1853,2,FALSE))</f>
        <v>0</v>
      </c>
      <c r="BE12" s="486"/>
      <c r="BF12" s="507">
        <f>IF('24-Hr Simulated Use Test'!$J$46&gt;'24-Hr Simulated Use Test'!$D$45,"",'24-Hr Simulated Use Test'!$J$46)</f>
        <v>7</v>
      </c>
      <c r="BG12" s="508">
        <f>IF(BF12="",1440,ROUND('24-Hr Simulated Use Test'!J47,0))</f>
        <v>0</v>
      </c>
      <c r="BH12" s="509">
        <f>IF(BF12="",1440,ROUND('24-Hr Simulated Use Test'!J48,0))</f>
        <v>0</v>
      </c>
      <c r="BI12" s="509">
        <f t="shared" si="0"/>
        <v>0</v>
      </c>
      <c r="BJ12" s="510">
        <f>IF(BF12="",0,VLOOKUP(BG12,'24-Hr Simulated Use Test'!$C$413:$D$1853,2,FALSE))</f>
        <v>0</v>
      </c>
      <c r="BK12" s="511">
        <f>IF(BF12="",0,VLOOKUP(BH12,'24-Hr Simulated Use Test'!$C$413:$D$1853,2,FALSE))</f>
        <v>0</v>
      </c>
    </row>
    <row r="13" spans="2:63" x14ac:dyDescent="0.4">
      <c r="AY13" s="501">
        <v>8</v>
      </c>
      <c r="AZ13" s="502">
        <f ca="1">ROUND(IF(BB13="",1440,'24-Hr Simulated Use Test'!K30),0)</f>
        <v>1440</v>
      </c>
      <c r="BA13" s="503">
        <f t="shared" ca="1" si="1"/>
        <v>1440</v>
      </c>
      <c r="BB13" s="504" t="str">
        <f ca="1">IF('24-Hr Simulated Use Test'!$K$33="","",'24-Hr Simulated Use Test'!$K$33*60)</f>
        <v/>
      </c>
      <c r="BC13" s="505">
        <f ca="1">IF(AZ13=1440,0,VLOOKUP(AZ13,'24-Hr Simulated Use Test'!$C$413:$D$1853,2,TRUE))</f>
        <v>0</v>
      </c>
      <c r="BD13" s="506">
        <f ca="1">IF(BA13=1440,0,VLOOKUP(BA13,'24-Hr Simulated Use Test'!$C$413:$D$1853,2,FALSE))</f>
        <v>0</v>
      </c>
      <c r="BE13" s="486"/>
      <c r="BF13" s="507">
        <f>IF('24-Hr Simulated Use Test'!$K$46&gt;'24-Hr Simulated Use Test'!$D$45,"",'24-Hr Simulated Use Test'!$K$46)</f>
        <v>8</v>
      </c>
      <c r="BG13" s="508">
        <f>IF(BF13="",1440,ROUND('24-Hr Simulated Use Test'!K47,0))</f>
        <v>0</v>
      </c>
      <c r="BH13" s="509">
        <f>IF(BF13="",1440,ROUND('24-Hr Simulated Use Test'!K48,0))</f>
        <v>0</v>
      </c>
      <c r="BI13" s="509">
        <f t="shared" si="0"/>
        <v>0</v>
      </c>
      <c r="BJ13" s="510">
        <f>IF(BF13="",0,VLOOKUP(BG13,'24-Hr Simulated Use Test'!$C$413:$D$1853,2,FALSE))</f>
        <v>0</v>
      </c>
      <c r="BK13" s="511">
        <f>IF(BF13="",0,VLOOKUP(BH13,'24-Hr Simulated Use Test'!$C$413:$D$1853,2,FALSE))</f>
        <v>0</v>
      </c>
    </row>
    <row r="14" spans="2:63" x14ac:dyDescent="0.4">
      <c r="AY14" s="501">
        <v>9</v>
      </c>
      <c r="AZ14" s="502">
        <f ca="1">ROUND(IF(BB14="",1440,'24-Hr Simulated Use Test'!L30),0)</f>
        <v>1440</v>
      </c>
      <c r="BA14" s="503">
        <f t="shared" ca="1" si="1"/>
        <v>1440</v>
      </c>
      <c r="BB14" s="504" t="str">
        <f ca="1">IF('24-Hr Simulated Use Test'!$L$33="","",'24-Hr Simulated Use Test'!$L$33*60)</f>
        <v/>
      </c>
      <c r="BC14" s="505">
        <f ca="1">IF(AZ14=1440,0,VLOOKUP(AZ14,'24-Hr Simulated Use Test'!$C$413:$D$1853,2,TRUE))</f>
        <v>0</v>
      </c>
      <c r="BD14" s="506">
        <f ca="1">IF(BA14=1440,0,VLOOKUP(BA14,'24-Hr Simulated Use Test'!$C$413:$D$1853,2,FALSE))</f>
        <v>0</v>
      </c>
      <c r="BE14" s="486"/>
      <c r="BF14" s="507">
        <f>IF('24-Hr Simulated Use Test'!$L$46&gt;'24-Hr Simulated Use Test'!$D$45,"",'24-Hr Simulated Use Test'!$L$46)</f>
        <v>9</v>
      </c>
      <c r="BG14" s="508">
        <f>IF(BF14="",1440,ROUND('24-Hr Simulated Use Test'!L47,0))</f>
        <v>0</v>
      </c>
      <c r="BH14" s="509">
        <f>IF(BF14="",1440,ROUND('24-Hr Simulated Use Test'!L48,0))</f>
        <v>0</v>
      </c>
      <c r="BI14" s="509">
        <f t="shared" si="0"/>
        <v>0</v>
      </c>
      <c r="BJ14" s="510">
        <f>IF(BF14="",0,VLOOKUP(BG14,'24-Hr Simulated Use Test'!$C$413:$D$1853,2,FALSE))</f>
        <v>0</v>
      </c>
      <c r="BK14" s="511">
        <f>IF(BF14="",0,VLOOKUP(BH14,'24-Hr Simulated Use Test'!$C$413:$D$1853,2,FALSE))</f>
        <v>0</v>
      </c>
    </row>
    <row r="15" spans="2:63" x14ac:dyDescent="0.4">
      <c r="AY15" s="501">
        <v>10</v>
      </c>
      <c r="AZ15" s="502">
        <f ca="1">ROUND(IF(BB15="",1440,'24-Hr Simulated Use Test'!M30),0)</f>
        <v>1440</v>
      </c>
      <c r="BA15" s="503">
        <f t="shared" ca="1" si="1"/>
        <v>1440</v>
      </c>
      <c r="BB15" s="504" t="str">
        <f ca="1">IF('24-Hr Simulated Use Test'!$M$33="","",'24-Hr Simulated Use Test'!$M$33*60)</f>
        <v/>
      </c>
      <c r="BC15" s="505">
        <f ca="1">IF(AZ15=1440,0,VLOOKUP(AZ15,'24-Hr Simulated Use Test'!$C$413:$D$1853,2,TRUE))</f>
        <v>0</v>
      </c>
      <c r="BD15" s="506">
        <f ca="1">IF(BA15=1440,0,VLOOKUP(BA15,'24-Hr Simulated Use Test'!$C$413:$D$1853,2,FALSE))</f>
        <v>0</v>
      </c>
      <c r="BE15" s="486"/>
      <c r="BF15" s="507">
        <f>IF('24-Hr Simulated Use Test'!$M$46&gt;'24-Hr Simulated Use Test'!$D$45,"",'24-Hr Simulated Use Test'!$M$46)</f>
        <v>10</v>
      </c>
      <c r="BG15" s="508">
        <f>IF(BF15="",1440,ROUND('24-Hr Simulated Use Test'!M47,0))</f>
        <v>0</v>
      </c>
      <c r="BH15" s="509">
        <f>IF(BF15="",1440,ROUND('24-Hr Simulated Use Test'!M48,0))</f>
        <v>0</v>
      </c>
      <c r="BI15" s="509">
        <f t="shared" si="0"/>
        <v>0</v>
      </c>
      <c r="BJ15" s="510">
        <f>IF(BF15="",0,VLOOKUP(BG15,'24-Hr Simulated Use Test'!$C$413:$D$1853,2,FALSE))</f>
        <v>0</v>
      </c>
      <c r="BK15" s="511">
        <f>IF(BF15="",0,VLOOKUP(BH15,'24-Hr Simulated Use Test'!$C$413:$D$1853,2,FALSE))</f>
        <v>0</v>
      </c>
    </row>
    <row r="16" spans="2:63" x14ac:dyDescent="0.4">
      <c r="AY16" s="501">
        <v>11</v>
      </c>
      <c r="AZ16" s="502">
        <f ca="1">ROUND(IF(BB16="",1440,'24-Hr Simulated Use Test'!N30),0)</f>
        <v>1440</v>
      </c>
      <c r="BA16" s="503">
        <f t="shared" ca="1" si="1"/>
        <v>1440</v>
      </c>
      <c r="BB16" s="504" t="str">
        <f ca="1">IF('24-Hr Simulated Use Test'!$N$33="","",'24-Hr Simulated Use Test'!$N$33*60)</f>
        <v/>
      </c>
      <c r="BC16" s="505">
        <f ca="1">IF(AZ16=1440,0,VLOOKUP(AZ16,'24-Hr Simulated Use Test'!$C$413:$D$1853,2,TRUE))</f>
        <v>0</v>
      </c>
      <c r="BD16" s="506">
        <f ca="1">IF(BA16=1440,0,VLOOKUP(BA16,'24-Hr Simulated Use Test'!$C$413:$D$1853,2,FALSE))</f>
        <v>0</v>
      </c>
      <c r="BE16" s="486"/>
      <c r="BF16" s="507">
        <f>IF('24-Hr Simulated Use Test'!$N$46&gt;'24-Hr Simulated Use Test'!$D$45,"",'24-Hr Simulated Use Test'!$N$46)</f>
        <v>11</v>
      </c>
      <c r="BG16" s="508">
        <f>IF(BF16="",1440,ROUND('24-Hr Simulated Use Test'!N47,0))</f>
        <v>0</v>
      </c>
      <c r="BH16" s="509">
        <f>IF(BF16="",1440,ROUND('24-Hr Simulated Use Test'!N48,0))</f>
        <v>0</v>
      </c>
      <c r="BI16" s="509">
        <f t="shared" si="0"/>
        <v>0</v>
      </c>
      <c r="BJ16" s="510">
        <f>IF(BF16="",0,VLOOKUP(BG16,'24-Hr Simulated Use Test'!$C$413:$D$1853,2,FALSE))</f>
        <v>0</v>
      </c>
      <c r="BK16" s="511">
        <f>IF(BF16="",0,VLOOKUP(BH16,'24-Hr Simulated Use Test'!$C$413:$D$1853,2,FALSE))</f>
        <v>0</v>
      </c>
    </row>
    <row r="17" spans="51:63" x14ac:dyDescent="0.4">
      <c r="AY17" s="501">
        <v>12</v>
      </c>
      <c r="AZ17" s="502">
        <f ca="1">ROUND(IF(BB17="",1440,'24-Hr Simulated Use Test'!O30),0)</f>
        <v>1440</v>
      </c>
      <c r="BA17" s="503">
        <f t="shared" ca="1" si="1"/>
        <v>1440</v>
      </c>
      <c r="BB17" s="504" t="str">
        <f ca="1">IF('24-Hr Simulated Use Test'!$O$33="","",'24-Hr Simulated Use Test'!$O$33*60)</f>
        <v/>
      </c>
      <c r="BC17" s="505">
        <f ca="1">IF(AZ17=1440,0,VLOOKUP(AZ17,'24-Hr Simulated Use Test'!$C$413:$D$1853,2,TRUE))</f>
        <v>0</v>
      </c>
      <c r="BD17" s="506">
        <f ca="1">IF(BA17=1440,0,VLOOKUP(BA17,'24-Hr Simulated Use Test'!$C$413:$D$1853,2,FALSE))</f>
        <v>0</v>
      </c>
      <c r="BE17" s="486"/>
      <c r="BF17" s="507">
        <f>IF('24-Hr Simulated Use Test'!$O$46&gt;'24-Hr Simulated Use Test'!$D$45,"",'24-Hr Simulated Use Test'!$O$46)</f>
        <v>12</v>
      </c>
      <c r="BG17" s="508">
        <f>IF(BF17="",1440,ROUND('24-Hr Simulated Use Test'!O47,0))</f>
        <v>0</v>
      </c>
      <c r="BH17" s="509">
        <f>IF(BF17="",1440,ROUND('24-Hr Simulated Use Test'!O48,0))</f>
        <v>0</v>
      </c>
      <c r="BI17" s="509">
        <f t="shared" si="0"/>
        <v>0</v>
      </c>
      <c r="BJ17" s="510">
        <f>IF(BF17="",0,VLOOKUP(BG17,'24-Hr Simulated Use Test'!$C$413:$D$1853,2,FALSE))</f>
        <v>0</v>
      </c>
      <c r="BK17" s="511">
        <f>IF(BF17="",0,VLOOKUP(BH17,'24-Hr Simulated Use Test'!$C$413:$D$1853,2,FALSE))</f>
        <v>0</v>
      </c>
    </row>
    <row r="18" spans="51:63" x14ac:dyDescent="0.4">
      <c r="AY18" s="501">
        <v>13</v>
      </c>
      <c r="AZ18" s="502">
        <f ca="1">ROUND(IF(BB18="",1440,'24-Hr Simulated Use Test'!P30),0)</f>
        <v>1440</v>
      </c>
      <c r="BA18" s="503">
        <f t="shared" ca="1" si="1"/>
        <v>1440</v>
      </c>
      <c r="BB18" s="504" t="str">
        <f ca="1">IF('24-Hr Simulated Use Test'!$P$33="","",'24-Hr Simulated Use Test'!$P$33*60)</f>
        <v/>
      </c>
      <c r="BC18" s="505">
        <f ca="1">IF(AZ18=1440,0,VLOOKUP(AZ18,'24-Hr Simulated Use Test'!$C$413:$D$1853,2,TRUE))</f>
        <v>0</v>
      </c>
      <c r="BD18" s="506">
        <f ca="1">IF(BA18=1440,0,VLOOKUP(BA18,'24-Hr Simulated Use Test'!$C$413:$D$1853,2,FALSE))</f>
        <v>0</v>
      </c>
      <c r="BE18" s="486"/>
      <c r="BF18" s="507">
        <f>IF('24-Hr Simulated Use Test'!$P$46&gt;'24-Hr Simulated Use Test'!$D$45,"",'24-Hr Simulated Use Test'!$P$46)</f>
        <v>13</v>
      </c>
      <c r="BG18" s="508">
        <f>IF(BF18="",1440,ROUND('24-Hr Simulated Use Test'!P47,0))</f>
        <v>0</v>
      </c>
      <c r="BH18" s="509">
        <f>IF(BF18="",1440,ROUND('24-Hr Simulated Use Test'!P48,0))</f>
        <v>0</v>
      </c>
      <c r="BI18" s="509">
        <f t="shared" si="0"/>
        <v>0</v>
      </c>
      <c r="BJ18" s="510">
        <f>IF(BF18="",0,VLOOKUP(BG18,'24-Hr Simulated Use Test'!$C$413:$D$1853,2,FALSE))</f>
        <v>0</v>
      </c>
      <c r="BK18" s="511">
        <f>IF(BF18="",0,VLOOKUP(BH18,'24-Hr Simulated Use Test'!$C$413:$D$1853,2,FALSE))</f>
        <v>0</v>
      </c>
    </row>
    <row r="19" spans="51:63" ht="16" thickBot="1" x14ac:dyDescent="0.45">
      <c r="AY19" s="514">
        <v>14</v>
      </c>
      <c r="AZ19" s="515">
        <f ca="1">ROUND(IF(BB19="",1440,'24-Hr Simulated Use Test'!Q30),0)</f>
        <v>1440</v>
      </c>
      <c r="BA19" s="516">
        <f t="shared" ca="1" si="1"/>
        <v>1440</v>
      </c>
      <c r="BB19" s="517" t="str">
        <f ca="1">IF('24-Hr Simulated Use Test'!$Q$33="","",'24-Hr Simulated Use Test'!$Q$33*60)</f>
        <v/>
      </c>
      <c r="BC19" s="518">
        <f ca="1">IF(AZ19=1440,0,VLOOKUP(AZ19,'24-Hr Simulated Use Test'!$C$413:$D$1853,2,TRUE))</f>
        <v>0</v>
      </c>
      <c r="BD19" s="519">
        <f ca="1">IF(BA19=1440,0,VLOOKUP(BA19,'24-Hr Simulated Use Test'!$C$413:$D$1853,2,FALSE))</f>
        <v>0</v>
      </c>
      <c r="BE19" s="486"/>
      <c r="BF19" s="507">
        <f>IF('24-Hr Simulated Use Test'!$Q$46&gt;'24-Hr Simulated Use Test'!$D$45,"",'24-Hr Simulated Use Test'!$Q$46)</f>
        <v>14</v>
      </c>
      <c r="BG19" s="508">
        <f>IF(BF19="",1440,ROUND('24-Hr Simulated Use Test'!Q47,0))</f>
        <v>0</v>
      </c>
      <c r="BH19" s="509">
        <f>IF(BF18="",1440,ROUND('24-Hr Simulated Use Test'!Q48,0))</f>
        <v>0</v>
      </c>
      <c r="BI19" s="509">
        <f t="shared" si="0"/>
        <v>0</v>
      </c>
      <c r="BJ19" s="510">
        <f>IF(BF19="",0,VLOOKUP(BG19,'24-Hr Simulated Use Test'!$C$413:$D$1853,2,FALSE))</f>
        <v>0</v>
      </c>
      <c r="BK19" s="511">
        <f>IF(BF19="",0,VLOOKUP(BH19,'24-Hr Simulated Use Test'!$C$413:$D$1853,2,FALSE))</f>
        <v>0</v>
      </c>
    </row>
    <row r="20" spans="51:63" ht="16" thickBot="1" x14ac:dyDescent="0.45">
      <c r="AY20" s="520"/>
      <c r="AZ20" s="486"/>
      <c r="BA20" s="486"/>
      <c r="BB20" s="486"/>
      <c r="BC20" s="486"/>
      <c r="BD20" s="486"/>
      <c r="BE20" s="486"/>
      <c r="BF20" s="507">
        <f>IF('24-Hr Simulated Use Test'!$R$46&gt;'24-Hr Simulated Use Test'!$D$45,"",'24-Hr Simulated Use Test'!$R$46)</f>
        <v>15</v>
      </c>
      <c r="BG20" s="508">
        <f>IF(BF20="",1440,ROUND('24-Hr Simulated Use Test'!R47,0))</f>
        <v>0</v>
      </c>
      <c r="BH20" s="509">
        <f>IF(BF20="",1440,ROUND('24-Hr Simulated Use Test'!R48,0))</f>
        <v>0</v>
      </c>
      <c r="BI20" s="509">
        <f t="shared" si="0"/>
        <v>0</v>
      </c>
      <c r="BJ20" s="510">
        <f>IF(BF20="",0,VLOOKUP(BG20,'24-Hr Simulated Use Test'!$C$413:$D$1853,2,FALSE))</f>
        <v>0</v>
      </c>
      <c r="BK20" s="511">
        <f>IF(BF20="",0,VLOOKUP(BH20,'24-Hr Simulated Use Test'!$C$413:$D$1853,2,FALSE))</f>
        <v>0</v>
      </c>
    </row>
    <row r="21" spans="51:63" x14ac:dyDescent="0.4">
      <c r="AY21" s="521" t="s">
        <v>317</v>
      </c>
      <c r="AZ21" s="484" t="s">
        <v>189</v>
      </c>
      <c r="BA21" s="484" t="s">
        <v>333</v>
      </c>
      <c r="BB21" s="484" t="s">
        <v>326</v>
      </c>
      <c r="BC21" s="484" t="s">
        <v>346</v>
      </c>
      <c r="BD21" s="522" t="s">
        <v>347</v>
      </c>
      <c r="BE21" s="486"/>
      <c r="BF21" s="507">
        <f>IF('24-Hr Simulated Use Test'!$S$46&gt;'24-Hr Simulated Use Test'!$D$45,"",'24-Hr Simulated Use Test'!$S$46)</f>
        <v>16</v>
      </c>
      <c r="BG21" s="508">
        <f>IF(BF21="",1440,ROUND('24-Hr Simulated Use Test'!$S$47,0))</f>
        <v>0</v>
      </c>
      <c r="BH21" s="509">
        <f>IF(BF21="",1440,ROUND('24-Hr Simulated Use Test'!$S$48,0))</f>
        <v>0</v>
      </c>
      <c r="BI21" s="509">
        <f t="shared" si="0"/>
        <v>0</v>
      </c>
      <c r="BJ21" s="510">
        <f>IF(BF21="",0,VLOOKUP(BG21,'24-Hr Simulated Use Test'!$C$413:$D$1853,2,FALSE))</f>
        <v>0</v>
      </c>
      <c r="BK21" s="511">
        <f>IF(BF21="",0,VLOOKUP(BH21,'24-Hr Simulated Use Test'!$C$413:$D$1853,2,FALSE))</f>
        <v>0</v>
      </c>
    </row>
    <row r="22" spans="51:63" x14ac:dyDescent="0.4">
      <c r="AY22" s="496">
        <v>1</v>
      </c>
      <c r="AZ22" s="523">
        <f>COUNTIF('24-Hr Simulated Use Test'!$D$34:$Q$34,AY22)</f>
        <v>0</v>
      </c>
      <c r="BA22" s="523">
        <v>1</v>
      </c>
      <c r="BB22" s="523">
        <f>BA22+AZ22-1</f>
        <v>0</v>
      </c>
      <c r="BC22" s="523">
        <f ca="1">VLOOKUP(BA22,$AY$6:$BD$19,2,FALSE)</f>
        <v>1440</v>
      </c>
      <c r="BD22" s="524" t="e">
        <f>ROUND(VLOOKUP(BB22,$AY$6:$BD$19,3,FALSE),0)</f>
        <v>#N/A</v>
      </c>
      <c r="BE22" s="486"/>
      <c r="BF22" s="507">
        <f>IF('24-Hr Simulated Use Test'!$T$46&gt;'24-Hr Simulated Use Test'!$D$45,"",'24-Hr Simulated Use Test'!$T$46)</f>
        <v>17</v>
      </c>
      <c r="BG22" s="508">
        <f>IF(BF22="",1440,ROUND('24-Hr Simulated Use Test'!$T$47,0))</f>
        <v>0</v>
      </c>
      <c r="BH22" s="509">
        <f>IF(BF22="",1440,ROUND('24-Hr Simulated Use Test'!$T$48,0))</f>
        <v>0</v>
      </c>
      <c r="BI22" s="509">
        <f t="shared" ref="BI22:BI35" si="2">(BH22-BG22)*60</f>
        <v>0</v>
      </c>
      <c r="BJ22" s="510">
        <f>IF(BF22="",0,VLOOKUP(BG22,'24-Hr Simulated Use Test'!$C$413:$D$1853,2,FALSE))</f>
        <v>0</v>
      </c>
      <c r="BK22" s="511">
        <f>IF(BF22="",0,VLOOKUP(BH22,'24-Hr Simulated Use Test'!$C$413:$D$1853,2,FALSE))</f>
        <v>0</v>
      </c>
    </row>
    <row r="23" spans="51:63" x14ac:dyDescent="0.4">
      <c r="AY23" s="507">
        <v>2</v>
      </c>
      <c r="AZ23" s="525">
        <f>COUNTIF('24-Hr Simulated Use Test'!$D$34:$Q$34,AY23)</f>
        <v>0</v>
      </c>
      <c r="BA23" s="525">
        <f>BB22+1</f>
        <v>1</v>
      </c>
      <c r="BB23" s="525">
        <f>BA23+AZ23-1</f>
        <v>0</v>
      </c>
      <c r="BC23" s="525">
        <f ca="1">VLOOKUP(BA23,$AY$6:$BD$19,2,FALSE)</f>
        <v>1440</v>
      </c>
      <c r="BD23" s="526" t="e">
        <f>ROUND(VLOOKUP(BB23,$AY$6:$BD$19,3,FALSE),0)</f>
        <v>#N/A</v>
      </c>
      <c r="BE23" s="486"/>
      <c r="BF23" s="507">
        <f>IF('24-Hr Simulated Use Test'!$U$46&gt;'24-Hr Simulated Use Test'!$D$45,"",'24-Hr Simulated Use Test'!$U$46)</f>
        <v>18</v>
      </c>
      <c r="BG23" s="508">
        <f>IF(BF23="",1440,ROUND('24-Hr Simulated Use Test'!$U$47,0))</f>
        <v>0</v>
      </c>
      <c r="BH23" s="509">
        <f>IF(BF23="",1440,ROUND('24-Hr Simulated Use Test'!$U$48,0))</f>
        <v>0</v>
      </c>
      <c r="BI23" s="509">
        <f t="shared" si="2"/>
        <v>0</v>
      </c>
      <c r="BJ23" s="510">
        <f>IF(BF23="",0,VLOOKUP(BG23,'24-Hr Simulated Use Test'!$C$413:$D$1853,2,FALSE))</f>
        <v>0</v>
      </c>
      <c r="BK23" s="511">
        <f>IF(BF23="",0,VLOOKUP(BH23,'24-Hr Simulated Use Test'!$C$413:$D$1853,2,FALSE))</f>
        <v>0</v>
      </c>
    </row>
    <row r="24" spans="51:63" ht="16" thickBot="1" x14ac:dyDescent="0.45">
      <c r="AY24" s="527">
        <v>3</v>
      </c>
      <c r="AZ24" s="528">
        <f>COUNTIF('24-Hr Simulated Use Test'!$D$34:$Q$34,AY24)</f>
        <v>0</v>
      </c>
      <c r="BA24" s="528">
        <f>BB23+1</f>
        <v>1</v>
      </c>
      <c r="BB24" s="528">
        <f>BA24+AZ24-1</f>
        <v>0</v>
      </c>
      <c r="BC24" s="528">
        <f ca="1">VLOOKUP(BA24,$AY$6:$BD$19,2,FALSE)</f>
        <v>1440</v>
      </c>
      <c r="BD24" s="529" t="e">
        <f>ROUND(VLOOKUP(BB24,$AY$6:$BD$19,3,FALSE),0)</f>
        <v>#N/A</v>
      </c>
      <c r="BE24" s="486"/>
      <c r="BF24" s="507">
        <f>IF('24-Hr Simulated Use Test'!$V$46&gt;'24-Hr Simulated Use Test'!$D$45,"",'24-Hr Simulated Use Test'!$V$46)</f>
        <v>19</v>
      </c>
      <c r="BG24" s="508">
        <f>IF(BF24="",1440,ROUND('24-Hr Simulated Use Test'!$V$47,0))</f>
        <v>0</v>
      </c>
      <c r="BH24" s="509">
        <f>IF(BF24="",1440,ROUND('24-Hr Simulated Use Test'!$V$48,0))</f>
        <v>0</v>
      </c>
      <c r="BI24" s="509">
        <f>(BH24-BG24)*60</f>
        <v>0</v>
      </c>
      <c r="BJ24" s="510">
        <f>IF(BF24="",0,VLOOKUP(BG24,'24-Hr Simulated Use Test'!$C$413:$D$1853,2,FALSE))</f>
        <v>0</v>
      </c>
      <c r="BK24" s="511">
        <f>IF(BF24="",0,VLOOKUP(BH24,'24-Hr Simulated Use Test'!$C$413:$D$1853,2,FALSE))</f>
        <v>0</v>
      </c>
    </row>
    <row r="25" spans="51:63" ht="16" thickBot="1" x14ac:dyDescent="0.45">
      <c r="AY25" s="520"/>
      <c r="AZ25" s="486"/>
      <c r="BA25" s="486"/>
      <c r="BB25" s="486"/>
      <c r="BC25" s="486"/>
      <c r="BD25" s="512"/>
      <c r="BE25" s="486"/>
      <c r="BF25" s="507">
        <f>IF('24-Hr Simulated Use Test'!$W$46&gt;'24-Hr Simulated Use Test'!$D$45,"",'24-Hr Simulated Use Test'!$W$46)</f>
        <v>20</v>
      </c>
      <c r="BG25" s="508">
        <f>IF(BF25="",1440,ROUND('24-Hr Simulated Use Test'!$W$47,0))</f>
        <v>0</v>
      </c>
      <c r="BH25" s="509">
        <f>IF(BF25="",1440,ROUND('24-Hr Simulated Use Test'!$W$48,0))</f>
        <v>0</v>
      </c>
      <c r="BI25" s="509">
        <f>(BH25-BG25)*60</f>
        <v>0</v>
      </c>
      <c r="BJ25" s="510">
        <f>IF(BF25="",0,VLOOKUP(BG25,'24-Hr Simulated Use Test'!$C$413:$D$1853,2,FALSE))</f>
        <v>0</v>
      </c>
      <c r="BK25" s="511">
        <f>IF(BF25="",0,VLOOKUP(BH25,'24-Hr Simulated Use Test'!$C$413:$D$1853,2,FALSE))</f>
        <v>0</v>
      </c>
    </row>
    <row r="26" spans="51:63" x14ac:dyDescent="0.4">
      <c r="AY26" s="487" t="s">
        <v>329</v>
      </c>
      <c r="AZ26" s="488" t="s">
        <v>330</v>
      </c>
      <c r="BA26" s="488" t="s">
        <v>331</v>
      </c>
      <c r="BB26" s="489" t="s">
        <v>332</v>
      </c>
      <c r="BC26" s="512"/>
      <c r="BD26" s="530" t="s">
        <v>349</v>
      </c>
      <c r="BE26" s="486"/>
      <c r="BF26" s="507">
        <f>IF('24-Hr Simulated Use Test'!$X$46&gt;'24-Hr Simulated Use Test'!$D$45,"",'24-Hr Simulated Use Test'!$X$46)</f>
        <v>21</v>
      </c>
      <c r="BG26" s="508">
        <f>IF(BF26="",1440,ROUND('24-Hr Simulated Use Test'!$X$47,0))</f>
        <v>0</v>
      </c>
      <c r="BH26" s="509">
        <f>IF(BF26="",1440,ROUND('24-Hr Simulated Use Test'!$X$48,0))</f>
        <v>0</v>
      </c>
      <c r="BI26" s="509">
        <f>(BH26-BG26)*60</f>
        <v>0</v>
      </c>
      <c r="BJ26" s="510">
        <f>IF(BF26="",0,VLOOKUP(BG26,'24-Hr Simulated Use Test'!$C$413:$D$1853,2,FALSE))</f>
        <v>0</v>
      </c>
      <c r="BK26" s="511">
        <f>IF(BF26="",0,VLOOKUP(BH26,'24-Hr Simulated Use Test'!$C$413:$D$1853,2,FALSE))</f>
        <v>0</v>
      </c>
    </row>
    <row r="27" spans="51:63" x14ac:dyDescent="0.4">
      <c r="AY27" s="531">
        <f ca="1">BC22</f>
        <v>1440</v>
      </c>
      <c r="AZ27" s="491">
        <f ca="1">BC23</f>
        <v>1440</v>
      </c>
      <c r="BA27" s="491">
        <f ca="1">BC24</f>
        <v>1440</v>
      </c>
      <c r="BB27" s="500">
        <f>BD29</f>
        <v>0</v>
      </c>
      <c r="BC27" s="512"/>
      <c r="BD27" s="532">
        <f>MAX('24-Hr Simulated Use Test'!D413:D1853)</f>
        <v>0</v>
      </c>
      <c r="BE27" s="512"/>
      <c r="BF27" s="507">
        <f>IF('24-Hr Simulated Use Test'!$Y$46&gt;'24-Hr Simulated Use Test'!$D$45,"",'24-Hr Simulated Use Test'!$Y$46)</f>
        <v>22</v>
      </c>
      <c r="BG27" s="508">
        <f>IF(BF27="",1440,ROUND('24-Hr Simulated Use Test'!$Y$47,0))</f>
        <v>0</v>
      </c>
      <c r="BH27" s="509">
        <f>IF(BF27="",1440,ROUND('24-Hr Simulated Use Test'!$Y$48,0))</f>
        <v>0</v>
      </c>
      <c r="BI27" s="509">
        <f>(BH27-BG27)*60</f>
        <v>0</v>
      </c>
      <c r="BJ27" s="510">
        <f>IF(BF27="",0,VLOOKUP(BG27,'24-Hr Simulated Use Test'!$C$413:$D$1853,2,FALSE))</f>
        <v>0</v>
      </c>
      <c r="BK27" s="511">
        <f>IF(BF27="",0,VLOOKUP(BH27,'24-Hr Simulated Use Test'!$C$413:$D$1853,2,FALSE))</f>
        <v>0</v>
      </c>
    </row>
    <row r="28" spans="51:63" x14ac:dyDescent="0.4">
      <c r="AY28" s="507">
        <f ca="1">BC22</f>
        <v>1440</v>
      </c>
      <c r="AZ28" s="525">
        <f ca="1">BC23</f>
        <v>1440</v>
      </c>
      <c r="BA28" s="525">
        <f ca="1">BC24</f>
        <v>1440</v>
      </c>
      <c r="BB28" s="511">
        <f>BD27</f>
        <v>0</v>
      </c>
      <c r="BC28" s="512"/>
      <c r="BD28" s="533" t="s">
        <v>350</v>
      </c>
      <c r="BE28" s="512"/>
      <c r="BF28" s="507">
        <f>IF('24-Hr Simulated Use Test'!$Z$46&gt;'24-Hr Simulated Use Test'!$D$45,"",'24-Hr Simulated Use Test'!$Z$46)</f>
        <v>23</v>
      </c>
      <c r="BG28" s="508">
        <f>IF(BF28="",1440,ROUND('24-Hr Simulated Use Test'!$Z$47,0))</f>
        <v>0</v>
      </c>
      <c r="BH28" s="509">
        <f>IF(BF28="",1440,ROUND('24-Hr Simulated Use Test'!$Z$48,0))</f>
        <v>0</v>
      </c>
      <c r="BI28" s="509">
        <f t="shared" si="2"/>
        <v>0</v>
      </c>
      <c r="BJ28" s="510">
        <f>IF(BF28="",0,VLOOKUP(BG28,'24-Hr Simulated Use Test'!$C$413:$D$1853,2,FALSE))</f>
        <v>0</v>
      </c>
      <c r="BK28" s="511">
        <f>IF(BF28="",0,VLOOKUP(BH28,'24-Hr Simulated Use Test'!$C$413:$D$1853,2,FALSE))</f>
        <v>0</v>
      </c>
    </row>
    <row r="29" spans="51:63" ht="16" thickBot="1" x14ac:dyDescent="0.45">
      <c r="AY29" s="507" t="e">
        <f>BD22</f>
        <v>#N/A</v>
      </c>
      <c r="AZ29" s="525" t="e">
        <f>BD23</f>
        <v>#N/A</v>
      </c>
      <c r="BA29" s="525" t="e">
        <f>BD24</f>
        <v>#N/A</v>
      </c>
      <c r="BB29" s="511">
        <f>BD27</f>
        <v>0</v>
      </c>
      <c r="BC29" s="486"/>
      <c r="BD29" s="534">
        <f>MIN('24-Hr Simulated Use Test'!D413:D1853)</f>
        <v>0</v>
      </c>
      <c r="BE29" s="512"/>
      <c r="BF29" s="507">
        <f>IF('24-Hr Simulated Use Test'!$AA$46&gt;'24-Hr Simulated Use Test'!$D$45,"",'24-Hr Simulated Use Test'!$AA$46)</f>
        <v>24</v>
      </c>
      <c r="BG29" s="508">
        <f>IF(BF29="",1440,ROUND('24-Hr Simulated Use Test'!$AA$47,0))</f>
        <v>0</v>
      </c>
      <c r="BH29" s="509">
        <f>IF(BF29="",1440,ROUND('24-Hr Simulated Use Test'!$AA$48,0))</f>
        <v>0</v>
      </c>
      <c r="BI29" s="509">
        <f t="shared" si="2"/>
        <v>0</v>
      </c>
      <c r="BJ29" s="510">
        <f>IF(BF29="",0,VLOOKUP(BG29,'24-Hr Simulated Use Test'!$C$413:$D$1853,2,FALSE))</f>
        <v>0</v>
      </c>
      <c r="BK29" s="511">
        <f>IF(BF29="",0,VLOOKUP(BH29,'24-Hr Simulated Use Test'!$C$413:$D$1853,2,FALSE))</f>
        <v>0</v>
      </c>
    </row>
    <row r="30" spans="51:63" ht="16" thickBot="1" x14ac:dyDescent="0.45">
      <c r="AY30" s="527" t="e">
        <f>BD22</f>
        <v>#N/A</v>
      </c>
      <c r="AZ30" s="528" t="e">
        <f>BD23</f>
        <v>#N/A</v>
      </c>
      <c r="BA30" s="528" t="e">
        <f>BD24</f>
        <v>#N/A</v>
      </c>
      <c r="BB30" s="535">
        <f>BD29</f>
        <v>0</v>
      </c>
      <c r="BC30" s="486"/>
      <c r="BD30" s="486"/>
      <c r="BE30" s="512"/>
      <c r="BF30" s="507">
        <f>IF('24-Hr Simulated Use Test'!$AB$46&gt;'24-Hr Simulated Use Test'!$D$45,"",'24-Hr Simulated Use Test'!$AB$46)</f>
        <v>25</v>
      </c>
      <c r="BG30" s="508">
        <f>IF(BF30="",1440,ROUND('24-Hr Simulated Use Test'!$AB$47,0))</f>
        <v>0</v>
      </c>
      <c r="BH30" s="509">
        <f>IF(BF30="",1440,ROUND('24-Hr Simulated Use Test'!$AB$48,0))</f>
        <v>0</v>
      </c>
      <c r="BI30" s="509">
        <f t="shared" si="2"/>
        <v>0</v>
      </c>
      <c r="BJ30" s="510">
        <f>IF(BF30="",0,VLOOKUP(BG30,'24-Hr Simulated Use Test'!$C$413:$D$1853,2,FALSE))</f>
        <v>0</v>
      </c>
      <c r="BK30" s="511">
        <f>IF(BF30="",0,VLOOKUP(BH30,'24-Hr Simulated Use Test'!$C$413:$D$1853,2,FALSE))</f>
        <v>0</v>
      </c>
    </row>
    <row r="31" spans="51:63" ht="16" thickBot="1" x14ac:dyDescent="0.45">
      <c r="AY31" s="520"/>
      <c r="AZ31" s="486"/>
      <c r="BA31" s="486"/>
      <c r="BB31" s="486"/>
      <c r="BC31" s="486"/>
      <c r="BD31" s="486"/>
      <c r="BE31" s="512"/>
      <c r="BF31" s="507">
        <f>IF('24-Hr Simulated Use Test'!$AC$46&gt;'24-Hr Simulated Use Test'!$D$45,"",'24-Hr Simulated Use Test'!$AC$46)</f>
        <v>26</v>
      </c>
      <c r="BG31" s="508">
        <f>IF(BF31="",1440,ROUND('24-Hr Simulated Use Test'!$AC$47,0))</f>
        <v>0</v>
      </c>
      <c r="BH31" s="509">
        <f>IF(BF31="",1440,ROUND('24-Hr Simulated Use Test'!$AC$48,0))</f>
        <v>0</v>
      </c>
      <c r="BI31" s="509">
        <f t="shared" si="2"/>
        <v>0</v>
      </c>
      <c r="BJ31" s="510">
        <f>IF(BF31="",0,VLOOKUP(BG31,'24-Hr Simulated Use Test'!$C$413:$D$1853,2,FALSE))</f>
        <v>0</v>
      </c>
      <c r="BK31" s="511">
        <f>IF(BF31="",0,VLOOKUP(BH31,'24-Hr Simulated Use Test'!$C$413:$D$1853,2,FALSE))</f>
        <v>0</v>
      </c>
    </row>
    <row r="32" spans="51:63" x14ac:dyDescent="0.4">
      <c r="AY32" s="1230" t="s">
        <v>502</v>
      </c>
      <c r="AZ32" s="1231"/>
      <c r="BA32" s="486"/>
      <c r="BB32" s="486"/>
      <c r="BC32" s="486"/>
      <c r="BD32" s="486"/>
      <c r="BE32" s="512"/>
      <c r="BF32" s="507">
        <f>IF('24-Hr Simulated Use Test'!$AD$46&gt;'24-Hr Simulated Use Test'!$D$45,"",'24-Hr Simulated Use Test'!$AD$46)</f>
        <v>27</v>
      </c>
      <c r="BG32" s="508">
        <f>IF(BF32="",1440,ROUND('24-Hr Simulated Use Test'!$AD$47,0))</f>
        <v>0</v>
      </c>
      <c r="BH32" s="509">
        <f>IF(BF32="",1440,ROUND('24-Hr Simulated Use Test'!$AD$48,0))</f>
        <v>0</v>
      </c>
      <c r="BI32" s="509">
        <f t="shared" si="2"/>
        <v>0</v>
      </c>
      <c r="BJ32" s="510">
        <f>IF(BF32="",0,VLOOKUP(BG32,'24-Hr Simulated Use Test'!$C$413:$D$1853,2,FALSE))</f>
        <v>0</v>
      </c>
      <c r="BK32" s="511">
        <f>IF(BF32="",0,VLOOKUP(BH32,'24-Hr Simulated Use Test'!$C$413:$D$1853,2,FALSE))</f>
        <v>0</v>
      </c>
    </row>
    <row r="33" spans="51:63" x14ac:dyDescent="0.4">
      <c r="AY33" s="496" t="s">
        <v>327</v>
      </c>
      <c r="AZ33" s="524" t="s">
        <v>328</v>
      </c>
      <c r="BA33" s="486"/>
      <c r="BB33" s="486"/>
      <c r="BC33" s="486"/>
      <c r="BD33" s="486"/>
      <c r="BE33" s="512"/>
      <c r="BF33" s="507">
        <f>IF('24-Hr Simulated Use Test'!$AE$46&gt;'24-Hr Simulated Use Test'!$D$45,"",'24-Hr Simulated Use Test'!$AE$46)</f>
        <v>28</v>
      </c>
      <c r="BG33" s="508">
        <f>IF(BF33="",1440,ROUND('24-Hr Simulated Use Test'!$AE$47,0))</f>
        <v>0</v>
      </c>
      <c r="BH33" s="509">
        <f>IF(BF33="",1440,ROUND('24-Hr Simulated Use Test'!$AE$48,0))</f>
        <v>0</v>
      </c>
      <c r="BI33" s="509">
        <f t="shared" si="2"/>
        <v>0</v>
      </c>
      <c r="BJ33" s="510">
        <f>IF(BF33="",0,VLOOKUP(BG33,'24-Hr Simulated Use Test'!$C$413:$D$1853,2,FALSE))</f>
        <v>0</v>
      </c>
      <c r="BK33" s="511">
        <f>IF(BF33="",0,VLOOKUP(BH33,'24-Hr Simulated Use Test'!$C$413:$D$1853,2,FALSE))</f>
        <v>0</v>
      </c>
    </row>
    <row r="34" spans="51:63" ht="16" thickBot="1" x14ac:dyDescent="0.45">
      <c r="AY34" s="536">
        <f>IF(OR('24-Hr Simulated Use Test'!D112="",'24-Hr Simulated Use Test'!D111=""),0,'24-Hr Simulated Use Test'!D112)</f>
        <v>0</v>
      </c>
      <c r="AZ34" s="537">
        <f>IF(OR('24-Hr Simulated Use Test'!D112="",'24-Hr Simulated Use Test'!D111=""),0,'24-Hr Simulated Use Test'!D111)</f>
        <v>0</v>
      </c>
      <c r="BA34" s="486"/>
      <c r="BB34" s="486"/>
      <c r="BC34" s="486"/>
      <c r="BD34" s="486"/>
      <c r="BE34" s="479"/>
      <c r="BF34" s="507">
        <f>IF('24-Hr Simulated Use Test'!$AF$46&gt;'24-Hr Simulated Use Test'!$D$45,"",'24-Hr Simulated Use Test'!$AF$46)</f>
        <v>29</v>
      </c>
      <c r="BG34" s="508">
        <f>IF(BF34="",1440,ROUND('24-Hr Simulated Use Test'!$AF$47,0))</f>
        <v>0</v>
      </c>
      <c r="BH34" s="509">
        <f>IF(BF34="",1440,ROUND('24-Hr Simulated Use Test'!$AF$48,0))</f>
        <v>0</v>
      </c>
      <c r="BI34" s="509">
        <f t="shared" si="2"/>
        <v>0</v>
      </c>
      <c r="BJ34" s="510">
        <f>IF(BF34="",0,VLOOKUP(BG34,'24-Hr Simulated Use Test'!$C$413:$D$1853,2,FALSE))</f>
        <v>0</v>
      </c>
      <c r="BK34" s="511">
        <f>IF(BF34="",0,VLOOKUP(BH34,'24-Hr Simulated Use Test'!$C$413:$D$1853,2,FALSE))</f>
        <v>0</v>
      </c>
    </row>
    <row r="35" spans="51:63" ht="16" thickBot="1" x14ac:dyDescent="0.45">
      <c r="AY35" s="520"/>
      <c r="AZ35" s="486"/>
      <c r="BA35" s="486"/>
      <c r="BB35" s="486"/>
      <c r="BC35" s="486"/>
      <c r="BD35" s="486"/>
      <c r="BE35" s="538"/>
      <c r="BF35" s="527">
        <f>IF('24-Hr Simulated Use Test'!$AG$46&gt;'24-Hr Simulated Use Test'!$D$45,"",'24-Hr Simulated Use Test'!$AG$46)</f>
        <v>30</v>
      </c>
      <c r="BG35" s="539">
        <f>IF(BF35="",1440,ROUND('24-Hr Simulated Use Test'!$AG$47,0))</f>
        <v>0</v>
      </c>
      <c r="BH35" s="540">
        <f>IF(BF35="",1440,ROUND('24-Hr Simulated Use Test'!$AG$48,0))</f>
        <v>0</v>
      </c>
      <c r="BI35" s="540">
        <f t="shared" si="2"/>
        <v>0</v>
      </c>
      <c r="BJ35" s="541">
        <f>IF(BF35="",0,VLOOKUP(BG35,'24-Hr Simulated Use Test'!$C$413:$D$1853,2,FALSE))</f>
        <v>0</v>
      </c>
      <c r="BK35" s="535">
        <f>IF(BF35="",0,VLOOKUP(BH35,'24-Hr Simulated Use Test'!$C$413:$D$1853,2,FALSE))</f>
        <v>0</v>
      </c>
    </row>
    <row r="36" spans="51:63" x14ac:dyDescent="0.4">
      <c r="AY36" s="1230" t="s">
        <v>551</v>
      </c>
      <c r="AZ36" s="1231"/>
      <c r="BA36" s="486"/>
      <c r="BB36" s="1232" t="s">
        <v>550</v>
      </c>
      <c r="BC36" s="1233"/>
      <c r="BD36" s="486"/>
      <c r="BE36" s="538"/>
      <c r="BF36" s="486"/>
      <c r="BG36" s="486"/>
      <c r="BH36" s="486"/>
      <c r="BI36" s="486"/>
      <c r="BJ36" s="486"/>
      <c r="BK36" s="542"/>
    </row>
    <row r="37" spans="51:63" x14ac:dyDescent="0.4">
      <c r="AY37" s="496" t="s">
        <v>327</v>
      </c>
      <c r="AZ37" s="543" t="s">
        <v>328</v>
      </c>
      <c r="BA37" s="486"/>
      <c r="BB37" s="544" t="s">
        <v>327</v>
      </c>
      <c r="BC37" s="545" t="s">
        <v>328</v>
      </c>
      <c r="BD37" s="486"/>
      <c r="BE37" s="538"/>
      <c r="BF37" s="486"/>
      <c r="BG37" s="486"/>
      <c r="BH37" s="486"/>
      <c r="BI37" s="486"/>
      <c r="BJ37" s="486"/>
      <c r="BK37" s="542"/>
    </row>
    <row r="38" spans="51:63" x14ac:dyDescent="0.4">
      <c r="AY38" s="546">
        <f>'24-Hr Simulated Use Test'!D126</f>
        <v>0</v>
      </c>
      <c r="AZ38" s="500">
        <f>BB28</f>
        <v>0</v>
      </c>
      <c r="BA38" s="486"/>
      <c r="BB38" s="547">
        <f>'24-Hr Simulated Use Test'!D126</f>
        <v>0</v>
      </c>
      <c r="BC38" s="548">
        <f>'24-Hr Simulated Use Test'!D127</f>
        <v>0</v>
      </c>
      <c r="BD38" s="486"/>
      <c r="BE38" s="538"/>
      <c r="BF38" s="486"/>
      <c r="BG38" s="486"/>
      <c r="BH38" s="486"/>
      <c r="BI38" s="486"/>
      <c r="BJ38" s="486"/>
      <c r="BK38" s="542"/>
    </row>
    <row r="39" spans="51:63" ht="16" thickBot="1" x14ac:dyDescent="0.45">
      <c r="AY39" s="549">
        <f>'24-Hr Simulated Use Test'!D126</f>
        <v>0</v>
      </c>
      <c r="AZ39" s="511">
        <f>BB30+10</f>
        <v>10</v>
      </c>
      <c r="BA39" s="486"/>
      <c r="BB39" s="550">
        <f>'24-Hr Simulated Use Test'!D128</f>
        <v>0</v>
      </c>
      <c r="BC39" s="551">
        <f>'24-Hr Simulated Use Test'!D129</f>
        <v>0</v>
      </c>
      <c r="BD39" s="486"/>
      <c r="BE39" s="538"/>
      <c r="BF39" s="486"/>
      <c r="BG39" s="486"/>
      <c r="BH39" s="486"/>
      <c r="BI39" s="486"/>
      <c r="BJ39" s="486"/>
      <c r="BK39" s="542"/>
    </row>
    <row r="40" spans="51:63" x14ac:dyDescent="0.4">
      <c r="AY40" s="549">
        <f>'24-Hr Simulated Use Test'!D128</f>
        <v>0</v>
      </c>
      <c r="AZ40" s="511">
        <f>BB30+10</f>
        <v>10</v>
      </c>
      <c r="BA40" s="486"/>
      <c r="BB40" s="486"/>
      <c r="BC40" s="486"/>
      <c r="BD40" s="486"/>
      <c r="BE40" s="538"/>
      <c r="BF40" s="486"/>
      <c r="BG40" s="486"/>
      <c r="BH40" s="486"/>
      <c r="BI40" s="486"/>
      <c r="BJ40" s="486"/>
      <c r="BK40" s="542"/>
    </row>
    <row r="41" spans="51:63" ht="16" thickBot="1" x14ac:dyDescent="0.45">
      <c r="AY41" s="536">
        <f>'24-Hr Simulated Use Test'!D128</f>
        <v>0</v>
      </c>
      <c r="AZ41" s="537">
        <f>BB28</f>
        <v>0</v>
      </c>
      <c r="BA41" s="486"/>
      <c r="BB41" s="486"/>
      <c r="BC41" s="486"/>
      <c r="BD41" s="486"/>
      <c r="BE41" s="538"/>
      <c r="BF41" s="486"/>
      <c r="BG41" s="486"/>
      <c r="BH41" s="486"/>
      <c r="BI41" s="486"/>
      <c r="BJ41" s="486"/>
      <c r="BK41" s="542"/>
    </row>
    <row r="42" spans="51:63" ht="16" thickBot="1" x14ac:dyDescent="0.45">
      <c r="AY42" s="520"/>
      <c r="AZ42" s="486"/>
      <c r="BA42" s="486"/>
      <c r="BB42" s="486"/>
      <c r="BC42" s="486"/>
      <c r="BD42" s="486"/>
      <c r="BE42" s="538"/>
      <c r="BF42" s="486"/>
      <c r="BG42" s="486"/>
      <c r="BH42" s="486"/>
      <c r="BI42" s="486"/>
      <c r="BJ42" s="486"/>
      <c r="BK42" s="542"/>
    </row>
    <row r="43" spans="51:63" x14ac:dyDescent="0.4">
      <c r="AY43" s="1230" t="s">
        <v>552</v>
      </c>
      <c r="AZ43" s="1231"/>
      <c r="BA43" s="486"/>
      <c r="BB43" s="486"/>
      <c r="BC43" s="486"/>
      <c r="BD43" s="486"/>
      <c r="BE43" s="538"/>
      <c r="BF43" s="486"/>
      <c r="BG43" s="486"/>
      <c r="BH43" s="486"/>
      <c r="BI43" s="486"/>
      <c r="BJ43" s="486"/>
      <c r="BK43" s="542"/>
    </row>
    <row r="44" spans="51:63" x14ac:dyDescent="0.4">
      <c r="AY44" s="496" t="s">
        <v>327</v>
      </c>
      <c r="AZ44" s="524" t="s">
        <v>328</v>
      </c>
      <c r="BA44" s="486"/>
      <c r="BB44" s="486"/>
      <c r="BC44" s="486"/>
      <c r="BD44" s="486"/>
      <c r="BE44" s="538"/>
      <c r="BF44" s="486"/>
      <c r="BG44" s="486"/>
      <c r="BH44" s="486"/>
      <c r="BI44" s="486"/>
      <c r="BJ44" s="486"/>
      <c r="BK44" s="542"/>
    </row>
    <row r="45" spans="51:63" x14ac:dyDescent="0.4">
      <c r="AY45" s="507">
        <v>1440</v>
      </c>
      <c r="AZ45" s="552">
        <f>BD29</f>
        <v>0</v>
      </c>
      <c r="BA45" s="486"/>
      <c r="BB45" s="486"/>
      <c r="BC45" s="486"/>
      <c r="BD45" s="486"/>
      <c r="BE45" s="538"/>
      <c r="BF45" s="486"/>
      <c r="BG45" s="486"/>
      <c r="BH45" s="486"/>
      <c r="BI45" s="486"/>
      <c r="BJ45" s="486"/>
      <c r="BK45" s="542"/>
    </row>
    <row r="46" spans="51:63" ht="16" thickBot="1" x14ac:dyDescent="0.45">
      <c r="AY46" s="527">
        <v>1440</v>
      </c>
      <c r="AZ46" s="553">
        <f>BD27</f>
        <v>0</v>
      </c>
      <c r="BA46" s="554"/>
      <c r="BB46" s="554"/>
      <c r="BC46" s="554"/>
      <c r="BD46" s="554"/>
      <c r="BE46" s="555"/>
      <c r="BF46" s="554"/>
      <c r="BG46" s="554"/>
      <c r="BH46" s="554"/>
      <c r="BI46" s="554"/>
      <c r="BJ46" s="554"/>
      <c r="BK46" s="556"/>
    </row>
    <row r="47" spans="51:63" x14ac:dyDescent="0.4">
      <c r="BE47" s="538"/>
    </row>
    <row r="48" spans="51:63" x14ac:dyDescent="0.4">
      <c r="BE48" s="538"/>
    </row>
    <row r="49" spans="51:58" x14ac:dyDescent="0.4">
      <c r="AY49" s="538"/>
      <c r="AZ49" s="538"/>
      <c r="BA49" s="538"/>
      <c r="BB49" s="557"/>
      <c r="BC49" s="538"/>
      <c r="BD49" s="538"/>
      <c r="BE49" s="538"/>
      <c r="BF49" s="558"/>
    </row>
    <row r="50" spans="51:58" x14ac:dyDescent="0.4">
      <c r="AY50" s="486"/>
      <c r="AZ50" s="486"/>
      <c r="BA50" s="486"/>
      <c r="BB50" s="486"/>
      <c r="BC50" s="486"/>
      <c r="BD50" s="486"/>
      <c r="BE50" s="558"/>
      <c r="BF50" s="558"/>
    </row>
    <row r="51" spans="51:58" x14ac:dyDescent="0.4">
      <c r="AY51" s="486"/>
      <c r="AZ51" s="486"/>
      <c r="BA51" s="486"/>
      <c r="BB51" s="486"/>
      <c r="BC51" s="486"/>
      <c r="BD51" s="486"/>
      <c r="BE51" s="558"/>
      <c r="BF51" s="558"/>
    </row>
    <row r="52" spans="51:58" x14ac:dyDescent="0.4">
      <c r="AY52" s="486"/>
      <c r="AZ52" s="486"/>
      <c r="BA52" s="486"/>
      <c r="BB52" s="486"/>
      <c r="BC52" s="486"/>
      <c r="BD52" s="486"/>
      <c r="BE52" s="558"/>
      <c r="BF52" s="558"/>
    </row>
    <row r="53" spans="51:58" x14ac:dyDescent="0.4">
      <c r="AY53" s="486"/>
      <c r="AZ53" s="486"/>
      <c r="BA53" s="486"/>
      <c r="BB53" s="486"/>
      <c r="BC53" s="486"/>
      <c r="BD53" s="486"/>
      <c r="BE53" s="558"/>
      <c r="BF53" s="558"/>
    </row>
    <row r="54" spans="51:58" x14ac:dyDescent="0.4">
      <c r="AY54" s="486"/>
      <c r="AZ54" s="486"/>
      <c r="BA54" s="486"/>
      <c r="BB54" s="486"/>
      <c r="BC54" s="486"/>
      <c r="BD54" s="486"/>
      <c r="BE54" s="486"/>
      <c r="BF54" s="558"/>
    </row>
    <row r="55" spans="51:58" x14ac:dyDescent="0.4">
      <c r="AY55" s="486"/>
      <c r="AZ55" s="486"/>
      <c r="BA55" s="486"/>
      <c r="BB55" s="486"/>
      <c r="BC55" s="486"/>
      <c r="BD55" s="486"/>
      <c r="BE55" s="486"/>
      <c r="BF55" s="558"/>
    </row>
    <row r="56" spans="51:58" x14ac:dyDescent="0.4">
      <c r="AY56" s="486"/>
      <c r="AZ56" s="486"/>
      <c r="BA56" s="486"/>
      <c r="BB56" s="486"/>
      <c r="BC56" s="486"/>
      <c r="BD56" s="486"/>
      <c r="BE56" s="486"/>
      <c r="BF56" s="558"/>
    </row>
    <row r="57" spans="51:58" x14ac:dyDescent="0.4">
      <c r="AY57" s="486"/>
      <c r="AZ57" s="486"/>
      <c r="BA57" s="486"/>
      <c r="BB57" s="486"/>
      <c r="BC57" s="486"/>
      <c r="BD57" s="486"/>
      <c r="BE57" s="486"/>
    </row>
    <row r="58" spans="51:58" x14ac:dyDescent="0.4">
      <c r="AY58" s="486"/>
      <c r="AZ58" s="486"/>
      <c r="BA58" s="486"/>
      <c r="BB58" s="486"/>
      <c r="BC58" s="486"/>
      <c r="BD58" s="486"/>
      <c r="BE58" s="486"/>
    </row>
    <row r="59" spans="51:58" x14ac:dyDescent="0.4">
      <c r="AY59" s="486"/>
      <c r="AZ59" s="486"/>
      <c r="BA59" s="486"/>
      <c r="BB59" s="486"/>
      <c r="BC59" s="486"/>
      <c r="BD59" s="486"/>
      <c r="BE59" s="486"/>
    </row>
    <row r="60" spans="51:58" x14ac:dyDescent="0.4">
      <c r="AY60" s="486"/>
      <c r="AZ60" s="486"/>
      <c r="BA60" s="486"/>
      <c r="BB60" s="486"/>
      <c r="BC60" s="486"/>
      <c r="BD60" s="486"/>
      <c r="BE60" s="486"/>
    </row>
    <row r="61" spans="51:58" x14ac:dyDescent="0.4">
      <c r="AY61" s="486"/>
      <c r="AZ61" s="486"/>
      <c r="BA61" s="486"/>
      <c r="BB61" s="486"/>
      <c r="BC61" s="486"/>
      <c r="BD61" s="486"/>
      <c r="BE61" s="486"/>
    </row>
    <row r="62" spans="51:58" x14ac:dyDescent="0.4">
      <c r="AY62" s="486"/>
      <c r="AZ62" s="486"/>
      <c r="BA62" s="486"/>
      <c r="BB62" s="486"/>
      <c r="BC62" s="486"/>
      <c r="BD62" s="486"/>
      <c r="BE62" s="486"/>
    </row>
    <row r="63" spans="51:58" x14ac:dyDescent="0.4">
      <c r="AY63" s="486"/>
      <c r="AZ63" s="486"/>
      <c r="BA63" s="486"/>
      <c r="BB63" s="486"/>
      <c r="BC63" s="486"/>
      <c r="BD63" s="486"/>
      <c r="BE63" s="486"/>
    </row>
    <row r="64" spans="51:58" x14ac:dyDescent="0.4">
      <c r="AY64" s="486"/>
      <c r="AZ64" s="486"/>
      <c r="BA64" s="486"/>
      <c r="BB64" s="486"/>
      <c r="BC64" s="486"/>
      <c r="BD64" s="486"/>
      <c r="BE64" s="486"/>
    </row>
    <row r="65" spans="51:57" x14ac:dyDescent="0.4">
      <c r="AY65" s="486"/>
      <c r="AZ65" s="486"/>
      <c r="BA65" s="486"/>
      <c r="BB65" s="486"/>
      <c r="BC65" s="486"/>
      <c r="BD65" s="486"/>
      <c r="BE65" s="486"/>
    </row>
  </sheetData>
  <sheetProtection algorithmName="SHA-512" hashValue="NHJ9Z53nleFeCJO+UteX4JFfbC/ZDMARP71jbjD9+nGl+bGYXuQ8lwvmJ65mg1NCD/DeYsVriZXlh7PKHoC0gQ==" saltValue="cBi3J5cRuAIInxAX7i0ZxQ==" spinCount="100000" sheet="1" selectLockedCells="1" selectUnlockedCells="1"/>
  <mergeCells count="5">
    <mergeCell ref="B1:Q2"/>
    <mergeCell ref="AY36:AZ36"/>
    <mergeCell ref="BB36:BC36"/>
    <mergeCell ref="AY32:AZ32"/>
    <mergeCell ref="AY43:AZ43"/>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dimension ref="A1:W106"/>
  <sheetViews>
    <sheetView showGridLines="0" topLeftCell="A67" zoomScale="80" zoomScaleNormal="80" workbookViewId="0">
      <selection activeCell="I14" sqref="I14"/>
    </sheetView>
  </sheetViews>
  <sheetFormatPr defaultColWidth="9.08984375" defaultRowHeight="15.5" x14ac:dyDescent="0.4"/>
  <cols>
    <col min="1" max="1" width="2.54296875" style="75" customWidth="1"/>
    <col min="2" max="2" width="44.453125" style="75" customWidth="1"/>
    <col min="3" max="3" width="19.54296875" style="75" customWidth="1"/>
    <col min="4" max="4" width="20.36328125" style="75" customWidth="1"/>
    <col min="5" max="5" width="41.54296875" style="75" customWidth="1"/>
    <col min="6" max="6" width="21.6328125" style="75" bestFit="1" customWidth="1"/>
    <col min="7" max="7" width="20.453125" style="75" customWidth="1"/>
    <col min="8" max="8" width="23.453125" style="75" bestFit="1" customWidth="1"/>
    <col min="9" max="20" width="9.08984375" style="75"/>
    <col min="21" max="21" width="3.36328125" style="75" customWidth="1"/>
    <col min="22" max="16384" width="9.08984375" style="75"/>
  </cols>
  <sheetData>
    <row r="1" spans="2:21" ht="16" thickBot="1" x14ac:dyDescent="0.45">
      <c r="U1" s="125"/>
    </row>
    <row r="2" spans="2:21" ht="16" thickBot="1" x14ac:dyDescent="0.45">
      <c r="B2" s="1079" t="s">
        <v>12</v>
      </c>
      <c r="C2" s="1080"/>
      <c r="D2" s="1080"/>
      <c r="E2" s="1081"/>
      <c r="U2" s="125"/>
    </row>
    <row r="3" spans="2:21" x14ac:dyDescent="0.4">
      <c r="B3" s="610" t="str">
        <f>'Version Control'!B3</f>
        <v>Test Report Template Name:</v>
      </c>
      <c r="C3" s="1236" t="str">
        <f>'Version Control'!C3</f>
        <v>Consumer Water Heater, UEF</v>
      </c>
      <c r="D3" s="1236"/>
      <c r="E3" s="1237"/>
      <c r="U3" s="125"/>
    </row>
    <row r="4" spans="2:21" x14ac:dyDescent="0.4">
      <c r="B4" s="611" t="str">
        <f>'Version Control'!B4</f>
        <v>Version Number:</v>
      </c>
      <c r="C4" s="1238" t="str">
        <f>'Version Control'!C4</f>
        <v>v1.3</v>
      </c>
      <c r="D4" s="1238"/>
      <c r="E4" s="1239"/>
      <c r="U4" s="125"/>
    </row>
    <row r="5" spans="2:21" x14ac:dyDescent="0.4">
      <c r="B5" s="611" t="str">
        <f>'Version Control'!B5</f>
        <v xml:space="preserve">Latest Template Revision: </v>
      </c>
      <c r="C5" s="1240">
        <f>'Version Control'!C5</f>
        <v>43643</v>
      </c>
      <c r="D5" s="1240"/>
      <c r="E5" s="1241"/>
      <c r="U5" s="125"/>
    </row>
    <row r="6" spans="2:21" x14ac:dyDescent="0.4">
      <c r="B6" s="611" t="str">
        <f>'Version Control'!B6</f>
        <v>Tab Name:</v>
      </c>
      <c r="C6" s="1238" t="str">
        <f ca="1">MID(CELL("filename",A1), FIND("]", CELL("filename", A1))+ 1, 255)</f>
        <v>Constants</v>
      </c>
      <c r="D6" s="1238"/>
      <c r="E6" s="1239"/>
      <c r="U6" s="125"/>
    </row>
    <row r="7" spans="2:21" ht="16" thickBot="1" x14ac:dyDescent="0.45">
      <c r="B7" s="612" t="str">
        <f>'Version Control'!B7</f>
        <v>File Name:</v>
      </c>
      <c r="C7" s="1234" t="str">
        <f ca="1">'Version Control'!C7</f>
        <v>Consumer Water Heater, UEF - v1.3.xlsx</v>
      </c>
      <c r="D7" s="1234"/>
      <c r="E7" s="1235"/>
      <c r="U7" s="125"/>
    </row>
    <row r="8" spans="2:21" x14ac:dyDescent="0.4">
      <c r="B8" s="56"/>
      <c r="C8" s="57"/>
      <c r="U8" s="125"/>
    </row>
    <row r="9" spans="2:21" ht="16" thickBot="1" x14ac:dyDescent="0.45">
      <c r="B9" s="56"/>
      <c r="C9" s="57"/>
      <c r="U9" s="125"/>
    </row>
    <row r="10" spans="2:21" ht="16" thickBot="1" x14ac:dyDescent="0.45">
      <c r="B10" s="432" t="s">
        <v>78</v>
      </c>
      <c r="C10" s="433" t="s">
        <v>189</v>
      </c>
      <c r="D10" s="434" t="s">
        <v>190</v>
      </c>
      <c r="E10" s="435" t="s">
        <v>129</v>
      </c>
      <c r="F10" s="436">
        <v>1</v>
      </c>
      <c r="G10" s="436">
        <v>2</v>
      </c>
      <c r="H10" s="436">
        <v>3</v>
      </c>
      <c r="I10" s="436">
        <v>4</v>
      </c>
      <c r="J10" s="436">
        <v>5</v>
      </c>
      <c r="K10" s="436">
        <v>6</v>
      </c>
      <c r="L10" s="436">
        <v>7</v>
      </c>
      <c r="M10" s="436">
        <v>8</v>
      </c>
      <c r="N10" s="436">
        <v>9</v>
      </c>
      <c r="O10" s="436">
        <v>10</v>
      </c>
      <c r="P10" s="436">
        <v>11</v>
      </c>
      <c r="Q10" s="436">
        <v>12</v>
      </c>
      <c r="R10" s="436">
        <v>13</v>
      </c>
      <c r="S10" s="437">
        <v>14</v>
      </c>
      <c r="U10" s="125"/>
    </row>
    <row r="11" spans="2:21" ht="16.5" customHeight="1" x14ac:dyDescent="0.4">
      <c r="B11" s="1251" t="s">
        <v>305</v>
      </c>
      <c r="C11" s="1248">
        <v>9</v>
      </c>
      <c r="D11" s="1242">
        <f>SUM(F13:S13)</f>
        <v>10</v>
      </c>
      <c r="E11" s="438" t="s">
        <v>184</v>
      </c>
      <c r="F11" s="439">
        <v>0</v>
      </c>
      <c r="G11" s="439">
        <v>60</v>
      </c>
      <c r="H11" s="439">
        <v>65</v>
      </c>
      <c r="I11" s="439">
        <v>70</v>
      </c>
      <c r="J11" s="439">
        <v>75</v>
      </c>
      <c r="K11" s="439">
        <v>480</v>
      </c>
      <c r="L11" s="439">
        <v>495</v>
      </c>
      <c r="M11" s="439">
        <v>540</v>
      </c>
      <c r="N11" s="439">
        <v>555</v>
      </c>
      <c r="O11" s="439"/>
      <c r="P11" s="439"/>
      <c r="Q11" s="439"/>
      <c r="R11" s="439"/>
      <c r="S11" s="440"/>
      <c r="U11" s="125"/>
    </row>
    <row r="12" spans="2:21" ht="16.5" customHeight="1" x14ac:dyDescent="0.4">
      <c r="B12" s="1252"/>
      <c r="C12" s="1249"/>
      <c r="D12" s="1243"/>
      <c r="E12" s="441" t="s">
        <v>317</v>
      </c>
      <c r="F12" s="442">
        <v>1</v>
      </c>
      <c r="G12" s="442">
        <v>1</v>
      </c>
      <c r="H12" s="442">
        <v>1</v>
      </c>
      <c r="I12" s="442">
        <v>1</v>
      </c>
      <c r="J12" s="442">
        <v>1</v>
      </c>
      <c r="K12" s="442">
        <v>2</v>
      </c>
      <c r="L12" s="442">
        <v>2</v>
      </c>
      <c r="M12" s="442">
        <v>2</v>
      </c>
      <c r="N12" s="442">
        <v>2</v>
      </c>
      <c r="O12" s="442"/>
      <c r="P12" s="442"/>
      <c r="Q12" s="442"/>
      <c r="R12" s="442"/>
      <c r="S12" s="443"/>
      <c r="U12" s="125"/>
    </row>
    <row r="13" spans="2:21" ht="15" customHeight="1" x14ac:dyDescent="0.4">
      <c r="B13" s="1252"/>
      <c r="C13" s="1249"/>
      <c r="D13" s="1243"/>
      <c r="E13" s="444" t="s">
        <v>183</v>
      </c>
      <c r="F13" s="445">
        <v>2</v>
      </c>
      <c r="G13" s="445">
        <v>1</v>
      </c>
      <c r="H13" s="445">
        <v>0.5</v>
      </c>
      <c r="I13" s="445">
        <v>0.5</v>
      </c>
      <c r="J13" s="445">
        <v>0.5</v>
      </c>
      <c r="K13" s="445">
        <v>1</v>
      </c>
      <c r="L13" s="445">
        <v>2</v>
      </c>
      <c r="M13" s="445">
        <v>1.5</v>
      </c>
      <c r="N13" s="445">
        <v>1</v>
      </c>
      <c r="O13" s="445"/>
      <c r="P13" s="445"/>
      <c r="Q13" s="445"/>
      <c r="R13" s="445"/>
      <c r="S13" s="446"/>
      <c r="U13" s="125"/>
    </row>
    <row r="14" spans="2:21" ht="15.75" customHeight="1" thickBot="1" x14ac:dyDescent="0.45">
      <c r="B14" s="1253"/>
      <c r="C14" s="1250"/>
      <c r="D14" s="1244"/>
      <c r="E14" s="447" t="s">
        <v>188</v>
      </c>
      <c r="F14" s="448">
        <v>1</v>
      </c>
      <c r="G14" s="448">
        <v>1</v>
      </c>
      <c r="H14" s="448">
        <v>1</v>
      </c>
      <c r="I14" s="448">
        <v>1</v>
      </c>
      <c r="J14" s="448">
        <v>1</v>
      </c>
      <c r="K14" s="448">
        <v>1</v>
      </c>
      <c r="L14" s="448">
        <v>1</v>
      </c>
      <c r="M14" s="448">
        <v>1</v>
      </c>
      <c r="N14" s="448">
        <v>1</v>
      </c>
      <c r="O14" s="448"/>
      <c r="P14" s="448"/>
      <c r="Q14" s="448"/>
      <c r="R14" s="448"/>
      <c r="S14" s="449"/>
      <c r="U14" s="125"/>
    </row>
    <row r="15" spans="2:21" ht="15" customHeight="1" x14ac:dyDescent="0.4">
      <c r="B15" s="1251" t="s">
        <v>185</v>
      </c>
      <c r="C15" s="1248">
        <v>11</v>
      </c>
      <c r="D15" s="1242">
        <f>SUM(F17:S17)</f>
        <v>38</v>
      </c>
      <c r="E15" s="441" t="s">
        <v>184</v>
      </c>
      <c r="F15" s="442">
        <v>0</v>
      </c>
      <c r="G15" s="442">
        <v>30</v>
      </c>
      <c r="H15" s="442">
        <v>60</v>
      </c>
      <c r="I15" s="442">
        <v>630</v>
      </c>
      <c r="J15" s="442">
        <v>690</v>
      </c>
      <c r="K15" s="442">
        <v>720</v>
      </c>
      <c r="L15" s="442">
        <v>765</v>
      </c>
      <c r="M15" s="442">
        <v>770</v>
      </c>
      <c r="N15" s="442">
        <f>60*16+15</f>
        <v>975</v>
      </c>
      <c r="O15" s="442">
        <v>1005</v>
      </c>
      <c r="P15" s="442">
        <v>1020</v>
      </c>
      <c r="Q15" s="442"/>
      <c r="R15" s="442"/>
      <c r="S15" s="443"/>
      <c r="U15" s="125"/>
    </row>
    <row r="16" spans="2:21" ht="15" customHeight="1" x14ac:dyDescent="0.4">
      <c r="B16" s="1252"/>
      <c r="C16" s="1249"/>
      <c r="D16" s="1243"/>
      <c r="E16" s="441" t="s">
        <v>317</v>
      </c>
      <c r="F16" s="442">
        <v>1</v>
      </c>
      <c r="G16" s="442">
        <v>1</v>
      </c>
      <c r="H16" s="442">
        <v>1</v>
      </c>
      <c r="I16" s="442">
        <v>2</v>
      </c>
      <c r="J16" s="442">
        <v>2</v>
      </c>
      <c r="K16" s="442">
        <v>2</v>
      </c>
      <c r="L16" s="442">
        <v>2</v>
      </c>
      <c r="M16" s="442">
        <v>2</v>
      </c>
      <c r="N16" s="442">
        <v>3</v>
      </c>
      <c r="O16" s="442">
        <v>3</v>
      </c>
      <c r="P16" s="442">
        <v>3</v>
      </c>
      <c r="Q16" s="442"/>
      <c r="R16" s="442"/>
      <c r="S16" s="443"/>
      <c r="U16" s="125"/>
    </row>
    <row r="17" spans="2:21" ht="15" customHeight="1" x14ac:dyDescent="0.4">
      <c r="B17" s="1252"/>
      <c r="C17" s="1249"/>
      <c r="D17" s="1243"/>
      <c r="E17" s="444" t="s">
        <v>183</v>
      </c>
      <c r="F17" s="445">
        <v>15</v>
      </c>
      <c r="G17" s="445">
        <v>2</v>
      </c>
      <c r="H17" s="445">
        <v>1</v>
      </c>
      <c r="I17" s="445">
        <v>6</v>
      </c>
      <c r="J17" s="445">
        <v>4</v>
      </c>
      <c r="K17" s="445">
        <v>1</v>
      </c>
      <c r="L17" s="445">
        <v>1</v>
      </c>
      <c r="M17" s="445">
        <v>1</v>
      </c>
      <c r="N17" s="445">
        <v>2</v>
      </c>
      <c r="O17" s="445">
        <v>2</v>
      </c>
      <c r="P17" s="445">
        <v>3</v>
      </c>
      <c r="Q17" s="445"/>
      <c r="R17" s="445"/>
      <c r="S17" s="446"/>
      <c r="U17" s="125"/>
    </row>
    <row r="18" spans="2:21" ht="15.75" customHeight="1" thickBot="1" x14ac:dyDescent="0.45">
      <c r="B18" s="1253"/>
      <c r="C18" s="1250"/>
      <c r="D18" s="1244"/>
      <c r="E18" s="450" t="s">
        <v>182</v>
      </c>
      <c r="F18" s="451">
        <v>1.7</v>
      </c>
      <c r="G18" s="451">
        <v>1</v>
      </c>
      <c r="H18" s="451">
        <v>1</v>
      </c>
      <c r="I18" s="451">
        <v>1.7</v>
      </c>
      <c r="J18" s="451">
        <v>1.7</v>
      </c>
      <c r="K18" s="451">
        <v>1</v>
      </c>
      <c r="L18" s="451">
        <v>1</v>
      </c>
      <c r="M18" s="451">
        <v>1</v>
      </c>
      <c r="N18" s="451">
        <v>1</v>
      </c>
      <c r="O18" s="451">
        <v>1.7</v>
      </c>
      <c r="P18" s="451">
        <v>1.7</v>
      </c>
      <c r="Q18" s="451"/>
      <c r="R18" s="451"/>
      <c r="S18" s="452"/>
      <c r="U18" s="125"/>
    </row>
    <row r="19" spans="2:21" ht="15" customHeight="1" x14ac:dyDescent="0.4">
      <c r="B19" s="1251" t="s">
        <v>186</v>
      </c>
      <c r="C19" s="1248">
        <v>12</v>
      </c>
      <c r="D19" s="1242">
        <f>SUM(F21:S21)</f>
        <v>55</v>
      </c>
      <c r="E19" s="438" t="s">
        <v>184</v>
      </c>
      <c r="F19" s="439">
        <v>0</v>
      </c>
      <c r="G19" s="439">
        <v>30</v>
      </c>
      <c r="H19" s="439">
        <v>100</v>
      </c>
      <c r="I19" s="439">
        <v>630</v>
      </c>
      <c r="J19" s="439">
        <v>690</v>
      </c>
      <c r="K19" s="439">
        <v>720</v>
      </c>
      <c r="L19" s="439">
        <v>765</v>
      </c>
      <c r="M19" s="439">
        <v>770</v>
      </c>
      <c r="N19" s="439">
        <f>16*60</f>
        <v>960</v>
      </c>
      <c r="O19" s="439">
        <v>975</v>
      </c>
      <c r="P19" s="439">
        <v>1005</v>
      </c>
      <c r="Q19" s="439">
        <v>1020</v>
      </c>
      <c r="R19" s="439"/>
      <c r="S19" s="440"/>
      <c r="U19" s="125"/>
    </row>
    <row r="20" spans="2:21" ht="15" customHeight="1" x14ac:dyDescent="0.4">
      <c r="B20" s="1252"/>
      <c r="C20" s="1249"/>
      <c r="D20" s="1243"/>
      <c r="E20" s="441" t="s">
        <v>317</v>
      </c>
      <c r="F20" s="442">
        <v>1</v>
      </c>
      <c r="G20" s="442">
        <v>1</v>
      </c>
      <c r="H20" s="442">
        <v>1</v>
      </c>
      <c r="I20" s="442">
        <v>2</v>
      </c>
      <c r="J20" s="442">
        <v>2</v>
      </c>
      <c r="K20" s="442">
        <v>2</v>
      </c>
      <c r="L20" s="442">
        <v>2</v>
      </c>
      <c r="M20" s="442">
        <v>2</v>
      </c>
      <c r="N20" s="442">
        <v>3</v>
      </c>
      <c r="O20" s="442">
        <v>3</v>
      </c>
      <c r="P20" s="442">
        <v>3</v>
      </c>
      <c r="Q20" s="442">
        <v>3</v>
      </c>
      <c r="R20" s="442"/>
      <c r="S20" s="443"/>
      <c r="U20" s="125"/>
    </row>
    <row r="21" spans="2:21" ht="15" customHeight="1" x14ac:dyDescent="0.4">
      <c r="B21" s="1252"/>
      <c r="C21" s="1249"/>
      <c r="D21" s="1243"/>
      <c r="E21" s="444" t="s">
        <v>183</v>
      </c>
      <c r="F21" s="445">
        <v>15</v>
      </c>
      <c r="G21" s="445">
        <v>2</v>
      </c>
      <c r="H21" s="445">
        <v>9</v>
      </c>
      <c r="I21" s="445">
        <v>9</v>
      </c>
      <c r="J21" s="445">
        <v>5</v>
      </c>
      <c r="K21" s="445">
        <v>1</v>
      </c>
      <c r="L21" s="445">
        <v>1</v>
      </c>
      <c r="M21" s="445">
        <v>1</v>
      </c>
      <c r="N21" s="445">
        <v>1</v>
      </c>
      <c r="O21" s="445">
        <v>2</v>
      </c>
      <c r="P21" s="445">
        <v>2</v>
      </c>
      <c r="Q21" s="445">
        <v>7</v>
      </c>
      <c r="R21" s="445"/>
      <c r="S21" s="446"/>
      <c r="U21" s="125"/>
    </row>
    <row r="22" spans="2:21" ht="15.75" customHeight="1" thickBot="1" x14ac:dyDescent="0.45">
      <c r="B22" s="1253"/>
      <c r="C22" s="1250"/>
      <c r="D22" s="1244"/>
      <c r="E22" s="447" t="s">
        <v>182</v>
      </c>
      <c r="F22" s="448">
        <v>1.7</v>
      </c>
      <c r="G22" s="448">
        <v>1</v>
      </c>
      <c r="H22" s="448">
        <v>1.7</v>
      </c>
      <c r="I22" s="448">
        <v>1.7</v>
      </c>
      <c r="J22" s="448">
        <v>1.7</v>
      </c>
      <c r="K22" s="448">
        <v>1</v>
      </c>
      <c r="L22" s="448">
        <v>1</v>
      </c>
      <c r="M22" s="448">
        <v>1</v>
      </c>
      <c r="N22" s="448">
        <v>1</v>
      </c>
      <c r="O22" s="448">
        <v>1</v>
      </c>
      <c r="P22" s="448">
        <v>1.7</v>
      </c>
      <c r="Q22" s="448">
        <v>1.7</v>
      </c>
      <c r="R22" s="448"/>
      <c r="S22" s="449"/>
      <c r="U22" s="125"/>
    </row>
    <row r="23" spans="2:21" ht="15" customHeight="1" x14ac:dyDescent="0.4">
      <c r="B23" s="1251" t="s">
        <v>187</v>
      </c>
      <c r="C23" s="1248">
        <v>14</v>
      </c>
      <c r="D23" s="1242">
        <f>SUM(F25:S25)</f>
        <v>84</v>
      </c>
      <c r="E23" s="441" t="s">
        <v>184</v>
      </c>
      <c r="F23" s="442">
        <v>0</v>
      </c>
      <c r="G23" s="442">
        <v>30</v>
      </c>
      <c r="H23" s="442">
        <v>40</v>
      </c>
      <c r="I23" s="442">
        <v>100</v>
      </c>
      <c r="J23" s="442">
        <v>630</v>
      </c>
      <c r="K23" s="442">
        <v>690</v>
      </c>
      <c r="L23" s="442">
        <v>720</v>
      </c>
      <c r="M23" s="442">
        <v>765</v>
      </c>
      <c r="N23" s="442">
        <v>770</v>
      </c>
      <c r="O23" s="442">
        <f>16*60</f>
        <v>960</v>
      </c>
      <c r="P23" s="442">
        <v>975</v>
      </c>
      <c r="Q23" s="442">
        <v>990</v>
      </c>
      <c r="R23" s="442">
        <v>1005</v>
      </c>
      <c r="S23" s="443">
        <v>1020</v>
      </c>
      <c r="U23" s="125"/>
    </row>
    <row r="24" spans="2:21" ht="15" customHeight="1" x14ac:dyDescent="0.4">
      <c r="B24" s="1252"/>
      <c r="C24" s="1249"/>
      <c r="D24" s="1243"/>
      <c r="E24" s="441" t="s">
        <v>317</v>
      </c>
      <c r="F24" s="442">
        <v>1</v>
      </c>
      <c r="G24" s="442">
        <v>1</v>
      </c>
      <c r="H24" s="442">
        <v>1</v>
      </c>
      <c r="I24" s="442">
        <v>1</v>
      </c>
      <c r="J24" s="442">
        <v>2</v>
      </c>
      <c r="K24" s="442">
        <v>2</v>
      </c>
      <c r="L24" s="442">
        <v>2</v>
      </c>
      <c r="M24" s="442">
        <v>2</v>
      </c>
      <c r="N24" s="442">
        <v>2</v>
      </c>
      <c r="O24" s="442">
        <v>3</v>
      </c>
      <c r="P24" s="442">
        <v>3</v>
      </c>
      <c r="Q24" s="442">
        <v>3</v>
      </c>
      <c r="R24" s="442">
        <v>3</v>
      </c>
      <c r="S24" s="443">
        <v>3</v>
      </c>
      <c r="U24" s="125"/>
    </row>
    <row r="25" spans="2:21" ht="15" customHeight="1" x14ac:dyDescent="0.4">
      <c r="B25" s="1252"/>
      <c r="C25" s="1249"/>
      <c r="D25" s="1243"/>
      <c r="E25" s="444" t="s">
        <v>183</v>
      </c>
      <c r="F25" s="445">
        <v>27</v>
      </c>
      <c r="G25" s="445">
        <v>2</v>
      </c>
      <c r="H25" s="445">
        <v>1</v>
      </c>
      <c r="I25" s="445">
        <v>9</v>
      </c>
      <c r="J25" s="445">
        <v>15</v>
      </c>
      <c r="K25" s="445">
        <v>5</v>
      </c>
      <c r="L25" s="445">
        <v>1</v>
      </c>
      <c r="M25" s="445">
        <v>1</v>
      </c>
      <c r="N25" s="445">
        <v>1</v>
      </c>
      <c r="O25" s="445">
        <v>2</v>
      </c>
      <c r="P25" s="445">
        <v>2</v>
      </c>
      <c r="Q25" s="445">
        <v>2</v>
      </c>
      <c r="R25" s="445">
        <v>2</v>
      </c>
      <c r="S25" s="446">
        <v>14</v>
      </c>
      <c r="U25" s="125"/>
    </row>
    <row r="26" spans="2:21" ht="15.75" customHeight="1" thickBot="1" x14ac:dyDescent="0.45">
      <c r="B26" s="1253"/>
      <c r="C26" s="1250"/>
      <c r="D26" s="1244"/>
      <c r="E26" s="447" t="s">
        <v>182</v>
      </c>
      <c r="F26" s="448">
        <v>3</v>
      </c>
      <c r="G26" s="448">
        <v>1</v>
      </c>
      <c r="H26" s="448">
        <v>1</v>
      </c>
      <c r="I26" s="448">
        <v>1.7</v>
      </c>
      <c r="J26" s="448">
        <v>3</v>
      </c>
      <c r="K26" s="448">
        <v>1.7</v>
      </c>
      <c r="L26" s="448">
        <v>1</v>
      </c>
      <c r="M26" s="448">
        <v>1</v>
      </c>
      <c r="N26" s="448">
        <v>1</v>
      </c>
      <c r="O26" s="448">
        <v>1</v>
      </c>
      <c r="P26" s="448">
        <v>1</v>
      </c>
      <c r="Q26" s="448">
        <v>1.7</v>
      </c>
      <c r="R26" s="448">
        <v>1.7</v>
      </c>
      <c r="S26" s="449">
        <v>3</v>
      </c>
      <c r="U26" s="125"/>
    </row>
    <row r="27" spans="2:21" ht="16" thickBot="1" x14ac:dyDescent="0.45">
      <c r="U27" s="125"/>
    </row>
    <row r="28" spans="2:21" x14ac:dyDescent="0.4">
      <c r="B28" s="1258" t="s">
        <v>300</v>
      </c>
      <c r="C28" s="1259"/>
      <c r="D28" s="1259"/>
      <c r="E28" s="1259"/>
      <c r="F28" s="1260"/>
      <c r="U28" s="125"/>
    </row>
    <row r="29" spans="2:21" ht="16" thickBot="1" x14ac:dyDescent="0.45">
      <c r="B29" s="453" t="s">
        <v>55</v>
      </c>
      <c r="C29" s="454" t="s">
        <v>192</v>
      </c>
      <c r="D29" s="454"/>
      <c r="E29" s="454" t="s">
        <v>191</v>
      </c>
      <c r="F29" s="455" t="s">
        <v>56</v>
      </c>
      <c r="U29" s="125"/>
    </row>
    <row r="30" spans="2:21" x14ac:dyDescent="0.4">
      <c r="B30" s="456" t="s">
        <v>304</v>
      </c>
      <c r="C30" s="334">
        <v>3</v>
      </c>
      <c r="D30" s="334" t="s">
        <v>194</v>
      </c>
      <c r="E30" s="334">
        <v>0.25</v>
      </c>
      <c r="F30" s="335" t="s">
        <v>58</v>
      </c>
      <c r="U30" s="125"/>
    </row>
    <row r="31" spans="2:21" x14ac:dyDescent="0.4">
      <c r="B31" s="457" t="s">
        <v>304</v>
      </c>
      <c r="C31" s="279">
        <v>1.7</v>
      </c>
      <c r="D31" s="279" t="s">
        <v>194</v>
      </c>
      <c r="E31" s="279">
        <v>0.1</v>
      </c>
      <c r="F31" s="425" t="s">
        <v>58</v>
      </c>
      <c r="U31" s="125"/>
    </row>
    <row r="32" spans="2:21" x14ac:dyDescent="0.4">
      <c r="B32" s="457" t="s">
        <v>304</v>
      </c>
      <c r="C32" s="279">
        <v>1</v>
      </c>
      <c r="D32" s="279" t="s">
        <v>194</v>
      </c>
      <c r="E32" s="279">
        <v>0.1</v>
      </c>
      <c r="F32" s="425" t="s">
        <v>58</v>
      </c>
      <c r="U32" s="125"/>
    </row>
    <row r="33" spans="2:21" x14ac:dyDescent="0.4">
      <c r="B33" s="457" t="s">
        <v>301</v>
      </c>
      <c r="C33" s="279" t="s">
        <v>195</v>
      </c>
      <c r="D33" s="279" t="s">
        <v>194</v>
      </c>
      <c r="E33" s="279">
        <v>0.25</v>
      </c>
      <c r="F33" s="425" t="s">
        <v>193</v>
      </c>
      <c r="U33" s="125"/>
    </row>
    <row r="34" spans="2:21" x14ac:dyDescent="0.4">
      <c r="B34" s="457" t="s">
        <v>307</v>
      </c>
      <c r="C34" s="279" t="s">
        <v>195</v>
      </c>
      <c r="D34" s="279" t="s">
        <v>194</v>
      </c>
      <c r="E34" s="279">
        <v>1</v>
      </c>
      <c r="F34" s="425" t="s">
        <v>58</v>
      </c>
      <c r="U34" s="125"/>
    </row>
    <row r="35" spans="2:21" ht="5.25" customHeight="1" x14ac:dyDescent="0.4">
      <c r="B35" s="1245"/>
      <c r="C35" s="1246"/>
      <c r="D35" s="1246"/>
      <c r="E35" s="1246"/>
      <c r="F35" s="1247"/>
      <c r="U35" s="125"/>
    </row>
    <row r="36" spans="2:21" x14ac:dyDescent="0.4">
      <c r="B36" s="457" t="s">
        <v>302</v>
      </c>
      <c r="C36" s="279">
        <v>20</v>
      </c>
      <c r="D36" s="279"/>
      <c r="E36" s="279"/>
      <c r="F36" s="425" t="s">
        <v>58</v>
      </c>
      <c r="U36" s="125"/>
    </row>
    <row r="37" spans="2:21" x14ac:dyDescent="0.4">
      <c r="B37" s="457" t="s">
        <v>303</v>
      </c>
      <c r="C37" s="279">
        <v>1</v>
      </c>
      <c r="D37" s="279" t="s">
        <v>194</v>
      </c>
      <c r="E37" s="279">
        <v>0.25</v>
      </c>
      <c r="F37" s="425" t="s">
        <v>193</v>
      </c>
      <c r="U37" s="125"/>
    </row>
    <row r="38" spans="2:21" x14ac:dyDescent="0.4">
      <c r="B38" s="457" t="s">
        <v>584</v>
      </c>
      <c r="C38" s="279">
        <v>3</v>
      </c>
      <c r="D38" s="279" t="s">
        <v>194</v>
      </c>
      <c r="E38" s="279">
        <v>0.25</v>
      </c>
      <c r="F38" s="425" t="s">
        <v>193</v>
      </c>
      <c r="U38" s="125"/>
    </row>
    <row r="39" spans="2:21" ht="6" customHeight="1" x14ac:dyDescent="0.4">
      <c r="B39" s="1245"/>
      <c r="C39" s="1246"/>
      <c r="D39" s="1246"/>
      <c r="E39" s="1246"/>
      <c r="F39" s="1247"/>
      <c r="U39" s="125"/>
    </row>
    <row r="40" spans="2:21" x14ac:dyDescent="0.4">
      <c r="B40" s="457" t="s">
        <v>105</v>
      </c>
      <c r="C40" s="279" t="s">
        <v>195</v>
      </c>
      <c r="D40" s="279" t="s">
        <v>194</v>
      </c>
      <c r="E40" s="279">
        <v>0.5</v>
      </c>
      <c r="F40" s="425" t="s">
        <v>58</v>
      </c>
      <c r="U40" s="125"/>
    </row>
    <row r="41" spans="2:21" x14ac:dyDescent="0.4">
      <c r="B41" s="458" t="s">
        <v>198</v>
      </c>
      <c r="C41" s="429">
        <v>110</v>
      </c>
      <c r="D41" s="429" t="s">
        <v>144</v>
      </c>
      <c r="E41" s="279" t="s">
        <v>195</v>
      </c>
      <c r="F41" s="459" t="s">
        <v>614</v>
      </c>
      <c r="U41" s="125"/>
    </row>
    <row r="42" spans="2:21" x14ac:dyDescent="0.4">
      <c r="B42" s="458" t="s">
        <v>199</v>
      </c>
      <c r="C42" s="429">
        <v>130</v>
      </c>
      <c r="D42" s="429" t="s">
        <v>200</v>
      </c>
      <c r="E42" s="279" t="s">
        <v>195</v>
      </c>
      <c r="F42" s="459" t="s">
        <v>614</v>
      </c>
      <c r="U42" s="125"/>
    </row>
    <row r="43" spans="2:21" x14ac:dyDescent="0.4">
      <c r="B43" s="458" t="s">
        <v>201</v>
      </c>
      <c r="C43" s="429">
        <v>15</v>
      </c>
      <c r="D43" s="279" t="s">
        <v>194</v>
      </c>
      <c r="E43" s="429" t="s">
        <v>195</v>
      </c>
      <c r="F43" s="459" t="s">
        <v>614</v>
      </c>
      <c r="U43" s="125"/>
    </row>
    <row r="44" spans="2:21" x14ac:dyDescent="0.4">
      <c r="B44" s="458" t="s">
        <v>294</v>
      </c>
      <c r="C44" s="429">
        <v>125</v>
      </c>
      <c r="D44" s="279" t="s">
        <v>194</v>
      </c>
      <c r="E44" s="279">
        <v>5</v>
      </c>
      <c r="F44" s="459" t="s">
        <v>614</v>
      </c>
      <c r="U44" s="125"/>
    </row>
    <row r="45" spans="2:21" x14ac:dyDescent="0.4">
      <c r="B45" s="458" t="s">
        <v>215</v>
      </c>
      <c r="C45" s="429">
        <v>58</v>
      </c>
      <c r="D45" s="279" t="s">
        <v>194</v>
      </c>
      <c r="E45" s="279">
        <v>2</v>
      </c>
      <c r="F45" s="459" t="s">
        <v>614</v>
      </c>
      <c r="U45" s="125"/>
    </row>
    <row r="46" spans="2:21" x14ac:dyDescent="0.4">
      <c r="B46" s="458" t="s">
        <v>270</v>
      </c>
      <c r="C46" s="429">
        <v>67.5</v>
      </c>
      <c r="D46" s="279" t="s">
        <v>194</v>
      </c>
      <c r="E46" s="279">
        <v>2.5</v>
      </c>
      <c r="F46" s="459" t="s">
        <v>614</v>
      </c>
      <c r="U46" s="125"/>
    </row>
    <row r="47" spans="2:21" ht="6" customHeight="1" x14ac:dyDescent="0.4">
      <c r="B47" s="1245"/>
      <c r="C47" s="1246"/>
      <c r="D47" s="1246"/>
      <c r="E47" s="1246"/>
      <c r="F47" s="1247"/>
      <c r="U47" s="125"/>
    </row>
    <row r="48" spans="2:21" x14ac:dyDescent="0.4">
      <c r="B48" s="458" t="s">
        <v>268</v>
      </c>
      <c r="C48" s="429">
        <v>67.5</v>
      </c>
      <c r="D48" s="279" t="s">
        <v>194</v>
      </c>
      <c r="E48" s="279">
        <v>1</v>
      </c>
      <c r="F48" s="459" t="s">
        <v>614</v>
      </c>
      <c r="U48" s="125"/>
    </row>
    <row r="49" spans="2:21" x14ac:dyDescent="0.4">
      <c r="B49" s="458" t="s">
        <v>269</v>
      </c>
      <c r="C49" s="429">
        <v>50</v>
      </c>
      <c r="D49" s="279" t="s">
        <v>194</v>
      </c>
      <c r="E49" s="279">
        <v>2</v>
      </c>
      <c r="F49" s="459" t="s">
        <v>258</v>
      </c>
      <c r="U49" s="125"/>
    </row>
    <row r="50" spans="2:21" ht="6" customHeight="1" x14ac:dyDescent="0.4">
      <c r="B50" s="1245"/>
      <c r="C50" s="1246"/>
      <c r="D50" s="1246"/>
      <c r="E50" s="1246"/>
      <c r="F50" s="1247"/>
      <c r="U50" s="125"/>
    </row>
    <row r="51" spans="2:21" x14ac:dyDescent="0.4">
      <c r="B51" s="458" t="s">
        <v>271</v>
      </c>
      <c r="C51" s="429">
        <v>40</v>
      </c>
      <c r="D51" s="279"/>
      <c r="E51" s="279"/>
      <c r="F51" s="459" t="s">
        <v>238</v>
      </c>
      <c r="U51" s="125"/>
    </row>
    <row r="52" spans="2:21" x14ac:dyDescent="0.4">
      <c r="B52" s="458" t="s">
        <v>273</v>
      </c>
      <c r="C52" s="429" t="s">
        <v>272</v>
      </c>
      <c r="D52" s="279"/>
      <c r="E52" s="279"/>
      <c r="F52" s="459" t="s">
        <v>238</v>
      </c>
      <c r="U52" s="125"/>
    </row>
    <row r="53" spans="2:21" ht="6" customHeight="1" x14ac:dyDescent="0.4">
      <c r="B53" s="1245"/>
      <c r="C53" s="1246"/>
      <c r="D53" s="1246"/>
      <c r="E53" s="1246"/>
      <c r="F53" s="1247"/>
      <c r="U53" s="125"/>
    </row>
    <row r="54" spans="2:21" x14ac:dyDescent="0.4">
      <c r="B54" s="458" t="s">
        <v>274</v>
      </c>
      <c r="C54" s="429" t="s">
        <v>272</v>
      </c>
      <c r="D54" s="279" t="s">
        <v>194</v>
      </c>
      <c r="E54" s="279">
        <v>1</v>
      </c>
      <c r="F54" s="459" t="s">
        <v>275</v>
      </c>
      <c r="U54" s="125"/>
    </row>
    <row r="55" spans="2:21" x14ac:dyDescent="0.4">
      <c r="B55" s="458" t="s">
        <v>277</v>
      </c>
      <c r="C55" s="429">
        <v>7</v>
      </c>
      <c r="D55" s="279"/>
      <c r="E55" s="279"/>
      <c r="F55" s="459" t="s">
        <v>120</v>
      </c>
      <c r="U55" s="125"/>
    </row>
    <row r="56" spans="2:21" x14ac:dyDescent="0.4">
      <c r="B56" s="458" t="s">
        <v>278</v>
      </c>
      <c r="C56" s="429">
        <v>10</v>
      </c>
      <c r="D56" s="279"/>
      <c r="E56" s="279"/>
      <c r="F56" s="459" t="s">
        <v>120</v>
      </c>
      <c r="U56" s="125"/>
    </row>
    <row r="57" spans="2:21" x14ac:dyDescent="0.4">
      <c r="B57" s="458" t="s">
        <v>279</v>
      </c>
      <c r="C57" s="429" t="s">
        <v>272</v>
      </c>
      <c r="D57" s="279" t="s">
        <v>194</v>
      </c>
      <c r="E57" s="279">
        <v>10</v>
      </c>
      <c r="F57" s="459" t="s">
        <v>280</v>
      </c>
      <c r="U57" s="125"/>
    </row>
    <row r="58" spans="2:21" x14ac:dyDescent="0.4">
      <c r="B58" s="458" t="s">
        <v>281</v>
      </c>
      <c r="C58" s="429">
        <v>11</v>
      </c>
      <c r="D58" s="279"/>
      <c r="E58" s="279"/>
      <c r="F58" s="459" t="s">
        <v>120</v>
      </c>
      <c r="U58" s="125"/>
    </row>
    <row r="59" spans="2:21" x14ac:dyDescent="0.4">
      <c r="B59" s="458" t="s">
        <v>282</v>
      </c>
      <c r="C59" s="429">
        <v>13</v>
      </c>
      <c r="D59" s="279"/>
      <c r="E59" s="279"/>
      <c r="F59" s="459" t="s">
        <v>120</v>
      </c>
      <c r="U59" s="125"/>
    </row>
    <row r="60" spans="2:21" x14ac:dyDescent="0.4">
      <c r="B60" s="458" t="s">
        <v>293</v>
      </c>
      <c r="C60" s="429" t="s">
        <v>272</v>
      </c>
      <c r="D60" s="279" t="s">
        <v>194</v>
      </c>
      <c r="E60" s="279">
        <v>10</v>
      </c>
      <c r="F60" s="459" t="s">
        <v>280</v>
      </c>
      <c r="U60" s="125"/>
    </row>
    <row r="61" spans="2:21" x14ac:dyDescent="0.4">
      <c r="B61" s="458" t="s">
        <v>288</v>
      </c>
      <c r="C61" s="429" t="s">
        <v>289</v>
      </c>
      <c r="D61" s="279"/>
      <c r="E61" s="279"/>
      <c r="F61" s="459"/>
      <c r="U61" s="125"/>
    </row>
    <row r="62" spans="2:21" x14ac:dyDescent="0.4">
      <c r="B62" s="458" t="s">
        <v>121</v>
      </c>
      <c r="C62" s="429" t="s">
        <v>272</v>
      </c>
      <c r="D62" s="279" t="s">
        <v>194</v>
      </c>
      <c r="E62" s="279">
        <v>10</v>
      </c>
      <c r="F62" s="459" t="s">
        <v>296</v>
      </c>
      <c r="U62" s="125"/>
    </row>
    <row r="63" spans="2:21" x14ac:dyDescent="0.4">
      <c r="B63" s="458" t="s">
        <v>297</v>
      </c>
      <c r="C63" s="429" t="s">
        <v>272</v>
      </c>
      <c r="D63" s="279" t="s">
        <v>194</v>
      </c>
      <c r="E63" s="279">
        <v>2</v>
      </c>
      <c r="F63" s="459" t="s">
        <v>258</v>
      </c>
      <c r="U63" s="125"/>
    </row>
    <row r="64" spans="2:21" ht="6" customHeight="1" x14ac:dyDescent="0.4">
      <c r="B64" s="1245"/>
      <c r="C64" s="1246"/>
      <c r="D64" s="1246"/>
      <c r="E64" s="1246"/>
      <c r="F64" s="1247"/>
      <c r="U64" s="125"/>
    </row>
    <row r="65" spans="2:21" x14ac:dyDescent="0.4">
      <c r="B65" s="458" t="s">
        <v>283</v>
      </c>
      <c r="C65" s="429">
        <v>1025</v>
      </c>
      <c r="D65" s="279"/>
      <c r="E65" s="279"/>
      <c r="F65" s="459" t="s">
        <v>284</v>
      </c>
      <c r="U65" s="125"/>
    </row>
    <row r="66" spans="2:21" x14ac:dyDescent="0.4">
      <c r="B66" s="458" t="s">
        <v>285</v>
      </c>
      <c r="C66" s="429">
        <v>2500</v>
      </c>
      <c r="D66" s="279"/>
      <c r="E66" s="279"/>
      <c r="F66" s="459" t="s">
        <v>284</v>
      </c>
      <c r="U66" s="125"/>
    </row>
    <row r="67" spans="2:21" x14ac:dyDescent="0.4">
      <c r="B67" s="458" t="s">
        <v>286</v>
      </c>
      <c r="C67" s="429">
        <v>138700</v>
      </c>
      <c r="D67" s="279"/>
      <c r="E67" s="279"/>
      <c r="F67" s="459" t="s">
        <v>287</v>
      </c>
      <c r="U67" s="125"/>
    </row>
    <row r="68" spans="2:21" ht="6" customHeight="1" x14ac:dyDescent="0.4">
      <c r="B68" s="1245"/>
      <c r="C68" s="1246"/>
      <c r="D68" s="1246"/>
      <c r="E68" s="1246"/>
      <c r="F68" s="1247"/>
      <c r="U68" s="125"/>
    </row>
    <row r="69" spans="2:21" x14ac:dyDescent="0.4">
      <c r="B69" s="458" t="s">
        <v>298</v>
      </c>
      <c r="C69" s="429" t="s">
        <v>272</v>
      </c>
      <c r="D69" s="279" t="s">
        <v>194</v>
      </c>
      <c r="E69" s="279">
        <v>5</v>
      </c>
      <c r="F69" s="459" t="s">
        <v>258</v>
      </c>
      <c r="U69" s="125"/>
    </row>
    <row r="70" spans="2:21" ht="16" thickBot="1" x14ac:dyDescent="0.45">
      <c r="B70" s="460" t="s">
        <v>299</v>
      </c>
      <c r="C70" s="430" t="s">
        <v>272</v>
      </c>
      <c r="D70" s="427" t="s">
        <v>194</v>
      </c>
      <c r="E70" s="427">
        <v>5</v>
      </c>
      <c r="F70" s="461" t="s">
        <v>258</v>
      </c>
      <c r="U70" s="125"/>
    </row>
    <row r="71" spans="2:21" ht="16" thickBot="1" x14ac:dyDescent="0.45">
      <c r="B71" s="113"/>
      <c r="C71" s="372"/>
      <c r="D71" s="238"/>
      <c r="E71" s="238"/>
      <c r="F71" s="372"/>
      <c r="U71" s="125"/>
    </row>
    <row r="72" spans="2:21" ht="16" thickBot="1" x14ac:dyDescent="0.45">
      <c r="B72" s="1121" t="s">
        <v>233</v>
      </c>
      <c r="C72" s="1125"/>
      <c r="D72" s="1125"/>
      <c r="E72" s="1125"/>
      <c r="F72" s="1125"/>
      <c r="G72" s="1125"/>
      <c r="H72" s="1122"/>
      <c r="U72" s="125"/>
    </row>
    <row r="73" spans="2:21" x14ac:dyDescent="0.4">
      <c r="B73" s="215" t="s">
        <v>55</v>
      </c>
      <c r="C73" s="1257" t="s">
        <v>87</v>
      </c>
      <c r="D73" s="1257"/>
      <c r="E73" s="1257"/>
      <c r="F73" s="418" t="s">
        <v>588</v>
      </c>
      <c r="G73" s="334" t="s">
        <v>589</v>
      </c>
      <c r="H73" s="335" t="s">
        <v>590</v>
      </c>
      <c r="U73" s="125"/>
    </row>
    <row r="74" spans="2:21" x14ac:dyDescent="0.4">
      <c r="B74" s="384" t="s">
        <v>234</v>
      </c>
      <c r="C74" s="247" t="s">
        <v>194</v>
      </c>
      <c r="D74" s="247">
        <v>0.1</v>
      </c>
      <c r="E74" s="247" t="s">
        <v>120</v>
      </c>
      <c r="F74" s="161" t="str">
        <f>IF('General Info &amp; Test Results'!C24="","Possibly",IF(OR('General Info &amp; Test Results'!C24="Natural Gas",'General Info &amp; Test Results'!C24="Propane Gas"),"Yes","No"))</f>
        <v>Possibly</v>
      </c>
      <c r="G74" s="147" t="str">
        <f>IF(ISERROR(VLOOKUP(B74,'Setup &amp; Instrumentation'!$B$13:$B$52,1,FALSE))=TRUE,"No","Yes")</f>
        <v>No</v>
      </c>
      <c r="H74" s="155" t="str">
        <f>IF(F74="Possibly","Yes",IF(AND(F74="Yes",G74="No"),"Yes","No"))</f>
        <v>Yes</v>
      </c>
      <c r="U74" s="125"/>
    </row>
    <row r="75" spans="2:21" x14ac:dyDescent="0.4">
      <c r="B75" s="384" t="s">
        <v>235</v>
      </c>
      <c r="C75" s="247" t="s">
        <v>194</v>
      </c>
      <c r="D75" s="247">
        <v>0.1</v>
      </c>
      <c r="E75" s="247" t="s">
        <v>236</v>
      </c>
      <c r="F75" s="161" t="str">
        <f>IF('General Info &amp; Test Results'!C24="","Possibly",IF('General Info &amp; Test Results'!C24="N/A","No","Yes"))</f>
        <v>Possibly</v>
      </c>
      <c r="G75" s="147" t="str">
        <f>IF(ISERROR(VLOOKUP(B75,'Setup &amp; Instrumentation'!$B$13:$B$52,1,FALSE))=TRUE,"No","Yes")</f>
        <v>No</v>
      </c>
      <c r="H75" s="155" t="str">
        <f t="shared" ref="H75:H88" si="0">IF(F75="Possibly","Yes",IF(AND(F75="Yes",G75="No"),"Yes","No"))</f>
        <v>Yes</v>
      </c>
      <c r="U75" s="125"/>
    </row>
    <row r="76" spans="2:21" x14ac:dyDescent="0.4">
      <c r="B76" s="384" t="s">
        <v>237</v>
      </c>
      <c r="C76" s="247" t="s">
        <v>194</v>
      </c>
      <c r="D76" s="247">
        <v>1</v>
      </c>
      <c r="E76" s="247" t="s">
        <v>238</v>
      </c>
      <c r="F76" s="161" t="s">
        <v>106</v>
      </c>
      <c r="G76" s="147" t="str">
        <f>IF(ISERROR(VLOOKUP(B76,'Setup &amp; Instrumentation'!$B$13:$B$52,1,FALSE))=TRUE,"No","Yes")</f>
        <v>No</v>
      </c>
      <c r="H76" s="155" t="str">
        <f t="shared" si="0"/>
        <v>Yes</v>
      </c>
      <c r="U76" s="125"/>
    </row>
    <row r="77" spans="2:21" x14ac:dyDescent="0.4">
      <c r="B77" s="384" t="s">
        <v>239</v>
      </c>
      <c r="C77" s="247" t="s">
        <v>194</v>
      </c>
      <c r="D77" s="247">
        <v>0.2</v>
      </c>
      <c r="E77" s="247" t="s">
        <v>93</v>
      </c>
      <c r="F77" s="161" t="s">
        <v>106</v>
      </c>
      <c r="G77" s="147" t="str">
        <f>IF(ISERROR(VLOOKUP(B77,'Setup &amp; Instrumentation'!$B$13:$B$52,1,FALSE))=TRUE,"No","Yes")</f>
        <v>No</v>
      </c>
      <c r="H77" s="155" t="str">
        <f t="shared" si="0"/>
        <v>Yes</v>
      </c>
      <c r="U77" s="125"/>
    </row>
    <row r="78" spans="2:21" x14ac:dyDescent="0.4">
      <c r="B78" s="384" t="s">
        <v>240</v>
      </c>
      <c r="C78" s="247" t="s">
        <v>194</v>
      </c>
      <c r="D78" s="247">
        <v>0.2</v>
      </c>
      <c r="E78" s="247" t="s">
        <v>93</v>
      </c>
      <c r="F78" s="161" t="s">
        <v>106</v>
      </c>
      <c r="G78" s="147" t="str">
        <f>IF(ISERROR(VLOOKUP(B78,'Setup &amp; Instrumentation'!$B$13:$B$52,1,FALSE))=TRUE,"No","Yes")</f>
        <v>No</v>
      </c>
      <c r="H78" s="155" t="str">
        <f t="shared" si="0"/>
        <v>Yes</v>
      </c>
      <c r="U78" s="125"/>
    </row>
    <row r="79" spans="2:21" x14ac:dyDescent="0.4">
      <c r="B79" s="384" t="s">
        <v>241</v>
      </c>
      <c r="C79" s="247" t="s">
        <v>194</v>
      </c>
      <c r="D79" s="247">
        <v>0.5</v>
      </c>
      <c r="E79" s="247" t="s">
        <v>93</v>
      </c>
      <c r="F79" s="161" t="str">
        <f>IF('General Info &amp; Test Results'!F13="","Possibly",IF('General Info &amp; Test Results'!F13="Storage","Yes","No"))</f>
        <v>Possibly</v>
      </c>
      <c r="G79" s="147" t="str">
        <f>IF(ISERROR(VLOOKUP(B79,'Setup &amp; Instrumentation'!$B$13:$B$52,1,FALSE))=TRUE,"No","Yes")</f>
        <v>No</v>
      </c>
      <c r="H79" s="155" t="str">
        <f t="shared" si="0"/>
        <v>Yes</v>
      </c>
      <c r="U79" s="125"/>
    </row>
    <row r="80" spans="2:21" x14ac:dyDescent="0.4">
      <c r="B80" s="384" t="s">
        <v>242</v>
      </c>
      <c r="C80" s="247" t="s">
        <v>194</v>
      </c>
      <c r="D80" s="247">
        <v>1</v>
      </c>
      <c r="E80" s="247" t="s">
        <v>243</v>
      </c>
      <c r="F80" s="161" t="s">
        <v>106</v>
      </c>
      <c r="G80" s="147" t="str">
        <f>IF(ISERROR(VLOOKUP(B80,'Setup &amp; Instrumentation'!$B$13:$B$52,1,FALSE))=TRUE,"No","Yes")</f>
        <v>No</v>
      </c>
      <c r="H80" s="155" t="str">
        <f t="shared" si="0"/>
        <v>Yes</v>
      </c>
      <c r="U80" s="125"/>
    </row>
    <row r="81" spans="2:21" x14ac:dyDescent="0.4">
      <c r="B81" s="384" t="s">
        <v>244</v>
      </c>
      <c r="C81" s="247" t="s">
        <v>194</v>
      </c>
      <c r="D81" s="247">
        <v>0.5</v>
      </c>
      <c r="E81" s="247" t="s">
        <v>243</v>
      </c>
      <c r="F81" s="161" t="str">
        <f>IF('General Info &amp; Test Results'!C26="","Possibly",IF('General Info &amp; Test Results'!C26="Yes","Yes","No"))</f>
        <v>Possibly</v>
      </c>
      <c r="G81" s="147" t="str">
        <f>IF(ISERROR(VLOOKUP(B81,'Setup &amp; Instrumentation'!$B$13:$B$52,1,FALSE))=TRUE,"No","Yes")</f>
        <v>No</v>
      </c>
      <c r="H81" s="155" t="str">
        <f t="shared" si="0"/>
        <v>Yes</v>
      </c>
      <c r="U81" s="125"/>
    </row>
    <row r="82" spans="2:21" x14ac:dyDescent="0.4">
      <c r="B82" s="384" t="s">
        <v>264</v>
      </c>
      <c r="C82" s="247" t="s">
        <v>194</v>
      </c>
      <c r="D82" s="247">
        <v>1</v>
      </c>
      <c r="E82" s="247" t="s">
        <v>243</v>
      </c>
      <c r="F82" s="161" t="str">
        <f>IF(OR('General Info &amp; Test Results'!C24="",'General Info &amp; Test Results'!C25=""),"Possibly",IF(OR('General Info &amp; Test Results'!C25="Yes",'General Info &amp; Test Results'!C24="Propane Gas",'General Info &amp; Test Results'!C24="Natural Gas"),"Yes","No"))</f>
        <v>Possibly</v>
      </c>
      <c r="G82" s="147" t="str">
        <f>IF(ISERROR(VLOOKUP(B82,'Setup &amp; Instrumentation'!$B$13:$B$52,1,FALSE))=TRUE,"No","Yes")</f>
        <v>No</v>
      </c>
      <c r="H82" s="155" t="str">
        <f t="shared" si="0"/>
        <v>Yes</v>
      </c>
      <c r="U82" s="125"/>
    </row>
    <row r="83" spans="2:21" x14ac:dyDescent="0.4">
      <c r="B83" s="384" t="s">
        <v>245</v>
      </c>
      <c r="C83" s="247" t="s">
        <v>194</v>
      </c>
      <c r="D83" s="247">
        <v>0.1</v>
      </c>
      <c r="E83" s="247" t="s">
        <v>92</v>
      </c>
      <c r="F83" s="161" t="s">
        <v>107</v>
      </c>
      <c r="G83" s="147" t="str">
        <f>IF(ISERROR(VLOOKUP(B83,'Setup &amp; Instrumentation'!$B$13:$B$52,1,FALSE))=TRUE,"No","Yes")</f>
        <v>No</v>
      </c>
      <c r="H83" s="155" t="str">
        <f t="shared" si="0"/>
        <v>No</v>
      </c>
      <c r="U83" s="125"/>
    </row>
    <row r="84" spans="2:21" x14ac:dyDescent="0.4">
      <c r="B84" s="384" t="s">
        <v>585</v>
      </c>
      <c r="C84" s="247" t="s">
        <v>194</v>
      </c>
      <c r="D84" s="247">
        <v>0.5</v>
      </c>
      <c r="E84" s="247" t="s">
        <v>243</v>
      </c>
      <c r="F84" s="161" t="s">
        <v>106</v>
      </c>
      <c r="G84" s="147" t="str">
        <f>IF(ISERROR(VLOOKUP(B84,'Setup &amp; Instrumentation'!$B$13:$B$52,1,FALSE))=TRUE,"No","Yes")</f>
        <v>No</v>
      </c>
      <c r="H84" s="155" t="str">
        <f t="shared" si="0"/>
        <v>Yes</v>
      </c>
      <c r="U84" s="125"/>
    </row>
    <row r="85" spans="2:21" x14ac:dyDescent="0.4">
      <c r="B85" s="384" t="s">
        <v>246</v>
      </c>
      <c r="C85" s="247" t="s">
        <v>194</v>
      </c>
      <c r="D85" s="247">
        <v>1</v>
      </c>
      <c r="E85" s="247" t="s">
        <v>243</v>
      </c>
      <c r="F85" s="161" t="str">
        <f>IF('General Info &amp; Test Results'!C24="","Possibly",IF(OR('General Info &amp; Test Results'!C24="Natural Gas",'General Info &amp; Test Results'!C24="Propane Gas"),"Yes","No"))</f>
        <v>Possibly</v>
      </c>
      <c r="G85" s="147" t="str">
        <f>IF(ISERROR(VLOOKUP(B85,'Setup &amp; Instrumentation'!$B$13:$B$52,1,FALSE))=TRUE,"No","Yes")</f>
        <v>No</v>
      </c>
      <c r="H85" s="155" t="str">
        <f t="shared" si="0"/>
        <v>Yes</v>
      </c>
      <c r="U85" s="125"/>
    </row>
    <row r="86" spans="2:21" x14ac:dyDescent="0.4">
      <c r="B86" s="384" t="s">
        <v>247</v>
      </c>
      <c r="C86" s="247" t="s">
        <v>194</v>
      </c>
      <c r="D86" s="247">
        <v>0.5</v>
      </c>
      <c r="E86" s="247" t="s">
        <v>248</v>
      </c>
      <c r="F86" s="161" t="s">
        <v>107</v>
      </c>
      <c r="G86" s="147" t="str">
        <f>IF(ISERROR(VLOOKUP(B86,'Setup &amp; Instrumentation'!$B$13:$B$52,1,FALSE))=TRUE,"No","Yes")</f>
        <v>No</v>
      </c>
      <c r="H86" s="155" t="str">
        <f t="shared" si="0"/>
        <v>No</v>
      </c>
      <c r="U86" s="125"/>
    </row>
    <row r="87" spans="2:21" x14ac:dyDescent="0.4">
      <c r="B87" s="384" t="s">
        <v>105</v>
      </c>
      <c r="C87" s="247" t="s">
        <v>194</v>
      </c>
      <c r="D87" s="247">
        <v>2</v>
      </c>
      <c r="E87" s="247" t="s">
        <v>243</v>
      </c>
      <c r="F87" s="161" t="s">
        <v>107</v>
      </c>
      <c r="G87" s="147" t="str">
        <f>IF(ISERROR(VLOOKUP(B87,'Setup &amp; Instrumentation'!$B$13:$B$52,1,FALSE))=TRUE,"No","Yes")</f>
        <v>No</v>
      </c>
      <c r="H87" s="155" t="str">
        <f t="shared" si="0"/>
        <v>No</v>
      </c>
      <c r="U87" s="125"/>
    </row>
    <row r="88" spans="2:21" ht="16" thickBot="1" x14ac:dyDescent="0.45">
      <c r="B88" s="462" t="s">
        <v>124</v>
      </c>
      <c r="C88" s="250" t="s">
        <v>194</v>
      </c>
      <c r="D88" s="250">
        <v>1.5</v>
      </c>
      <c r="E88" s="250" t="s">
        <v>249</v>
      </c>
      <c r="F88" s="561" t="str">
        <f>IF('General Info &amp; Test Results'!C19="","Possibly",IF(OR('General Info &amp; Test Results'!C19="Gas-fired Heat Pump",'General Info &amp; Test Results'!C19="Electric Heat Pump"),"Yes","No"))</f>
        <v>Possibly</v>
      </c>
      <c r="G88" s="229" t="str">
        <f>IF(ISERROR(VLOOKUP(B88,'Setup &amp; Instrumentation'!$B$13:$B$52,1,FALSE))=TRUE,"No","Yes")</f>
        <v>No</v>
      </c>
      <c r="H88" s="230" t="str">
        <f t="shared" si="0"/>
        <v>Yes</v>
      </c>
      <c r="U88" s="125"/>
    </row>
    <row r="89" spans="2:21" ht="16" thickBot="1" x14ac:dyDescent="0.45">
      <c r="F89" s="140"/>
      <c r="U89" s="125"/>
    </row>
    <row r="90" spans="2:21" ht="16" thickBot="1" x14ac:dyDescent="0.45">
      <c r="B90" s="1121" t="s">
        <v>306</v>
      </c>
      <c r="C90" s="1125"/>
      <c r="D90" s="1122"/>
      <c r="U90" s="125"/>
    </row>
    <row r="91" spans="2:21" x14ac:dyDescent="0.4">
      <c r="B91" s="1248"/>
      <c r="C91" s="1254" t="s">
        <v>147</v>
      </c>
      <c r="D91" s="1255"/>
      <c r="U91" s="125"/>
    </row>
    <row r="92" spans="2:21" x14ac:dyDescent="0.4">
      <c r="B92" s="1256"/>
      <c r="C92" s="279" t="s">
        <v>144</v>
      </c>
      <c r="D92" s="425" t="s">
        <v>145</v>
      </c>
      <c r="U92" s="125"/>
    </row>
    <row r="93" spans="2:21" x14ac:dyDescent="0.4">
      <c r="B93" s="424" t="str">
        <f>$B$11</f>
        <v>Very Small</v>
      </c>
      <c r="C93" s="279">
        <v>0</v>
      </c>
      <c r="D93" s="425">
        <v>18</v>
      </c>
      <c r="U93" s="125"/>
    </row>
    <row r="94" spans="2:21" x14ac:dyDescent="0.4">
      <c r="B94" s="424" t="str">
        <f>$B$15</f>
        <v>Low</v>
      </c>
      <c r="C94" s="279">
        <v>18</v>
      </c>
      <c r="D94" s="425">
        <v>51</v>
      </c>
      <c r="U94" s="125"/>
    </row>
    <row r="95" spans="2:21" x14ac:dyDescent="0.4">
      <c r="B95" s="424" t="str">
        <f>$B$19</f>
        <v>Medium</v>
      </c>
      <c r="C95" s="279">
        <v>51</v>
      </c>
      <c r="D95" s="425">
        <v>75</v>
      </c>
      <c r="U95" s="125"/>
    </row>
    <row r="96" spans="2:21" ht="16" thickBot="1" x14ac:dyDescent="0.45">
      <c r="B96" s="426" t="str">
        <f>$B$23</f>
        <v>High</v>
      </c>
      <c r="C96" s="427">
        <v>75</v>
      </c>
      <c r="D96" s="428" t="s">
        <v>146</v>
      </c>
      <c r="U96" s="125"/>
    </row>
    <row r="97" spans="1:23" ht="16" thickBot="1" x14ac:dyDescent="0.45">
      <c r="U97" s="125"/>
    </row>
    <row r="98" spans="1:23" ht="16" thickBot="1" x14ac:dyDescent="0.45">
      <c r="B98" s="1121" t="s">
        <v>143</v>
      </c>
      <c r="C98" s="1125"/>
      <c r="D98" s="1122"/>
      <c r="U98" s="125"/>
    </row>
    <row r="99" spans="1:23" x14ac:dyDescent="0.4">
      <c r="B99" s="1248"/>
      <c r="C99" s="1254" t="s">
        <v>151</v>
      </c>
      <c r="D99" s="1255"/>
      <c r="U99" s="125"/>
    </row>
    <row r="100" spans="1:23" x14ac:dyDescent="0.4">
      <c r="B100" s="1256"/>
      <c r="C100" s="279" t="s">
        <v>144</v>
      </c>
      <c r="D100" s="425" t="s">
        <v>145</v>
      </c>
      <c r="U100" s="125"/>
    </row>
    <row r="101" spans="1:23" x14ac:dyDescent="0.4">
      <c r="B101" s="424" t="str">
        <f>$B$11</f>
        <v>Very Small</v>
      </c>
      <c r="C101" s="279">
        <v>0</v>
      </c>
      <c r="D101" s="425">
        <v>1.7</v>
      </c>
      <c r="U101" s="125"/>
    </row>
    <row r="102" spans="1:23" x14ac:dyDescent="0.4">
      <c r="B102" s="424" t="str">
        <f>$B$15</f>
        <v>Low</v>
      </c>
      <c r="C102" s="279">
        <v>1.7</v>
      </c>
      <c r="D102" s="425">
        <v>2.8</v>
      </c>
      <c r="U102" s="125"/>
    </row>
    <row r="103" spans="1:23" x14ac:dyDescent="0.4">
      <c r="B103" s="424" t="str">
        <f>$B$19</f>
        <v>Medium</v>
      </c>
      <c r="C103" s="279">
        <v>2.8</v>
      </c>
      <c r="D103" s="425">
        <v>4</v>
      </c>
      <c r="G103" s="591"/>
      <c r="U103" s="125"/>
    </row>
    <row r="104" spans="1:23" ht="16" thickBot="1" x14ac:dyDescent="0.45">
      <c r="B104" s="426" t="str">
        <f>$B$23</f>
        <v>High</v>
      </c>
      <c r="C104" s="427">
        <v>4</v>
      </c>
      <c r="D104" s="428" t="s">
        <v>146</v>
      </c>
      <c r="G104" s="254"/>
      <c r="U104" s="125"/>
    </row>
    <row r="105" spans="1:23" x14ac:dyDescent="0.4">
      <c r="U105" s="125"/>
    </row>
    <row r="106" spans="1:23" x14ac:dyDescent="0.4">
      <c r="A106" s="125"/>
      <c r="B106" s="125"/>
      <c r="C106" s="125"/>
      <c r="D106" s="125"/>
      <c r="E106" s="125"/>
      <c r="F106" s="125"/>
      <c r="G106" s="125"/>
      <c r="H106" s="125"/>
      <c r="I106" s="125"/>
      <c r="J106" s="125"/>
      <c r="K106" s="125"/>
      <c r="L106" s="125"/>
      <c r="M106" s="125"/>
      <c r="N106" s="125"/>
      <c r="O106" s="125"/>
      <c r="P106" s="125"/>
      <c r="Q106" s="125"/>
      <c r="R106" s="125"/>
      <c r="S106" s="125"/>
      <c r="T106" s="125"/>
      <c r="U106" s="125"/>
      <c r="V106" s="77"/>
      <c r="W106" s="77"/>
    </row>
  </sheetData>
  <sheetProtection algorithmName="SHA-512" hashValue="XQP+J9BTDCwxyIuZHpCdvrVnemXyBKkeWkjoZJs+1JgOaAsrVd/69HDcsa7x/zc30m5TS+z63cY4CEC6MZErHw==" saltValue="seS4myPpbUGPwWB1/fPmSg==" spinCount="100000" sheet="1" selectLockedCells="1"/>
  <mergeCells count="34">
    <mergeCell ref="C99:D99"/>
    <mergeCell ref="B99:B100"/>
    <mergeCell ref="C73:E73"/>
    <mergeCell ref="B28:F28"/>
    <mergeCell ref="B50:F50"/>
    <mergeCell ref="B53:F53"/>
    <mergeCell ref="B64:F64"/>
    <mergeCell ref="B68:F68"/>
    <mergeCell ref="B90:D90"/>
    <mergeCell ref="B91:B92"/>
    <mergeCell ref="C91:D91"/>
    <mergeCell ref="B98:D98"/>
    <mergeCell ref="B72:H72"/>
    <mergeCell ref="D23:D26"/>
    <mergeCell ref="B35:F35"/>
    <mergeCell ref="B39:F39"/>
    <mergeCell ref="B47:F47"/>
    <mergeCell ref="D11:D14"/>
    <mergeCell ref="C15:C18"/>
    <mergeCell ref="D15:D18"/>
    <mergeCell ref="C19:C22"/>
    <mergeCell ref="D19:D22"/>
    <mergeCell ref="B11:B14"/>
    <mergeCell ref="B15:B18"/>
    <mergeCell ref="B19:B22"/>
    <mergeCell ref="B23:B26"/>
    <mergeCell ref="C11:C14"/>
    <mergeCell ref="C23:C26"/>
    <mergeCell ref="C7:E7"/>
    <mergeCell ref="B2:E2"/>
    <mergeCell ref="C3:E3"/>
    <mergeCell ref="C4:E4"/>
    <mergeCell ref="C5:E5"/>
    <mergeCell ref="C6:E6"/>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M111"/>
  <sheetViews>
    <sheetView showGridLines="0" zoomScaleNormal="100" workbookViewId="0"/>
  </sheetViews>
  <sheetFormatPr defaultColWidth="9.08984375" defaultRowHeight="15.5" x14ac:dyDescent="0.4"/>
  <cols>
    <col min="1" max="1" width="3.453125" style="51" customWidth="1"/>
    <col min="2" max="2" width="41.36328125" style="51" customWidth="1"/>
    <col min="3" max="3" width="34.54296875" style="51" customWidth="1"/>
    <col min="4" max="4" width="30.36328125" style="51" bestFit="1" customWidth="1"/>
    <col min="5" max="5" width="9.08984375" style="51"/>
    <col min="6" max="6" width="4.36328125" style="51" customWidth="1"/>
    <col min="7" max="16384" width="9.08984375" style="51"/>
  </cols>
  <sheetData>
    <row r="1" spans="2:13" ht="16" thickBot="1" x14ac:dyDescent="0.45">
      <c r="F1" s="123"/>
    </row>
    <row r="2" spans="2:13" ht="16" thickBot="1" x14ac:dyDescent="0.45">
      <c r="B2" s="1025" t="s">
        <v>12</v>
      </c>
      <c r="C2" s="1026"/>
      <c r="D2" s="1027"/>
      <c r="F2" s="123"/>
    </row>
    <row r="3" spans="2:13" x14ac:dyDescent="0.4">
      <c r="B3" s="595" t="str">
        <f>'Version Control'!B3</f>
        <v>Test Report Template Name:</v>
      </c>
      <c r="C3" s="1015" t="str">
        <f>'Version Control'!C3</f>
        <v>Consumer Water Heater, UEF</v>
      </c>
      <c r="D3" s="1016"/>
      <c r="F3" s="123"/>
    </row>
    <row r="4" spans="2:13" x14ac:dyDescent="0.4">
      <c r="B4" s="597" t="str">
        <f>'Version Control'!B4</f>
        <v>Version Number:</v>
      </c>
      <c r="C4" s="1017" t="str">
        <f>'Version Control'!C4</f>
        <v>v1.3</v>
      </c>
      <c r="D4" s="1018"/>
      <c r="F4" s="123"/>
    </row>
    <row r="5" spans="2:13" x14ac:dyDescent="0.4">
      <c r="B5" s="597" t="str">
        <f>'Version Control'!B5</f>
        <v xml:space="preserve">Latest Template Revision: </v>
      </c>
      <c r="C5" s="1019">
        <f>'Version Control'!C5</f>
        <v>43643</v>
      </c>
      <c r="D5" s="1020"/>
      <c r="F5" s="123"/>
    </row>
    <row r="6" spans="2:13" x14ac:dyDescent="0.4">
      <c r="B6" s="597" t="str">
        <f>'Version Control'!B6</f>
        <v>Tab Name:</v>
      </c>
      <c r="C6" s="1261" t="str">
        <f ca="1">MID(CELL("filename",A1), FIND("]", CELL("filename", A1))+ 1, 255)</f>
        <v>Drop-Downs</v>
      </c>
      <c r="D6" s="1262"/>
      <c r="F6" s="123"/>
    </row>
    <row r="7" spans="2:13" ht="16" thickBot="1" x14ac:dyDescent="0.45">
      <c r="B7" s="598" t="str">
        <f>'Version Control'!B7</f>
        <v>File Name:</v>
      </c>
      <c r="C7" s="1013" t="str">
        <f ca="1">'Version Control'!C7</f>
        <v>Consumer Water Heater, UEF - v1.3.xlsx</v>
      </c>
      <c r="D7" s="1014"/>
      <c r="F7" s="123"/>
    </row>
    <row r="8" spans="2:13" x14ac:dyDescent="0.4">
      <c r="B8" s="59"/>
      <c r="C8" s="60"/>
      <c r="F8" s="123"/>
    </row>
    <row r="9" spans="2:13" x14ac:dyDescent="0.4">
      <c r="B9" s="59"/>
      <c r="C9" s="60"/>
      <c r="F9" s="123"/>
    </row>
    <row r="10" spans="2:13" x14ac:dyDescent="0.4">
      <c r="B10" s="205" t="s">
        <v>367</v>
      </c>
      <c r="D10" s="51" t="s">
        <v>103</v>
      </c>
      <c r="F10" s="123"/>
    </row>
    <row r="11" spans="2:13" x14ac:dyDescent="0.4">
      <c r="B11" s="755" t="s">
        <v>360</v>
      </c>
      <c r="D11" s="752">
        <v>1</v>
      </c>
      <c r="F11" s="123"/>
    </row>
    <row r="12" spans="2:13" x14ac:dyDescent="0.4">
      <c r="B12" s="756" t="s">
        <v>114</v>
      </c>
      <c r="D12" s="753">
        <v>2</v>
      </c>
      <c r="F12" s="123"/>
    </row>
    <row r="13" spans="2:13" x14ac:dyDescent="0.4">
      <c r="B13" s="756" t="s">
        <v>111</v>
      </c>
      <c r="D13" s="753">
        <v>3</v>
      </c>
      <c r="F13" s="123"/>
      <c r="M13" s="134"/>
    </row>
    <row r="14" spans="2:13" x14ac:dyDescent="0.4">
      <c r="B14" s="757" t="s">
        <v>553</v>
      </c>
      <c r="D14" s="753">
        <v>4</v>
      </c>
      <c r="F14" s="123"/>
    </row>
    <row r="15" spans="2:13" x14ac:dyDescent="0.4">
      <c r="B15" s="756" t="s">
        <v>361</v>
      </c>
      <c r="D15" s="753">
        <v>5</v>
      </c>
      <c r="F15" s="123"/>
    </row>
    <row r="16" spans="2:13" x14ac:dyDescent="0.4">
      <c r="B16" s="756" t="s">
        <v>112</v>
      </c>
      <c r="D16" s="753">
        <v>6</v>
      </c>
      <c r="F16" s="123"/>
    </row>
    <row r="17" spans="2:8" x14ac:dyDescent="0.4">
      <c r="B17" s="756" t="s">
        <v>109</v>
      </c>
      <c r="D17" s="753">
        <v>7</v>
      </c>
      <c r="F17" s="123"/>
    </row>
    <row r="18" spans="2:8" x14ac:dyDescent="0.4">
      <c r="B18" s="756" t="s">
        <v>113</v>
      </c>
      <c r="D18" s="753">
        <v>8</v>
      </c>
      <c r="F18" s="123"/>
    </row>
    <row r="19" spans="2:8" x14ac:dyDescent="0.4">
      <c r="B19" s="756" t="s">
        <v>110</v>
      </c>
      <c r="D19" s="753">
        <v>9</v>
      </c>
      <c r="F19" s="123"/>
    </row>
    <row r="20" spans="2:8" x14ac:dyDescent="0.4">
      <c r="B20" s="214" t="s">
        <v>366</v>
      </c>
      <c r="D20" s="753">
        <v>10</v>
      </c>
      <c r="F20" s="123"/>
      <c r="H20" s="205"/>
    </row>
    <row r="21" spans="2:8" x14ac:dyDescent="0.4">
      <c r="D21" s="753">
        <v>11</v>
      </c>
      <c r="F21" s="123"/>
    </row>
    <row r="22" spans="2:8" x14ac:dyDescent="0.4">
      <c r="B22" s="463" t="s">
        <v>363</v>
      </c>
      <c r="D22" s="753">
        <v>12</v>
      </c>
      <c r="F22" s="123"/>
    </row>
    <row r="23" spans="2:8" x14ac:dyDescent="0.4">
      <c r="B23" s="752" t="s">
        <v>365</v>
      </c>
      <c r="D23" s="753">
        <v>13</v>
      </c>
      <c r="F23" s="123"/>
    </row>
    <row r="24" spans="2:8" x14ac:dyDescent="0.4">
      <c r="B24" s="754" t="s">
        <v>364</v>
      </c>
      <c r="D24" s="753">
        <v>14</v>
      </c>
      <c r="F24" s="123"/>
    </row>
    <row r="25" spans="2:8" x14ac:dyDescent="0.4">
      <c r="D25" s="753">
        <v>15</v>
      </c>
      <c r="F25" s="123"/>
    </row>
    <row r="26" spans="2:8" x14ac:dyDescent="0.4">
      <c r="B26" s="205" t="s">
        <v>371</v>
      </c>
      <c r="D26" s="753">
        <v>16</v>
      </c>
      <c r="F26" s="123"/>
    </row>
    <row r="27" spans="2:8" x14ac:dyDescent="0.4">
      <c r="B27" s="758" t="s">
        <v>372</v>
      </c>
      <c r="D27" s="753">
        <v>17</v>
      </c>
      <c r="F27" s="123"/>
    </row>
    <row r="28" spans="2:8" x14ac:dyDescent="0.4">
      <c r="B28" s="759" t="s">
        <v>373</v>
      </c>
      <c r="D28" s="753">
        <v>18</v>
      </c>
      <c r="F28" s="123"/>
    </row>
    <row r="29" spans="2:8" x14ac:dyDescent="0.4">
      <c r="D29" s="753">
        <v>19</v>
      </c>
      <c r="F29" s="123"/>
    </row>
    <row r="30" spans="2:8" x14ac:dyDescent="0.4">
      <c r="B30" s="205" t="s">
        <v>291</v>
      </c>
      <c r="D30" s="753">
        <v>20</v>
      </c>
      <c r="F30" s="123"/>
    </row>
    <row r="31" spans="2:8" x14ac:dyDescent="0.4">
      <c r="B31" s="758" t="s">
        <v>195</v>
      </c>
      <c r="D31" s="753">
        <v>21</v>
      </c>
      <c r="F31" s="123"/>
    </row>
    <row r="32" spans="2:8" x14ac:dyDescent="0.4">
      <c r="B32" s="757" t="s">
        <v>276</v>
      </c>
      <c r="D32" s="753">
        <v>22</v>
      </c>
      <c r="F32" s="123"/>
    </row>
    <row r="33" spans="2:6" x14ac:dyDescent="0.4">
      <c r="B33" s="759" t="s">
        <v>292</v>
      </c>
      <c r="D33" s="753">
        <v>23</v>
      </c>
      <c r="F33" s="123"/>
    </row>
    <row r="34" spans="2:6" x14ac:dyDescent="0.4">
      <c r="D34" s="753">
        <v>24</v>
      </c>
      <c r="F34" s="123"/>
    </row>
    <row r="35" spans="2:6" x14ac:dyDescent="0.4">
      <c r="B35" s="205" t="s">
        <v>217</v>
      </c>
      <c r="D35" s="753">
        <v>25</v>
      </c>
      <c r="F35" s="123"/>
    </row>
    <row r="36" spans="2:6" x14ac:dyDescent="0.4">
      <c r="B36" s="758" t="s">
        <v>195</v>
      </c>
      <c r="D36" s="753">
        <v>26</v>
      </c>
      <c r="F36" s="123"/>
    </row>
    <row r="37" spans="2:6" x14ac:dyDescent="0.4">
      <c r="B37" s="757" t="s">
        <v>218</v>
      </c>
      <c r="D37" s="753">
        <v>27</v>
      </c>
      <c r="F37" s="123"/>
    </row>
    <row r="38" spans="2:6" x14ac:dyDescent="0.4">
      <c r="B38" s="757" t="s">
        <v>219</v>
      </c>
      <c r="D38" s="753">
        <v>28</v>
      </c>
      <c r="F38" s="123"/>
    </row>
    <row r="39" spans="2:6" x14ac:dyDescent="0.4">
      <c r="B39" s="757" t="s">
        <v>374</v>
      </c>
      <c r="D39" s="753">
        <v>29</v>
      </c>
      <c r="F39" s="123"/>
    </row>
    <row r="40" spans="2:6" x14ac:dyDescent="0.4">
      <c r="B40" s="757" t="s">
        <v>220</v>
      </c>
      <c r="D40" s="754">
        <v>30</v>
      </c>
      <c r="F40" s="123"/>
    </row>
    <row r="41" spans="2:6" x14ac:dyDescent="0.4">
      <c r="B41" s="759" t="s">
        <v>221</v>
      </c>
      <c r="F41" s="123"/>
    </row>
    <row r="42" spans="2:6" x14ac:dyDescent="0.4">
      <c r="F42" s="123"/>
    </row>
    <row r="43" spans="2:6" x14ac:dyDescent="0.4">
      <c r="B43" s="205" t="s">
        <v>222</v>
      </c>
      <c r="F43" s="123"/>
    </row>
    <row r="44" spans="2:6" x14ac:dyDescent="0.4">
      <c r="B44" s="758" t="s">
        <v>195</v>
      </c>
      <c r="F44" s="123"/>
    </row>
    <row r="45" spans="2:6" x14ac:dyDescent="0.4">
      <c r="B45" s="757" t="s">
        <v>223</v>
      </c>
      <c r="F45" s="123"/>
    </row>
    <row r="46" spans="2:6" x14ac:dyDescent="0.4">
      <c r="B46" s="759" t="s">
        <v>375</v>
      </c>
      <c r="F46" s="123"/>
    </row>
    <row r="47" spans="2:6" x14ac:dyDescent="0.4">
      <c r="F47" s="123"/>
    </row>
    <row r="48" spans="2:6" x14ac:dyDescent="0.4">
      <c r="B48" s="205" t="s">
        <v>226</v>
      </c>
      <c r="F48" s="123"/>
    </row>
    <row r="49" spans="2:6" x14ac:dyDescent="0.4">
      <c r="B49" s="758" t="s">
        <v>195</v>
      </c>
      <c r="F49" s="123"/>
    </row>
    <row r="50" spans="2:6" x14ac:dyDescent="0.4">
      <c r="B50" s="757" t="s">
        <v>225</v>
      </c>
      <c r="F50" s="123"/>
    </row>
    <row r="51" spans="2:6" x14ac:dyDescent="0.4">
      <c r="B51" s="759" t="s">
        <v>224</v>
      </c>
      <c r="F51" s="123"/>
    </row>
    <row r="52" spans="2:6" x14ac:dyDescent="0.4">
      <c r="F52" s="123"/>
    </row>
    <row r="53" spans="2:6" x14ac:dyDescent="0.4">
      <c r="B53" s="205" t="s">
        <v>310</v>
      </c>
      <c r="F53" s="123"/>
    </row>
    <row r="54" spans="2:6" x14ac:dyDescent="0.4">
      <c r="B54" s="758" t="s">
        <v>195</v>
      </c>
      <c r="F54" s="123"/>
    </row>
    <row r="55" spans="2:6" x14ac:dyDescent="0.4">
      <c r="B55" s="757" t="s">
        <v>309</v>
      </c>
      <c r="F55" s="123"/>
    </row>
    <row r="56" spans="2:6" x14ac:dyDescent="0.4">
      <c r="B56" s="757" t="s">
        <v>311</v>
      </c>
      <c r="F56" s="123"/>
    </row>
    <row r="57" spans="2:6" x14ac:dyDescent="0.4">
      <c r="B57" s="759" t="s">
        <v>312</v>
      </c>
      <c r="F57" s="123"/>
    </row>
    <row r="58" spans="2:6" x14ac:dyDescent="0.4">
      <c r="F58" s="123"/>
    </row>
    <row r="59" spans="2:6" x14ac:dyDescent="0.4">
      <c r="B59" s="51" t="s">
        <v>108</v>
      </c>
      <c r="F59" s="123"/>
    </row>
    <row r="60" spans="2:6" x14ac:dyDescent="0.4">
      <c r="B60" s="758" t="s">
        <v>106</v>
      </c>
      <c r="F60" s="123"/>
    </row>
    <row r="61" spans="2:6" x14ac:dyDescent="0.4">
      <c r="B61" s="756" t="s">
        <v>107</v>
      </c>
      <c r="F61" s="123"/>
    </row>
    <row r="62" spans="2:6" x14ac:dyDescent="0.4">
      <c r="B62" s="214" t="s">
        <v>195</v>
      </c>
      <c r="F62" s="123"/>
    </row>
    <row r="63" spans="2:6" x14ac:dyDescent="0.4">
      <c r="F63" s="123"/>
    </row>
    <row r="64" spans="2:6" x14ac:dyDescent="0.4">
      <c r="B64" s="463" t="s">
        <v>251</v>
      </c>
      <c r="F64" s="123"/>
    </row>
    <row r="65" spans="2:6" x14ac:dyDescent="0.4">
      <c r="B65" s="755" t="s">
        <v>239</v>
      </c>
      <c r="F65" s="123"/>
    </row>
    <row r="66" spans="2:6" x14ac:dyDescent="0.4">
      <c r="B66" s="756" t="s">
        <v>235</v>
      </c>
      <c r="F66" s="123"/>
    </row>
    <row r="67" spans="2:6" x14ac:dyDescent="0.4">
      <c r="B67" s="756" t="s">
        <v>244</v>
      </c>
      <c r="F67" s="123"/>
    </row>
    <row r="68" spans="2:6" x14ac:dyDescent="0.4">
      <c r="B68" s="756" t="s">
        <v>264</v>
      </c>
      <c r="D68" s="463"/>
      <c r="F68" s="123"/>
    </row>
    <row r="69" spans="2:6" x14ac:dyDescent="0.4">
      <c r="B69" s="756" t="s">
        <v>234</v>
      </c>
      <c r="F69" s="123"/>
    </row>
    <row r="70" spans="2:6" x14ac:dyDescent="0.4">
      <c r="B70" s="756" t="s">
        <v>246</v>
      </c>
      <c r="F70" s="123"/>
    </row>
    <row r="71" spans="2:6" x14ac:dyDescent="0.4">
      <c r="B71" s="756" t="s">
        <v>240</v>
      </c>
      <c r="F71" s="123"/>
    </row>
    <row r="72" spans="2:6" x14ac:dyDescent="0.4">
      <c r="B72" s="756" t="s">
        <v>242</v>
      </c>
      <c r="F72" s="123"/>
    </row>
    <row r="73" spans="2:6" x14ac:dyDescent="0.4">
      <c r="B73" s="757" t="s">
        <v>124</v>
      </c>
      <c r="F73" s="123"/>
    </row>
    <row r="74" spans="2:6" x14ac:dyDescent="0.4">
      <c r="B74" s="756" t="s">
        <v>245</v>
      </c>
      <c r="F74" s="123"/>
    </row>
    <row r="75" spans="2:6" x14ac:dyDescent="0.4">
      <c r="B75" s="756" t="s">
        <v>585</v>
      </c>
      <c r="F75" s="123"/>
    </row>
    <row r="76" spans="2:6" x14ac:dyDescent="0.4">
      <c r="B76" s="756" t="s">
        <v>241</v>
      </c>
      <c r="F76" s="123"/>
    </row>
    <row r="77" spans="2:6" x14ac:dyDescent="0.4">
      <c r="B77" s="756" t="s">
        <v>247</v>
      </c>
      <c r="C77" s="63"/>
      <c r="F77" s="123"/>
    </row>
    <row r="78" spans="2:6" x14ac:dyDescent="0.4">
      <c r="B78" s="756" t="s">
        <v>105</v>
      </c>
      <c r="F78" s="123"/>
    </row>
    <row r="79" spans="2:6" x14ac:dyDescent="0.4">
      <c r="B79" s="756" t="s">
        <v>237</v>
      </c>
      <c r="F79" s="123"/>
    </row>
    <row r="80" spans="2:6" x14ac:dyDescent="0.4">
      <c r="B80" s="214" t="s">
        <v>250</v>
      </c>
      <c r="F80" s="123"/>
    </row>
    <row r="81" spans="2:6" x14ac:dyDescent="0.4">
      <c r="F81" s="123"/>
    </row>
    <row r="82" spans="2:6" x14ac:dyDescent="0.4">
      <c r="B82" s="463" t="s">
        <v>252</v>
      </c>
      <c r="F82" s="123"/>
    </row>
    <row r="83" spans="2:6" x14ac:dyDescent="0.4">
      <c r="B83" s="755" t="s">
        <v>253</v>
      </c>
      <c r="F83" s="123"/>
    </row>
    <row r="84" spans="2:6" x14ac:dyDescent="0.4">
      <c r="B84" s="756" t="s">
        <v>254</v>
      </c>
      <c r="F84" s="123"/>
    </row>
    <row r="85" spans="2:6" x14ac:dyDescent="0.4">
      <c r="B85" s="756" t="s">
        <v>255</v>
      </c>
      <c r="F85" s="123"/>
    </row>
    <row r="86" spans="2:6" x14ac:dyDescent="0.4">
      <c r="B86" s="756" t="s">
        <v>256</v>
      </c>
      <c r="F86" s="123"/>
    </row>
    <row r="87" spans="2:6" x14ac:dyDescent="0.4">
      <c r="B87" s="214" t="s">
        <v>257</v>
      </c>
      <c r="F87" s="123"/>
    </row>
    <row r="88" spans="2:6" x14ac:dyDescent="0.4">
      <c r="F88" s="123"/>
    </row>
    <row r="89" spans="2:6" x14ac:dyDescent="0.4">
      <c r="B89" s="51" t="s">
        <v>102</v>
      </c>
      <c r="F89" s="123"/>
    </row>
    <row r="90" spans="2:6" x14ac:dyDescent="0.4">
      <c r="B90" s="755" t="s">
        <v>104</v>
      </c>
      <c r="F90" s="123"/>
    </row>
    <row r="91" spans="2:6" x14ac:dyDescent="0.4">
      <c r="B91" s="214" t="s">
        <v>105</v>
      </c>
      <c r="F91" s="123"/>
    </row>
    <row r="92" spans="2:6" x14ac:dyDescent="0.4">
      <c r="F92" s="123"/>
    </row>
    <row r="93" spans="2:6" x14ac:dyDescent="0.4">
      <c r="B93" s="205" t="s">
        <v>149</v>
      </c>
      <c r="F93" s="123"/>
    </row>
    <row r="94" spans="2:6" x14ac:dyDescent="0.4">
      <c r="B94" s="758" t="s">
        <v>150</v>
      </c>
      <c r="F94" s="123"/>
    </row>
    <row r="95" spans="2:6" x14ac:dyDescent="0.4">
      <c r="B95" s="759" t="s">
        <v>54</v>
      </c>
      <c r="F95" s="123"/>
    </row>
    <row r="96" spans="2:6" x14ac:dyDescent="0.4">
      <c r="F96" s="123"/>
    </row>
    <row r="97" spans="1:6" x14ac:dyDescent="0.4">
      <c r="B97" s="205" t="s">
        <v>203</v>
      </c>
      <c r="F97" s="123"/>
    </row>
    <row r="98" spans="1:6" x14ac:dyDescent="0.4">
      <c r="B98" s="758" t="s">
        <v>204</v>
      </c>
      <c r="F98" s="123"/>
    </row>
    <row r="99" spans="1:6" x14ac:dyDescent="0.4">
      <c r="B99" s="757" t="str">
        <f>Constants!$B$11</f>
        <v>Very Small</v>
      </c>
      <c r="F99" s="123"/>
    </row>
    <row r="100" spans="1:6" x14ac:dyDescent="0.4">
      <c r="B100" s="757" t="str">
        <f>Constants!$B$15</f>
        <v>Low</v>
      </c>
      <c r="F100" s="123"/>
    </row>
    <row r="101" spans="1:6" x14ac:dyDescent="0.4">
      <c r="B101" s="757" t="str">
        <f>Constants!$B$19</f>
        <v>Medium</v>
      </c>
      <c r="F101" s="123"/>
    </row>
    <row r="102" spans="1:6" x14ac:dyDescent="0.4">
      <c r="B102" s="759" t="str">
        <f>Constants!$B$23</f>
        <v>High</v>
      </c>
      <c r="F102" s="123"/>
    </row>
    <row r="103" spans="1:6" x14ac:dyDescent="0.4">
      <c r="F103" s="123"/>
    </row>
    <row r="104" spans="1:6" x14ac:dyDescent="0.4">
      <c r="B104" s="51" t="s">
        <v>627</v>
      </c>
      <c r="F104" s="123"/>
    </row>
    <row r="105" spans="1:6" x14ac:dyDescent="0.4">
      <c r="B105" s="755" t="s">
        <v>628</v>
      </c>
      <c r="F105" s="123"/>
    </row>
    <row r="106" spans="1:6" x14ac:dyDescent="0.4">
      <c r="B106" s="214" t="s">
        <v>629</v>
      </c>
      <c r="F106" s="123"/>
    </row>
    <row r="107" spans="1:6" x14ac:dyDescent="0.4">
      <c r="F107" s="123"/>
    </row>
    <row r="108" spans="1:6" x14ac:dyDescent="0.4">
      <c r="F108" s="123"/>
    </row>
    <row r="109" spans="1:6" x14ac:dyDescent="0.4">
      <c r="F109" s="123"/>
    </row>
    <row r="110" spans="1:6" x14ac:dyDescent="0.4">
      <c r="F110" s="123"/>
    </row>
    <row r="111" spans="1:6" x14ac:dyDescent="0.4">
      <c r="A111" s="123"/>
      <c r="B111" s="123"/>
      <c r="C111" s="123"/>
      <c r="D111" s="123"/>
      <c r="E111" s="123"/>
      <c r="F111" s="123"/>
    </row>
  </sheetData>
  <sheetProtection algorithmName="SHA-512" hashValue="wsXA5MFs4saGQN8irYLWU0cTtWFHCS+IsxrA94V7DLsQdgE0YrSBk06eEve8V8swyqmR2GvYNPg/YD11DN+j1w==" saltValue="BiQQWtmSsRcVBvUCCrtKAQ==" spinCount="100000" sheet="1" selectLockedCells="1"/>
  <mergeCells count="6">
    <mergeCell ref="C7:D7"/>
    <mergeCell ref="B2:D2"/>
    <mergeCell ref="C3:D3"/>
    <mergeCell ref="C4:D4"/>
    <mergeCell ref="C5:D5"/>
    <mergeCell ref="C6:D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F1015"/>
  <sheetViews>
    <sheetView showGridLines="0" workbookViewId="0"/>
  </sheetViews>
  <sheetFormatPr defaultColWidth="9.08984375" defaultRowHeight="15.5" x14ac:dyDescent="0.4"/>
  <cols>
    <col min="1" max="1" width="3.08984375" style="51" customWidth="1"/>
    <col min="2" max="2" width="28.6328125" style="51" bestFit="1" customWidth="1"/>
    <col min="3" max="3" width="28.54296875" style="51" customWidth="1"/>
    <col min="4" max="4" width="26.90625" style="51" customWidth="1"/>
    <col min="5" max="5" width="9.08984375" style="51"/>
    <col min="6" max="6" width="3" style="51" customWidth="1"/>
    <col min="7" max="16384" width="9.08984375" style="51"/>
  </cols>
  <sheetData>
    <row r="1" spans="2:6" ht="16" thickBot="1" x14ac:dyDescent="0.45">
      <c r="F1" s="123"/>
    </row>
    <row r="2" spans="2:6" ht="16" thickBot="1" x14ac:dyDescent="0.45">
      <c r="B2" s="1269" t="s">
        <v>12</v>
      </c>
      <c r="C2" s="1270"/>
      <c r="D2" s="1271"/>
      <c r="F2" s="123"/>
    </row>
    <row r="3" spans="2:6" x14ac:dyDescent="0.4">
      <c r="B3" s="595" t="str">
        <f>'Version Control'!B3</f>
        <v>Test Report Template Name:</v>
      </c>
      <c r="C3" s="1236" t="str">
        <f>'Version Control'!C3</f>
        <v>Consumer Water Heater, UEF</v>
      </c>
      <c r="D3" s="1237"/>
      <c r="F3" s="123"/>
    </row>
    <row r="4" spans="2:6" x14ac:dyDescent="0.4">
      <c r="B4" s="596" t="str">
        <f>'Version Control'!B4</f>
        <v>Version Number:</v>
      </c>
      <c r="C4" s="1238" t="str">
        <f>'Version Control'!C4</f>
        <v>v1.3</v>
      </c>
      <c r="D4" s="1239"/>
      <c r="F4" s="123"/>
    </row>
    <row r="5" spans="2:6" x14ac:dyDescent="0.4">
      <c r="B5" s="597" t="str">
        <f>'Version Control'!B5</f>
        <v xml:space="preserve">Latest Template Revision: </v>
      </c>
      <c r="C5" s="1272">
        <f>'Version Control'!C5</f>
        <v>43643</v>
      </c>
      <c r="D5" s="1273"/>
      <c r="F5" s="123"/>
    </row>
    <row r="6" spans="2:6" x14ac:dyDescent="0.4">
      <c r="B6" s="597" t="str">
        <f>'Version Control'!B6</f>
        <v>Tab Name:</v>
      </c>
      <c r="C6" s="1261" t="str">
        <f ca="1">MID(CELL("filename",A1), FIND("]", CELL("filename", A1))+ 1, 255)</f>
        <v>Water Properties</v>
      </c>
      <c r="D6" s="1262"/>
      <c r="F6" s="123"/>
    </row>
    <row r="7" spans="2:6" ht="16" thickBot="1" x14ac:dyDescent="0.45">
      <c r="B7" s="598" t="str">
        <f>'Version Control'!B7</f>
        <v>File Name:</v>
      </c>
      <c r="C7" s="1274" t="str">
        <f ca="1">'Version Control'!C7</f>
        <v>Consumer Water Heater, UEF - v1.3.xlsx</v>
      </c>
      <c r="D7" s="1275"/>
      <c r="F7" s="123"/>
    </row>
    <row r="8" spans="2:6" x14ac:dyDescent="0.4">
      <c r="F8" s="123"/>
    </row>
    <row r="9" spans="2:6" ht="16" thickBot="1" x14ac:dyDescent="0.45">
      <c r="F9" s="123"/>
    </row>
    <row r="10" spans="2:6" ht="16" thickBot="1" x14ac:dyDescent="0.45">
      <c r="B10" s="1263" t="s">
        <v>381</v>
      </c>
      <c r="C10" s="1264"/>
      <c r="D10" s="1265"/>
      <c r="F10" s="123"/>
    </row>
    <row r="11" spans="2:6" x14ac:dyDescent="0.4">
      <c r="B11" s="1266" t="s">
        <v>623</v>
      </c>
      <c r="C11" s="1267"/>
      <c r="D11" s="1268"/>
      <c r="F11" s="123"/>
    </row>
    <row r="12" spans="2:6" x14ac:dyDescent="0.4">
      <c r="B12" s="384" t="s">
        <v>377</v>
      </c>
      <c r="C12" s="592" t="s">
        <v>378</v>
      </c>
      <c r="D12" s="380" t="s">
        <v>379</v>
      </c>
      <c r="F12" s="123"/>
    </row>
    <row r="13" spans="2:6" x14ac:dyDescent="0.4">
      <c r="B13" s="602">
        <v>50</v>
      </c>
      <c r="C13" s="599">
        <v>8.342869212300748</v>
      </c>
      <c r="D13" s="603">
        <v>1.0026999999999999</v>
      </c>
      <c r="F13" s="123"/>
    </row>
    <row r="14" spans="2:6" x14ac:dyDescent="0.4">
      <c r="B14" s="604">
        <v>50.1</v>
      </c>
      <c r="C14" s="600">
        <v>8.342869212300748</v>
      </c>
      <c r="D14" s="605">
        <v>1.0025999999999999</v>
      </c>
      <c r="F14" s="123"/>
    </row>
    <row r="15" spans="2:6" x14ac:dyDescent="0.4">
      <c r="B15" s="604">
        <v>50.2</v>
      </c>
      <c r="C15" s="600">
        <v>8.342869212300748</v>
      </c>
      <c r="D15" s="605">
        <v>1.0025999999999999</v>
      </c>
      <c r="F15" s="123"/>
    </row>
    <row r="16" spans="2:6" x14ac:dyDescent="0.4">
      <c r="B16" s="604">
        <v>50.3</v>
      </c>
      <c r="C16" s="600">
        <v>8.3427355317544762</v>
      </c>
      <c r="D16" s="605">
        <v>1.0025999999999999</v>
      </c>
      <c r="F16" s="123"/>
    </row>
    <row r="17" spans="2:6" x14ac:dyDescent="0.4">
      <c r="B17" s="604">
        <v>50.4</v>
      </c>
      <c r="C17" s="600">
        <v>8.3427355317544762</v>
      </c>
      <c r="D17" s="605">
        <v>1.0025999999999999</v>
      </c>
      <c r="F17" s="123"/>
    </row>
    <row r="18" spans="2:6" x14ac:dyDescent="0.4">
      <c r="B18" s="604">
        <v>50.5</v>
      </c>
      <c r="C18" s="600">
        <v>8.3427355317544762</v>
      </c>
      <c r="D18" s="605">
        <v>1.0025999999999999</v>
      </c>
      <c r="F18" s="123"/>
    </row>
    <row r="19" spans="2:6" x14ac:dyDescent="0.4">
      <c r="B19" s="604">
        <v>50.6</v>
      </c>
      <c r="C19" s="600">
        <v>8.3427355317544762</v>
      </c>
      <c r="D19" s="605">
        <v>1.0024999999999999</v>
      </c>
      <c r="F19" s="123"/>
    </row>
    <row r="20" spans="2:6" x14ac:dyDescent="0.4">
      <c r="B20" s="604">
        <v>50.7</v>
      </c>
      <c r="C20" s="600">
        <v>8.3426018512082045</v>
      </c>
      <c r="D20" s="605">
        <v>1.0024999999999999</v>
      </c>
      <c r="F20" s="123"/>
    </row>
    <row r="21" spans="2:6" x14ac:dyDescent="0.4">
      <c r="B21" s="604">
        <v>50.8</v>
      </c>
      <c r="C21" s="600">
        <v>8.3426018512082045</v>
      </c>
      <c r="D21" s="605">
        <v>1.0024999999999999</v>
      </c>
      <c r="F21" s="123"/>
    </row>
    <row r="22" spans="2:6" x14ac:dyDescent="0.4">
      <c r="B22" s="604">
        <v>50.9</v>
      </c>
      <c r="C22" s="600">
        <v>8.3426018512082045</v>
      </c>
      <c r="D22" s="605">
        <v>1.0024999999999999</v>
      </c>
      <c r="F22" s="123"/>
    </row>
    <row r="23" spans="2:6" x14ac:dyDescent="0.4">
      <c r="B23" s="604">
        <v>51</v>
      </c>
      <c r="C23" s="600">
        <v>8.3424681706619328</v>
      </c>
      <c r="D23" s="605">
        <v>1.0024999999999999</v>
      </c>
      <c r="F23" s="123"/>
    </row>
    <row r="24" spans="2:6" x14ac:dyDescent="0.4">
      <c r="B24" s="604">
        <v>51.1</v>
      </c>
      <c r="C24" s="600">
        <v>8.3424681706619328</v>
      </c>
      <c r="D24" s="605">
        <v>1.0024</v>
      </c>
      <c r="F24" s="123"/>
    </row>
    <row r="25" spans="2:6" x14ac:dyDescent="0.4">
      <c r="B25" s="604">
        <v>51.2</v>
      </c>
      <c r="C25" s="600">
        <v>8.3424681706619328</v>
      </c>
      <c r="D25" s="605">
        <v>1.0024</v>
      </c>
      <c r="F25" s="123"/>
    </row>
    <row r="26" spans="2:6" x14ac:dyDescent="0.4">
      <c r="B26" s="604">
        <v>51.3</v>
      </c>
      <c r="C26" s="600">
        <v>8.3423344901156611</v>
      </c>
      <c r="D26" s="605">
        <v>1.0024</v>
      </c>
      <c r="F26" s="123"/>
    </row>
    <row r="27" spans="2:6" x14ac:dyDescent="0.4">
      <c r="B27" s="604">
        <v>51.4</v>
      </c>
      <c r="C27" s="600">
        <v>8.3423344901156611</v>
      </c>
      <c r="D27" s="605">
        <v>1.0024</v>
      </c>
      <c r="F27" s="123"/>
    </row>
    <row r="28" spans="2:6" x14ac:dyDescent="0.4">
      <c r="B28" s="604">
        <v>51.5</v>
      </c>
      <c r="C28" s="600">
        <v>8.3423344901156611</v>
      </c>
      <c r="D28" s="605">
        <v>1.0024</v>
      </c>
      <c r="F28" s="123"/>
    </row>
    <row r="29" spans="2:6" x14ac:dyDescent="0.4">
      <c r="B29" s="604">
        <v>51.6</v>
      </c>
      <c r="C29" s="600">
        <v>8.3422008095693876</v>
      </c>
      <c r="D29" s="605">
        <v>1.0023</v>
      </c>
      <c r="F29" s="123"/>
    </row>
    <row r="30" spans="2:6" x14ac:dyDescent="0.4">
      <c r="B30" s="604">
        <v>51.7</v>
      </c>
      <c r="C30" s="600">
        <v>8.3422008095693876</v>
      </c>
      <c r="D30" s="605">
        <v>1.0023</v>
      </c>
      <c r="F30" s="123"/>
    </row>
    <row r="31" spans="2:6" x14ac:dyDescent="0.4">
      <c r="B31" s="604">
        <v>51.8</v>
      </c>
      <c r="C31" s="600">
        <v>8.3420671290231159</v>
      </c>
      <c r="D31" s="605">
        <v>1.0023</v>
      </c>
      <c r="F31" s="123"/>
    </row>
    <row r="32" spans="2:6" x14ac:dyDescent="0.4">
      <c r="B32" s="604">
        <v>51.9</v>
      </c>
      <c r="C32" s="600">
        <v>8.3420671290231159</v>
      </c>
      <c r="D32" s="605">
        <v>1.0023</v>
      </c>
      <c r="F32" s="123"/>
    </row>
    <row r="33" spans="2:6" x14ac:dyDescent="0.4">
      <c r="B33" s="604">
        <v>52</v>
      </c>
      <c r="C33" s="600">
        <v>8.3420671290231159</v>
      </c>
      <c r="D33" s="605">
        <v>1.0023</v>
      </c>
      <c r="F33" s="123"/>
    </row>
    <row r="34" spans="2:6" x14ac:dyDescent="0.4">
      <c r="B34" s="604">
        <v>52.1</v>
      </c>
      <c r="C34" s="600">
        <v>8.3419334484768441</v>
      </c>
      <c r="D34" s="605">
        <v>1.0022</v>
      </c>
      <c r="F34" s="123"/>
    </row>
    <row r="35" spans="2:6" x14ac:dyDescent="0.4">
      <c r="B35" s="604">
        <v>52.2</v>
      </c>
      <c r="C35" s="600">
        <v>8.3419334484768441</v>
      </c>
      <c r="D35" s="605">
        <v>1.0022</v>
      </c>
      <c r="F35" s="123"/>
    </row>
    <row r="36" spans="2:6" x14ac:dyDescent="0.4">
      <c r="B36" s="604">
        <v>52.3</v>
      </c>
      <c r="C36" s="600">
        <v>8.3419334484768441</v>
      </c>
      <c r="D36" s="605">
        <v>1.0022</v>
      </c>
      <c r="F36" s="123"/>
    </row>
    <row r="37" spans="2:6" x14ac:dyDescent="0.4">
      <c r="B37" s="604">
        <v>52.4</v>
      </c>
      <c r="C37" s="600">
        <v>8.3417997679305724</v>
      </c>
      <c r="D37" s="605">
        <v>1.0022</v>
      </c>
      <c r="F37" s="123"/>
    </row>
    <row r="38" spans="2:6" x14ac:dyDescent="0.4">
      <c r="B38" s="604">
        <v>52.5</v>
      </c>
      <c r="C38" s="600">
        <v>8.3417997679305724</v>
      </c>
      <c r="D38" s="605">
        <v>1.0022</v>
      </c>
      <c r="F38" s="123"/>
    </row>
    <row r="39" spans="2:6" x14ac:dyDescent="0.4">
      <c r="B39" s="604">
        <v>52.6</v>
      </c>
      <c r="C39" s="600">
        <v>8.3417997679305724</v>
      </c>
      <c r="D39" s="605">
        <v>1.0021</v>
      </c>
      <c r="F39" s="123"/>
    </row>
    <row r="40" spans="2:6" x14ac:dyDescent="0.4">
      <c r="B40" s="604">
        <v>52.7</v>
      </c>
      <c r="C40" s="600">
        <v>8.3416660873842989</v>
      </c>
      <c r="D40" s="605">
        <v>1.0021</v>
      </c>
      <c r="F40" s="123"/>
    </row>
    <row r="41" spans="2:6" x14ac:dyDescent="0.4">
      <c r="B41" s="604">
        <v>52.8</v>
      </c>
      <c r="C41" s="600">
        <v>8.3416660873842989</v>
      </c>
      <c r="D41" s="605">
        <v>1.0021</v>
      </c>
      <c r="F41" s="123"/>
    </row>
    <row r="42" spans="2:6" x14ac:dyDescent="0.4">
      <c r="B42" s="604">
        <v>52.9</v>
      </c>
      <c r="C42" s="600">
        <v>8.3415324068380272</v>
      </c>
      <c r="D42" s="605">
        <v>1.0021</v>
      </c>
      <c r="F42" s="123"/>
    </row>
    <row r="43" spans="2:6" x14ac:dyDescent="0.4">
      <c r="B43" s="604">
        <v>53</v>
      </c>
      <c r="C43" s="600">
        <v>8.3415324068380272</v>
      </c>
      <c r="D43" s="605">
        <v>1.0021</v>
      </c>
      <c r="F43" s="123"/>
    </row>
    <row r="44" spans="2:6" x14ac:dyDescent="0.4">
      <c r="B44" s="604">
        <v>53.1</v>
      </c>
      <c r="C44" s="600">
        <v>8.3415324068380272</v>
      </c>
      <c r="D44" s="605">
        <v>1.002</v>
      </c>
      <c r="F44" s="123"/>
    </row>
    <row r="45" spans="2:6" x14ac:dyDescent="0.4">
      <c r="B45" s="604">
        <v>53.2</v>
      </c>
      <c r="C45" s="600">
        <v>8.3413987262917555</v>
      </c>
      <c r="D45" s="605">
        <v>1.002</v>
      </c>
      <c r="F45" s="123"/>
    </row>
    <row r="46" spans="2:6" x14ac:dyDescent="0.4">
      <c r="B46" s="604">
        <v>53.3</v>
      </c>
      <c r="C46" s="600">
        <v>8.3413987262917555</v>
      </c>
      <c r="D46" s="605">
        <v>1.002</v>
      </c>
      <c r="F46" s="123"/>
    </row>
    <row r="47" spans="2:6" x14ac:dyDescent="0.4">
      <c r="B47" s="604">
        <v>53.4</v>
      </c>
      <c r="C47" s="600">
        <v>8.3413987262917555</v>
      </c>
      <c r="D47" s="605">
        <v>1.002</v>
      </c>
      <c r="F47" s="123"/>
    </row>
    <row r="48" spans="2:6" x14ac:dyDescent="0.4">
      <c r="B48" s="604">
        <v>53.5</v>
      </c>
      <c r="C48" s="600">
        <v>8.341265045745482</v>
      </c>
      <c r="D48" s="605">
        <v>1.002</v>
      </c>
      <c r="F48" s="123"/>
    </row>
    <row r="49" spans="2:6" x14ac:dyDescent="0.4">
      <c r="B49" s="604">
        <v>53.6</v>
      </c>
      <c r="C49" s="600">
        <v>8.341265045745482</v>
      </c>
      <c r="D49" s="605">
        <v>1.0019</v>
      </c>
      <c r="F49" s="123"/>
    </row>
    <row r="50" spans="2:6" x14ac:dyDescent="0.4">
      <c r="B50" s="604">
        <v>53.7</v>
      </c>
      <c r="C50" s="600">
        <v>8.3411313651992103</v>
      </c>
      <c r="D50" s="605">
        <v>1.0019</v>
      </c>
      <c r="F50" s="123"/>
    </row>
    <row r="51" spans="2:6" x14ac:dyDescent="0.4">
      <c r="B51" s="604">
        <v>53.8</v>
      </c>
      <c r="C51" s="600">
        <v>8.3411313651992103</v>
      </c>
      <c r="D51" s="605">
        <v>1.0019</v>
      </c>
      <c r="F51" s="123"/>
    </row>
    <row r="52" spans="2:6" x14ac:dyDescent="0.4">
      <c r="B52" s="604">
        <v>53.9</v>
      </c>
      <c r="C52" s="600">
        <v>8.3411313651992103</v>
      </c>
      <c r="D52" s="605">
        <v>1.0019</v>
      </c>
      <c r="F52" s="123"/>
    </row>
    <row r="53" spans="2:6" x14ac:dyDescent="0.4">
      <c r="B53" s="604">
        <v>54</v>
      </c>
      <c r="C53" s="600">
        <v>8.3409976846529386</v>
      </c>
      <c r="D53" s="605">
        <v>1.0019</v>
      </c>
      <c r="F53" s="123"/>
    </row>
    <row r="54" spans="2:6" x14ac:dyDescent="0.4">
      <c r="B54" s="604">
        <v>54.1</v>
      </c>
      <c r="C54" s="600">
        <v>8.3409976846529386</v>
      </c>
      <c r="D54" s="605">
        <v>1.0019</v>
      </c>
      <c r="F54" s="123"/>
    </row>
    <row r="55" spans="2:6" x14ac:dyDescent="0.4">
      <c r="B55" s="604">
        <v>54.2</v>
      </c>
      <c r="C55" s="600">
        <v>8.3408640041066651</v>
      </c>
      <c r="D55" s="605">
        <v>1.0018</v>
      </c>
      <c r="F55" s="123"/>
    </row>
    <row r="56" spans="2:6" x14ac:dyDescent="0.4">
      <c r="B56" s="604">
        <v>54.3</v>
      </c>
      <c r="C56" s="600">
        <v>8.3408640041066651</v>
      </c>
      <c r="D56" s="605">
        <v>1.0018</v>
      </c>
      <c r="F56" s="123"/>
    </row>
    <row r="57" spans="2:6" x14ac:dyDescent="0.4">
      <c r="B57" s="604">
        <v>54.4</v>
      </c>
      <c r="C57" s="600">
        <v>8.3408640041066651</v>
      </c>
      <c r="D57" s="605">
        <v>1.0018</v>
      </c>
      <c r="F57" s="123"/>
    </row>
    <row r="58" spans="2:6" x14ac:dyDescent="0.4">
      <c r="B58" s="604">
        <v>54.5</v>
      </c>
      <c r="C58" s="600">
        <v>8.3407303235603933</v>
      </c>
      <c r="D58" s="605">
        <v>1.0018</v>
      </c>
      <c r="F58" s="123"/>
    </row>
    <row r="59" spans="2:6" x14ac:dyDescent="0.4">
      <c r="B59" s="604">
        <v>54.6</v>
      </c>
      <c r="C59" s="600">
        <v>8.3407303235603933</v>
      </c>
      <c r="D59" s="605">
        <v>1.0018</v>
      </c>
      <c r="F59" s="123"/>
    </row>
    <row r="60" spans="2:6" x14ac:dyDescent="0.4">
      <c r="B60" s="604">
        <v>54.7</v>
      </c>
      <c r="C60" s="600">
        <v>8.3405966430141216</v>
      </c>
      <c r="D60" s="605">
        <v>1.0018</v>
      </c>
      <c r="F60" s="123"/>
    </row>
    <row r="61" spans="2:6" x14ac:dyDescent="0.4">
      <c r="B61" s="604">
        <v>54.8</v>
      </c>
      <c r="C61" s="600">
        <v>8.3405966430141216</v>
      </c>
      <c r="D61" s="605">
        <v>1.0017</v>
      </c>
      <c r="F61" s="123"/>
    </row>
    <row r="62" spans="2:6" x14ac:dyDescent="0.4">
      <c r="B62" s="604">
        <v>54.9</v>
      </c>
      <c r="C62" s="600">
        <v>8.3404629624678499</v>
      </c>
      <c r="D62" s="605">
        <v>1.0017</v>
      </c>
      <c r="F62" s="123"/>
    </row>
    <row r="63" spans="2:6" x14ac:dyDescent="0.4">
      <c r="B63" s="604">
        <v>55</v>
      </c>
      <c r="C63" s="600">
        <v>8.3404629624678499</v>
      </c>
      <c r="D63" s="605">
        <v>1.0017</v>
      </c>
      <c r="F63" s="123"/>
    </row>
    <row r="64" spans="2:6" x14ac:dyDescent="0.4">
      <c r="B64" s="604">
        <v>55.1</v>
      </c>
      <c r="C64" s="600">
        <v>8.3404629624678499</v>
      </c>
      <c r="D64" s="605">
        <v>1.0017</v>
      </c>
      <c r="F64" s="123"/>
    </row>
    <row r="65" spans="2:6" x14ac:dyDescent="0.4">
      <c r="B65" s="604">
        <v>55.2</v>
      </c>
      <c r="C65" s="600">
        <v>8.3403292819215782</v>
      </c>
      <c r="D65" s="605">
        <v>1.0017</v>
      </c>
      <c r="F65" s="123"/>
    </row>
    <row r="66" spans="2:6" x14ac:dyDescent="0.4">
      <c r="B66" s="604">
        <v>55.3</v>
      </c>
      <c r="C66" s="600">
        <v>8.3403292819215782</v>
      </c>
      <c r="D66" s="605">
        <v>1.0016</v>
      </c>
      <c r="F66" s="123"/>
    </row>
    <row r="67" spans="2:6" x14ac:dyDescent="0.4">
      <c r="B67" s="604">
        <v>55.4</v>
      </c>
      <c r="C67" s="600">
        <v>8.3401956013753047</v>
      </c>
      <c r="D67" s="605">
        <v>1.0016</v>
      </c>
      <c r="F67" s="123"/>
    </row>
    <row r="68" spans="2:6" x14ac:dyDescent="0.4">
      <c r="B68" s="604">
        <v>55.5</v>
      </c>
      <c r="C68" s="600">
        <v>8.3401956013753047</v>
      </c>
      <c r="D68" s="605">
        <v>1.0016</v>
      </c>
      <c r="F68" s="123"/>
    </row>
    <row r="69" spans="2:6" x14ac:dyDescent="0.4">
      <c r="B69" s="604">
        <v>55.6</v>
      </c>
      <c r="C69" s="600">
        <v>8.340061920829033</v>
      </c>
      <c r="D69" s="605">
        <v>1.0016</v>
      </c>
      <c r="F69" s="123"/>
    </row>
    <row r="70" spans="2:6" x14ac:dyDescent="0.4">
      <c r="B70" s="604">
        <v>55.7</v>
      </c>
      <c r="C70" s="600">
        <v>8.340061920829033</v>
      </c>
      <c r="D70" s="605">
        <v>1.0016</v>
      </c>
      <c r="F70" s="123"/>
    </row>
    <row r="71" spans="2:6" x14ac:dyDescent="0.4">
      <c r="B71" s="604">
        <v>55.8</v>
      </c>
      <c r="C71" s="600">
        <v>8.3399282402827613</v>
      </c>
      <c r="D71" s="605">
        <v>1.0016</v>
      </c>
      <c r="F71" s="123"/>
    </row>
    <row r="72" spans="2:6" x14ac:dyDescent="0.4">
      <c r="B72" s="604">
        <v>55.9</v>
      </c>
      <c r="C72" s="600">
        <v>8.3399282402827613</v>
      </c>
      <c r="D72" s="605">
        <v>1.0015000000000001</v>
      </c>
      <c r="F72" s="123"/>
    </row>
    <row r="73" spans="2:6" x14ac:dyDescent="0.4">
      <c r="B73" s="604">
        <v>56</v>
      </c>
      <c r="C73" s="600">
        <v>8.3399282402827613</v>
      </c>
      <c r="D73" s="605">
        <v>1.0015000000000001</v>
      </c>
      <c r="F73" s="123"/>
    </row>
    <row r="74" spans="2:6" x14ac:dyDescent="0.4">
      <c r="B74" s="604">
        <v>56.1</v>
      </c>
      <c r="C74" s="600">
        <v>8.3397945597364895</v>
      </c>
      <c r="D74" s="605">
        <v>1.0015000000000001</v>
      </c>
      <c r="F74" s="123"/>
    </row>
    <row r="75" spans="2:6" x14ac:dyDescent="0.4">
      <c r="B75" s="604">
        <v>56.2</v>
      </c>
      <c r="C75" s="600">
        <v>8.3397945597364895</v>
      </c>
      <c r="D75" s="605">
        <v>1.0015000000000001</v>
      </c>
      <c r="F75" s="123"/>
    </row>
    <row r="76" spans="2:6" x14ac:dyDescent="0.4">
      <c r="B76" s="604">
        <v>56.3</v>
      </c>
      <c r="C76" s="600">
        <v>8.339660879190216</v>
      </c>
      <c r="D76" s="605">
        <v>1.0015000000000001</v>
      </c>
      <c r="F76" s="123"/>
    </row>
    <row r="77" spans="2:6" x14ac:dyDescent="0.4">
      <c r="B77" s="604">
        <v>56.4</v>
      </c>
      <c r="C77" s="600">
        <v>8.339660879190216</v>
      </c>
      <c r="D77" s="605">
        <v>1.0015000000000001</v>
      </c>
      <c r="F77" s="123"/>
    </row>
    <row r="78" spans="2:6" x14ac:dyDescent="0.4">
      <c r="B78" s="604">
        <v>56.5</v>
      </c>
      <c r="C78" s="600">
        <v>8.3395271986439443</v>
      </c>
      <c r="D78" s="605">
        <v>1.0014000000000001</v>
      </c>
      <c r="F78" s="123"/>
    </row>
    <row r="79" spans="2:6" x14ac:dyDescent="0.4">
      <c r="B79" s="604">
        <v>56.6</v>
      </c>
      <c r="C79" s="600">
        <v>8.3395271986439443</v>
      </c>
      <c r="D79" s="605">
        <v>1.0014000000000001</v>
      </c>
      <c r="F79" s="123"/>
    </row>
    <row r="80" spans="2:6" x14ac:dyDescent="0.4">
      <c r="B80" s="604">
        <v>56.7</v>
      </c>
      <c r="C80" s="600">
        <v>8.3393935180976726</v>
      </c>
      <c r="D80" s="605">
        <v>1.0014000000000001</v>
      </c>
      <c r="F80" s="123"/>
    </row>
    <row r="81" spans="2:6" x14ac:dyDescent="0.4">
      <c r="B81" s="604">
        <v>56.8</v>
      </c>
      <c r="C81" s="600">
        <v>8.3393935180976726</v>
      </c>
      <c r="D81" s="605">
        <v>1.0014000000000001</v>
      </c>
      <c r="F81" s="123"/>
    </row>
    <row r="82" spans="2:6" x14ac:dyDescent="0.4">
      <c r="B82" s="604">
        <v>56.9</v>
      </c>
      <c r="C82" s="600">
        <v>8.3392598375513991</v>
      </c>
      <c r="D82" s="605">
        <v>1.0014000000000001</v>
      </c>
      <c r="F82" s="123"/>
    </row>
    <row r="83" spans="2:6" x14ac:dyDescent="0.4">
      <c r="B83" s="604">
        <v>57</v>
      </c>
      <c r="C83" s="600">
        <v>8.3392598375513991</v>
      </c>
      <c r="D83" s="605">
        <v>1.0014000000000001</v>
      </c>
      <c r="F83" s="123"/>
    </row>
    <row r="84" spans="2:6" x14ac:dyDescent="0.4">
      <c r="B84" s="604">
        <v>57.1</v>
      </c>
      <c r="C84" s="600">
        <v>8.3391261570051274</v>
      </c>
      <c r="D84" s="605">
        <v>1.0014000000000001</v>
      </c>
      <c r="F84" s="123"/>
    </row>
    <row r="85" spans="2:6" x14ac:dyDescent="0.4">
      <c r="B85" s="604">
        <v>57.2</v>
      </c>
      <c r="C85" s="600">
        <v>8.3391261570051274</v>
      </c>
      <c r="D85" s="605">
        <v>1.0013000000000001</v>
      </c>
      <c r="F85" s="123"/>
    </row>
    <row r="86" spans="2:6" x14ac:dyDescent="0.4">
      <c r="B86" s="604">
        <v>57.3</v>
      </c>
      <c r="C86" s="600">
        <v>8.3391261570051274</v>
      </c>
      <c r="D86" s="605">
        <v>1.0013000000000001</v>
      </c>
      <c r="F86" s="123"/>
    </row>
    <row r="87" spans="2:6" x14ac:dyDescent="0.4">
      <c r="B87" s="604">
        <v>57.4</v>
      </c>
      <c r="C87" s="600">
        <v>8.3389924764588557</v>
      </c>
      <c r="D87" s="605">
        <v>1.0013000000000001</v>
      </c>
      <c r="F87" s="123"/>
    </row>
    <row r="88" spans="2:6" x14ac:dyDescent="0.4">
      <c r="B88" s="604">
        <v>57.5</v>
      </c>
      <c r="C88" s="600">
        <v>8.3389924764588557</v>
      </c>
      <c r="D88" s="605">
        <v>1.0013000000000001</v>
      </c>
      <c r="F88" s="123"/>
    </row>
    <row r="89" spans="2:6" x14ac:dyDescent="0.4">
      <c r="B89" s="604">
        <v>57.6</v>
      </c>
      <c r="C89" s="600">
        <v>8.3388587959125822</v>
      </c>
      <c r="D89" s="605">
        <v>1.0013000000000001</v>
      </c>
      <c r="F89" s="123"/>
    </row>
    <row r="90" spans="2:6" x14ac:dyDescent="0.4">
      <c r="B90" s="604">
        <v>57.7</v>
      </c>
      <c r="C90" s="600">
        <v>8.3388587959125822</v>
      </c>
      <c r="D90" s="605">
        <v>1.0013000000000001</v>
      </c>
      <c r="F90" s="123"/>
    </row>
    <row r="91" spans="2:6" x14ac:dyDescent="0.4">
      <c r="B91" s="604">
        <v>57.8</v>
      </c>
      <c r="C91" s="600">
        <v>8.3387251153663104</v>
      </c>
      <c r="D91" s="605">
        <v>1.0012000000000001</v>
      </c>
      <c r="F91" s="123"/>
    </row>
    <row r="92" spans="2:6" x14ac:dyDescent="0.4">
      <c r="B92" s="604">
        <v>57.9</v>
      </c>
      <c r="C92" s="600">
        <v>8.3387251153663104</v>
      </c>
      <c r="D92" s="605">
        <v>1.0012000000000001</v>
      </c>
      <c r="F92" s="123"/>
    </row>
    <row r="93" spans="2:6" x14ac:dyDescent="0.4">
      <c r="B93" s="604">
        <v>58</v>
      </c>
      <c r="C93" s="600">
        <v>8.3385914348200387</v>
      </c>
      <c r="D93" s="605">
        <v>1.0012000000000001</v>
      </c>
      <c r="F93" s="123"/>
    </row>
    <row r="94" spans="2:6" x14ac:dyDescent="0.4">
      <c r="B94" s="604">
        <v>58.1</v>
      </c>
      <c r="C94" s="600">
        <v>8.3385914348200387</v>
      </c>
      <c r="D94" s="605">
        <v>1.0012000000000001</v>
      </c>
      <c r="F94" s="123"/>
    </row>
    <row r="95" spans="2:6" x14ac:dyDescent="0.4">
      <c r="B95" s="604">
        <v>58.2</v>
      </c>
      <c r="C95" s="600">
        <v>8.338457754273767</v>
      </c>
      <c r="D95" s="605">
        <v>1.0012000000000001</v>
      </c>
      <c r="F95" s="123"/>
    </row>
    <row r="96" spans="2:6" x14ac:dyDescent="0.4">
      <c r="B96" s="604">
        <v>58.3</v>
      </c>
      <c r="C96" s="600">
        <v>8.338457754273767</v>
      </c>
      <c r="D96" s="605">
        <v>1.0012000000000001</v>
      </c>
      <c r="F96" s="123"/>
    </row>
    <row r="97" spans="2:6" x14ac:dyDescent="0.4">
      <c r="B97" s="604">
        <v>58.4</v>
      </c>
      <c r="C97" s="600">
        <v>8.3383240737274953</v>
      </c>
      <c r="D97" s="605">
        <v>1.0012000000000001</v>
      </c>
      <c r="F97" s="123"/>
    </row>
    <row r="98" spans="2:6" x14ac:dyDescent="0.4">
      <c r="B98" s="604">
        <v>58.5</v>
      </c>
      <c r="C98" s="600">
        <v>8.3383240737274953</v>
      </c>
      <c r="D98" s="605">
        <v>1.0011000000000001</v>
      </c>
      <c r="F98" s="123"/>
    </row>
    <row r="99" spans="2:6" x14ac:dyDescent="0.4">
      <c r="B99" s="604">
        <v>58.6</v>
      </c>
      <c r="C99" s="600">
        <v>8.3381903931812236</v>
      </c>
      <c r="D99" s="605">
        <v>1.0011000000000001</v>
      </c>
      <c r="F99" s="123"/>
    </row>
    <row r="100" spans="2:6" x14ac:dyDescent="0.4">
      <c r="B100" s="604">
        <v>58.7</v>
      </c>
      <c r="C100" s="600">
        <v>8.3381903931812236</v>
      </c>
      <c r="D100" s="605">
        <v>1.0011000000000001</v>
      </c>
      <c r="F100" s="123"/>
    </row>
    <row r="101" spans="2:6" x14ac:dyDescent="0.4">
      <c r="B101" s="604">
        <v>58.8</v>
      </c>
      <c r="C101" s="600">
        <v>8.3380567126349501</v>
      </c>
      <c r="D101" s="605">
        <v>1.0011000000000001</v>
      </c>
      <c r="F101" s="123"/>
    </row>
    <row r="102" spans="2:6" x14ac:dyDescent="0.4">
      <c r="B102" s="604">
        <v>58.9</v>
      </c>
      <c r="C102" s="600">
        <v>8.3379230320886784</v>
      </c>
      <c r="D102" s="605">
        <v>1.0011000000000001</v>
      </c>
      <c r="F102" s="123"/>
    </row>
    <row r="103" spans="2:6" x14ac:dyDescent="0.4">
      <c r="B103" s="604">
        <v>59</v>
      </c>
      <c r="C103" s="600">
        <v>8.3379230320886784</v>
      </c>
      <c r="D103" s="605">
        <v>1.0011000000000001</v>
      </c>
      <c r="F103" s="123"/>
    </row>
    <row r="104" spans="2:6" x14ac:dyDescent="0.4">
      <c r="B104" s="604">
        <v>59.1</v>
      </c>
      <c r="C104" s="600">
        <v>8.3377893515424066</v>
      </c>
      <c r="D104" s="605">
        <v>1.0011000000000001</v>
      </c>
      <c r="F104" s="123"/>
    </row>
    <row r="105" spans="2:6" x14ac:dyDescent="0.4">
      <c r="B105" s="604">
        <v>59.2</v>
      </c>
      <c r="C105" s="600">
        <v>8.3377893515424066</v>
      </c>
      <c r="D105" s="605">
        <v>1.0009999999999999</v>
      </c>
      <c r="F105" s="123"/>
    </row>
    <row r="106" spans="2:6" x14ac:dyDescent="0.4">
      <c r="B106" s="604">
        <v>59.3</v>
      </c>
      <c r="C106" s="600">
        <v>8.3376556709961331</v>
      </c>
      <c r="D106" s="605">
        <v>1.0009999999999999</v>
      </c>
      <c r="F106" s="123"/>
    </row>
    <row r="107" spans="2:6" x14ac:dyDescent="0.4">
      <c r="B107" s="604">
        <v>59.4</v>
      </c>
      <c r="C107" s="600">
        <v>8.3376556709961331</v>
      </c>
      <c r="D107" s="605">
        <v>1.0009999999999999</v>
      </c>
      <c r="F107" s="123"/>
    </row>
    <row r="108" spans="2:6" x14ac:dyDescent="0.4">
      <c r="B108" s="604">
        <v>59.5</v>
      </c>
      <c r="C108" s="600">
        <v>8.3375219904498614</v>
      </c>
      <c r="D108" s="605">
        <v>1.0009999999999999</v>
      </c>
      <c r="F108" s="123"/>
    </row>
    <row r="109" spans="2:6" x14ac:dyDescent="0.4">
      <c r="B109" s="604">
        <v>59.6</v>
      </c>
      <c r="C109" s="600">
        <v>8.3375219904498614</v>
      </c>
      <c r="D109" s="605">
        <v>1.0009999999999999</v>
      </c>
      <c r="F109" s="123"/>
    </row>
    <row r="110" spans="2:6" x14ac:dyDescent="0.4">
      <c r="B110" s="604">
        <v>59.7</v>
      </c>
      <c r="C110" s="600">
        <v>8.3373883099035897</v>
      </c>
      <c r="D110" s="605">
        <v>1.0009999999999999</v>
      </c>
      <c r="F110" s="123"/>
    </row>
    <row r="111" spans="2:6" x14ac:dyDescent="0.4">
      <c r="B111" s="604">
        <v>59.8</v>
      </c>
      <c r="C111" s="600">
        <v>8.3373883099035897</v>
      </c>
      <c r="D111" s="605">
        <v>1.0009999999999999</v>
      </c>
      <c r="F111" s="123"/>
    </row>
    <row r="112" spans="2:6" x14ac:dyDescent="0.4">
      <c r="B112" s="604">
        <v>59.9</v>
      </c>
      <c r="C112" s="600">
        <v>8.3372546293573162</v>
      </c>
      <c r="D112" s="605">
        <v>1.0008999999999999</v>
      </c>
      <c r="F112" s="123"/>
    </row>
    <row r="113" spans="2:6" x14ac:dyDescent="0.4">
      <c r="B113" s="604">
        <v>60</v>
      </c>
      <c r="C113" s="600">
        <v>8.3372546293573162</v>
      </c>
      <c r="D113" s="605">
        <v>1.0008999999999999</v>
      </c>
      <c r="F113" s="123"/>
    </row>
    <row r="114" spans="2:6" x14ac:dyDescent="0.4">
      <c r="B114" s="604">
        <v>60.1</v>
      </c>
      <c r="C114" s="600">
        <v>8.3371209488110445</v>
      </c>
      <c r="D114" s="605">
        <v>1.0008999999999999</v>
      </c>
      <c r="F114" s="123"/>
    </row>
    <row r="115" spans="2:6" x14ac:dyDescent="0.4">
      <c r="B115" s="604">
        <v>60.2</v>
      </c>
      <c r="C115" s="600">
        <v>8.3371209488110445</v>
      </c>
      <c r="D115" s="605">
        <v>1.0008999999999999</v>
      </c>
      <c r="F115" s="123"/>
    </row>
    <row r="116" spans="2:6" x14ac:dyDescent="0.4">
      <c r="B116" s="604">
        <v>60.3</v>
      </c>
      <c r="C116" s="600">
        <v>8.3369872682647728</v>
      </c>
      <c r="D116" s="605">
        <v>1.0008999999999999</v>
      </c>
      <c r="F116" s="123"/>
    </row>
    <row r="117" spans="2:6" x14ac:dyDescent="0.4">
      <c r="B117" s="604">
        <v>60.4</v>
      </c>
      <c r="C117" s="600">
        <v>8.336853587718501</v>
      </c>
      <c r="D117" s="605">
        <v>1.0008999999999999</v>
      </c>
      <c r="F117" s="123"/>
    </row>
    <row r="118" spans="2:6" x14ac:dyDescent="0.4">
      <c r="B118" s="604">
        <v>60.5</v>
      </c>
      <c r="C118" s="600">
        <v>8.336853587718501</v>
      </c>
      <c r="D118" s="605">
        <v>1.0008999999999999</v>
      </c>
      <c r="F118" s="123"/>
    </row>
    <row r="119" spans="2:6" x14ac:dyDescent="0.4">
      <c r="B119" s="604">
        <v>60.6</v>
      </c>
      <c r="C119" s="600">
        <v>8.3367199071722276</v>
      </c>
      <c r="D119" s="605">
        <v>1.0007999999999999</v>
      </c>
      <c r="F119" s="123"/>
    </row>
    <row r="120" spans="2:6" x14ac:dyDescent="0.4">
      <c r="B120" s="604">
        <v>60.7</v>
      </c>
      <c r="C120" s="600">
        <v>8.3367199071722276</v>
      </c>
      <c r="D120" s="605">
        <v>1.0007999999999999</v>
      </c>
      <c r="F120" s="123"/>
    </row>
    <row r="121" spans="2:6" x14ac:dyDescent="0.4">
      <c r="B121" s="604">
        <v>60.8</v>
      </c>
      <c r="C121" s="600">
        <v>8.3365862266259558</v>
      </c>
      <c r="D121" s="605">
        <v>1.0007999999999999</v>
      </c>
      <c r="F121" s="123"/>
    </row>
    <row r="122" spans="2:6" x14ac:dyDescent="0.4">
      <c r="B122" s="604">
        <v>60.9</v>
      </c>
      <c r="C122" s="600">
        <v>8.3365862266259558</v>
      </c>
      <c r="D122" s="605">
        <v>1.0007999999999999</v>
      </c>
      <c r="F122" s="123"/>
    </row>
    <row r="123" spans="2:6" x14ac:dyDescent="0.4">
      <c r="B123" s="604">
        <v>61</v>
      </c>
      <c r="C123" s="600">
        <v>8.3364525460796841</v>
      </c>
      <c r="D123" s="605">
        <v>1.0007999999999999</v>
      </c>
      <c r="F123" s="123"/>
    </row>
    <row r="124" spans="2:6" x14ac:dyDescent="0.4">
      <c r="B124" s="604">
        <v>61.1</v>
      </c>
      <c r="C124" s="600">
        <v>8.3363188655334124</v>
      </c>
      <c r="D124" s="605">
        <v>1.0007999999999999</v>
      </c>
      <c r="F124" s="123"/>
    </row>
    <row r="125" spans="2:6" x14ac:dyDescent="0.4">
      <c r="B125" s="604">
        <v>61.2</v>
      </c>
      <c r="C125" s="600">
        <v>8.3363188655334124</v>
      </c>
      <c r="D125" s="605">
        <v>1.0007999999999999</v>
      </c>
      <c r="F125" s="123"/>
    </row>
    <row r="126" spans="2:6" x14ac:dyDescent="0.4">
      <c r="B126" s="604">
        <v>61.3</v>
      </c>
      <c r="C126" s="600">
        <v>8.3361851849871407</v>
      </c>
      <c r="D126" s="605">
        <v>1.0007999999999999</v>
      </c>
      <c r="F126" s="123"/>
    </row>
    <row r="127" spans="2:6" x14ac:dyDescent="0.4">
      <c r="B127" s="604">
        <v>61.4</v>
      </c>
      <c r="C127" s="600">
        <v>8.3361851849871407</v>
      </c>
      <c r="D127" s="605">
        <v>1.0006999999999999</v>
      </c>
      <c r="F127" s="123"/>
    </row>
    <row r="128" spans="2:6" x14ac:dyDescent="0.4">
      <c r="B128" s="604">
        <v>61.5</v>
      </c>
      <c r="C128" s="600">
        <v>8.3360515044408672</v>
      </c>
      <c r="D128" s="605">
        <v>1.0006999999999999</v>
      </c>
      <c r="F128" s="123"/>
    </row>
    <row r="129" spans="2:6" x14ac:dyDescent="0.4">
      <c r="B129" s="604">
        <v>61.6</v>
      </c>
      <c r="C129" s="600">
        <v>8.3360515044408672</v>
      </c>
      <c r="D129" s="605">
        <v>1.0006999999999999</v>
      </c>
      <c r="F129" s="123"/>
    </row>
    <row r="130" spans="2:6" x14ac:dyDescent="0.4">
      <c r="B130" s="604">
        <v>61.7</v>
      </c>
      <c r="C130" s="600">
        <v>8.3359178238945955</v>
      </c>
      <c r="D130" s="605">
        <v>1.0006999999999999</v>
      </c>
      <c r="F130" s="123"/>
    </row>
    <row r="131" spans="2:6" x14ac:dyDescent="0.4">
      <c r="B131" s="604">
        <v>61.8</v>
      </c>
      <c r="C131" s="600">
        <v>8.3357841433483237</v>
      </c>
      <c r="D131" s="605">
        <v>1.0006999999999999</v>
      </c>
      <c r="F131" s="123"/>
    </row>
    <row r="132" spans="2:6" x14ac:dyDescent="0.4">
      <c r="B132" s="604">
        <v>61.9</v>
      </c>
      <c r="C132" s="600">
        <v>8.3357841433483237</v>
      </c>
      <c r="D132" s="605">
        <v>1.0006999999999999</v>
      </c>
      <c r="F132" s="123"/>
    </row>
    <row r="133" spans="2:6" x14ac:dyDescent="0.4">
      <c r="B133" s="604">
        <v>62</v>
      </c>
      <c r="C133" s="600">
        <v>8.3356504628020502</v>
      </c>
      <c r="D133" s="605">
        <v>1.0006999999999999</v>
      </c>
      <c r="F133" s="123"/>
    </row>
    <row r="134" spans="2:6" x14ac:dyDescent="0.4">
      <c r="B134" s="604">
        <v>62.1</v>
      </c>
      <c r="C134" s="600">
        <v>8.3356504628020502</v>
      </c>
      <c r="D134" s="605">
        <v>1.0005999999999999</v>
      </c>
      <c r="F134" s="123"/>
    </row>
    <row r="135" spans="2:6" x14ac:dyDescent="0.4">
      <c r="B135" s="604">
        <v>62.2</v>
      </c>
      <c r="C135" s="600">
        <v>8.3355167822557785</v>
      </c>
      <c r="D135" s="605">
        <v>1.0005999999999999</v>
      </c>
      <c r="F135" s="123"/>
    </row>
    <row r="136" spans="2:6" x14ac:dyDescent="0.4">
      <c r="B136" s="604">
        <v>62.3</v>
      </c>
      <c r="C136" s="600">
        <v>8.3353831017095068</v>
      </c>
      <c r="D136" s="605">
        <v>1.0005999999999999</v>
      </c>
      <c r="F136" s="123"/>
    </row>
    <row r="137" spans="2:6" x14ac:dyDescent="0.4">
      <c r="B137" s="604">
        <v>62.4</v>
      </c>
      <c r="C137" s="600">
        <v>8.3353831017095068</v>
      </c>
      <c r="D137" s="605">
        <v>1.0005999999999999</v>
      </c>
      <c r="F137" s="123"/>
    </row>
    <row r="138" spans="2:6" x14ac:dyDescent="0.4">
      <c r="B138" s="604">
        <v>62.5</v>
      </c>
      <c r="C138" s="600">
        <v>8.3352494211632333</v>
      </c>
      <c r="D138" s="605">
        <v>1.0005999999999999</v>
      </c>
      <c r="F138" s="123"/>
    </row>
    <row r="139" spans="2:6" x14ac:dyDescent="0.4">
      <c r="B139" s="604">
        <v>62.6</v>
      </c>
      <c r="C139" s="600">
        <v>8.3352494211632333</v>
      </c>
      <c r="D139" s="605">
        <v>1.0005999999999999</v>
      </c>
      <c r="F139" s="123"/>
    </row>
    <row r="140" spans="2:6" x14ac:dyDescent="0.4">
      <c r="B140" s="604">
        <v>62.7</v>
      </c>
      <c r="C140" s="600">
        <v>8.3351157406169616</v>
      </c>
      <c r="D140" s="605">
        <v>1.0005999999999999</v>
      </c>
      <c r="F140" s="123"/>
    </row>
    <row r="141" spans="2:6" x14ac:dyDescent="0.4">
      <c r="B141" s="604">
        <v>62.8</v>
      </c>
      <c r="C141" s="600">
        <v>8.3349820600706899</v>
      </c>
      <c r="D141" s="605">
        <v>1.0005999999999999</v>
      </c>
      <c r="F141" s="123"/>
    </row>
    <row r="142" spans="2:6" x14ac:dyDescent="0.4">
      <c r="B142" s="604">
        <v>62.9</v>
      </c>
      <c r="C142" s="600">
        <v>8.3349820600706899</v>
      </c>
      <c r="D142" s="605">
        <v>1.0005999999999999</v>
      </c>
      <c r="F142" s="123"/>
    </row>
    <row r="143" spans="2:6" x14ac:dyDescent="0.4">
      <c r="B143" s="604">
        <v>63</v>
      </c>
      <c r="C143" s="600">
        <v>8.3348483795244181</v>
      </c>
      <c r="D143" s="605">
        <v>1.0004999999999999</v>
      </c>
      <c r="F143" s="123"/>
    </row>
    <row r="144" spans="2:6" x14ac:dyDescent="0.4">
      <c r="B144" s="604">
        <v>63.1</v>
      </c>
      <c r="C144" s="600">
        <v>8.3348483795244181</v>
      </c>
      <c r="D144" s="605">
        <v>1.0004999999999999</v>
      </c>
      <c r="F144" s="123"/>
    </row>
    <row r="145" spans="2:6" x14ac:dyDescent="0.4">
      <c r="B145" s="604">
        <v>63.2</v>
      </c>
      <c r="C145" s="600">
        <v>8.3347146989781447</v>
      </c>
      <c r="D145" s="605">
        <v>1.0004999999999999</v>
      </c>
      <c r="F145" s="123"/>
    </row>
    <row r="146" spans="2:6" x14ac:dyDescent="0.4">
      <c r="B146" s="604">
        <v>63.3</v>
      </c>
      <c r="C146" s="600">
        <v>8.3345810184318729</v>
      </c>
      <c r="D146" s="605">
        <v>1.0004999999999999</v>
      </c>
      <c r="F146" s="123"/>
    </row>
    <row r="147" spans="2:6" x14ac:dyDescent="0.4">
      <c r="B147" s="604">
        <v>63.4</v>
      </c>
      <c r="C147" s="600">
        <v>8.3345810184318729</v>
      </c>
      <c r="D147" s="605">
        <v>1.0004999999999999</v>
      </c>
      <c r="F147" s="123"/>
    </row>
    <row r="148" spans="2:6" x14ac:dyDescent="0.4">
      <c r="B148" s="604">
        <v>63.5</v>
      </c>
      <c r="C148" s="600">
        <v>8.3344473378856012</v>
      </c>
      <c r="D148" s="605">
        <v>1.0004999999999999</v>
      </c>
      <c r="F148" s="123"/>
    </row>
    <row r="149" spans="2:6" x14ac:dyDescent="0.4">
      <c r="B149" s="604">
        <v>63.6</v>
      </c>
      <c r="C149" s="600">
        <v>8.3344473378856012</v>
      </c>
      <c r="D149" s="605">
        <v>1.0004999999999999</v>
      </c>
      <c r="F149" s="123"/>
    </row>
    <row r="150" spans="2:6" x14ac:dyDescent="0.4">
      <c r="B150" s="604">
        <v>63.7</v>
      </c>
      <c r="C150" s="600">
        <v>8.3343136573393295</v>
      </c>
      <c r="D150" s="605">
        <v>1.0004999999999999</v>
      </c>
      <c r="F150" s="123"/>
    </row>
    <row r="151" spans="2:6" x14ac:dyDescent="0.4">
      <c r="B151" s="604">
        <v>63.8</v>
      </c>
      <c r="C151" s="600">
        <v>8.3341799767930578</v>
      </c>
      <c r="D151" s="605">
        <v>1.0004</v>
      </c>
      <c r="F151" s="123"/>
    </row>
    <row r="152" spans="2:6" x14ac:dyDescent="0.4">
      <c r="B152" s="604">
        <v>63.9</v>
      </c>
      <c r="C152" s="600">
        <v>8.3341799767930578</v>
      </c>
      <c r="D152" s="605">
        <v>1.0004</v>
      </c>
      <c r="F152" s="123"/>
    </row>
    <row r="153" spans="2:6" x14ac:dyDescent="0.4">
      <c r="B153" s="604">
        <v>64</v>
      </c>
      <c r="C153" s="600">
        <v>8.3340462962467843</v>
      </c>
      <c r="D153" s="605">
        <v>1.0004</v>
      </c>
      <c r="F153" s="123"/>
    </row>
    <row r="154" spans="2:6" x14ac:dyDescent="0.4">
      <c r="B154" s="604">
        <v>64.099999999999994</v>
      </c>
      <c r="C154" s="600">
        <v>8.3339126157005126</v>
      </c>
      <c r="D154" s="605">
        <v>1.0004</v>
      </c>
      <c r="F154" s="123"/>
    </row>
    <row r="155" spans="2:6" x14ac:dyDescent="0.4">
      <c r="B155" s="604">
        <v>64.2</v>
      </c>
      <c r="C155" s="600">
        <v>8.3339126157005126</v>
      </c>
      <c r="D155" s="605">
        <v>1.0004</v>
      </c>
      <c r="F155" s="123"/>
    </row>
    <row r="156" spans="2:6" x14ac:dyDescent="0.4">
      <c r="B156" s="604">
        <v>64.3</v>
      </c>
      <c r="C156" s="600">
        <v>8.3337789351542408</v>
      </c>
      <c r="D156" s="605">
        <v>1.0004</v>
      </c>
      <c r="F156" s="123"/>
    </row>
    <row r="157" spans="2:6" x14ac:dyDescent="0.4">
      <c r="B157" s="604">
        <v>64.400000000000006</v>
      </c>
      <c r="C157" s="600">
        <v>8.3336452546079691</v>
      </c>
      <c r="D157" s="605">
        <v>1.0004</v>
      </c>
      <c r="F157" s="123"/>
    </row>
    <row r="158" spans="2:6" x14ac:dyDescent="0.4">
      <c r="B158" s="604">
        <v>64.5</v>
      </c>
      <c r="C158" s="600">
        <v>8.3336452546079691</v>
      </c>
      <c r="D158" s="605">
        <v>1.0004</v>
      </c>
      <c r="F158" s="123"/>
    </row>
    <row r="159" spans="2:6" x14ac:dyDescent="0.4">
      <c r="B159" s="604">
        <v>64.599999999999994</v>
      </c>
      <c r="C159" s="600">
        <v>8.3335115740616956</v>
      </c>
      <c r="D159" s="605">
        <v>1.0004</v>
      </c>
      <c r="F159" s="123"/>
    </row>
    <row r="160" spans="2:6" x14ac:dyDescent="0.4">
      <c r="B160" s="604">
        <v>64.7</v>
      </c>
      <c r="C160" s="600">
        <v>8.3335115740616956</v>
      </c>
      <c r="D160" s="605">
        <v>1.0003</v>
      </c>
      <c r="F160" s="123"/>
    </row>
    <row r="161" spans="2:6" x14ac:dyDescent="0.4">
      <c r="B161" s="604">
        <v>64.8</v>
      </c>
      <c r="C161" s="600">
        <v>8.3333778935154239</v>
      </c>
      <c r="D161" s="605">
        <v>1.0003</v>
      </c>
      <c r="F161" s="123"/>
    </row>
    <row r="162" spans="2:6" x14ac:dyDescent="0.4">
      <c r="B162" s="604">
        <v>64.900000000000006</v>
      </c>
      <c r="C162" s="600">
        <v>8.3332442129691522</v>
      </c>
      <c r="D162" s="605">
        <v>1.0003</v>
      </c>
      <c r="F162" s="123"/>
    </row>
    <row r="163" spans="2:6" x14ac:dyDescent="0.4">
      <c r="B163" s="604">
        <v>65</v>
      </c>
      <c r="C163" s="600">
        <v>8.3332442129691522</v>
      </c>
      <c r="D163" s="605">
        <v>1.0003</v>
      </c>
      <c r="F163" s="123"/>
    </row>
    <row r="164" spans="2:6" x14ac:dyDescent="0.4">
      <c r="B164" s="604">
        <v>65.099999999999994</v>
      </c>
      <c r="C164" s="600">
        <v>8.3331105324228787</v>
      </c>
      <c r="D164" s="605">
        <v>1.0003</v>
      </c>
      <c r="F164" s="123"/>
    </row>
    <row r="165" spans="2:6" x14ac:dyDescent="0.4">
      <c r="B165" s="604">
        <v>65.2</v>
      </c>
      <c r="C165" s="600">
        <v>8.332976851876607</v>
      </c>
      <c r="D165" s="605">
        <v>1.0003</v>
      </c>
      <c r="F165" s="123"/>
    </row>
    <row r="166" spans="2:6" x14ac:dyDescent="0.4">
      <c r="B166" s="604">
        <v>65.3</v>
      </c>
      <c r="C166" s="600">
        <v>8.332976851876607</v>
      </c>
      <c r="D166" s="605">
        <v>1.0003</v>
      </c>
      <c r="F166" s="123"/>
    </row>
    <row r="167" spans="2:6" x14ac:dyDescent="0.4">
      <c r="B167" s="604">
        <v>65.400000000000006</v>
      </c>
      <c r="C167" s="600">
        <v>8.3328431713303353</v>
      </c>
      <c r="D167" s="605">
        <v>1.0003</v>
      </c>
      <c r="F167" s="123"/>
    </row>
    <row r="168" spans="2:6" x14ac:dyDescent="0.4">
      <c r="B168" s="604">
        <v>65.5</v>
      </c>
      <c r="C168" s="600">
        <v>8.3327094907840618</v>
      </c>
      <c r="D168" s="605">
        <v>1.0003</v>
      </c>
      <c r="F168" s="123"/>
    </row>
    <row r="169" spans="2:6" x14ac:dyDescent="0.4">
      <c r="B169" s="604">
        <v>65.599999999999994</v>
      </c>
      <c r="C169" s="600">
        <v>8.3327094907840618</v>
      </c>
      <c r="D169" s="605">
        <v>1.0002</v>
      </c>
      <c r="F169" s="123"/>
    </row>
    <row r="170" spans="2:6" x14ac:dyDescent="0.4">
      <c r="B170" s="604">
        <v>65.7</v>
      </c>
      <c r="C170" s="600">
        <v>8.33257581023779</v>
      </c>
      <c r="D170" s="605">
        <v>1.0002</v>
      </c>
      <c r="F170" s="123"/>
    </row>
    <row r="171" spans="2:6" x14ac:dyDescent="0.4">
      <c r="B171" s="604">
        <v>65.8</v>
      </c>
      <c r="C171" s="600">
        <v>8.3324421296915183</v>
      </c>
      <c r="D171" s="605">
        <v>1.0002</v>
      </c>
      <c r="F171" s="123"/>
    </row>
    <row r="172" spans="2:6" x14ac:dyDescent="0.4">
      <c r="B172" s="604">
        <v>65.900000000000006</v>
      </c>
      <c r="C172" s="600">
        <v>8.3324421296915183</v>
      </c>
      <c r="D172" s="605">
        <v>1.0002</v>
      </c>
      <c r="F172" s="123"/>
    </row>
    <row r="173" spans="2:6" x14ac:dyDescent="0.4">
      <c r="B173" s="604">
        <v>66</v>
      </c>
      <c r="C173" s="600">
        <v>8.3323084491452466</v>
      </c>
      <c r="D173" s="605">
        <v>1.0002</v>
      </c>
      <c r="F173" s="123"/>
    </row>
    <row r="174" spans="2:6" x14ac:dyDescent="0.4">
      <c r="B174" s="604">
        <v>66.099999999999994</v>
      </c>
      <c r="C174" s="600">
        <v>8.3321747685989749</v>
      </c>
      <c r="D174" s="605">
        <v>1.0002</v>
      </c>
      <c r="F174" s="123"/>
    </row>
    <row r="175" spans="2:6" x14ac:dyDescent="0.4">
      <c r="B175" s="604">
        <v>66.2</v>
      </c>
      <c r="C175" s="600">
        <v>8.3321747685989749</v>
      </c>
      <c r="D175" s="605">
        <v>1.0002</v>
      </c>
      <c r="F175" s="123"/>
    </row>
    <row r="176" spans="2:6" x14ac:dyDescent="0.4">
      <c r="B176" s="604">
        <v>66.3</v>
      </c>
      <c r="C176" s="600">
        <v>8.3320410880527032</v>
      </c>
      <c r="D176" s="605">
        <v>1.0002</v>
      </c>
      <c r="F176" s="123"/>
    </row>
    <row r="177" spans="2:6" x14ac:dyDescent="0.4">
      <c r="B177" s="604">
        <v>66.400000000000006</v>
      </c>
      <c r="C177" s="600">
        <v>8.3319074075064297</v>
      </c>
      <c r="D177" s="605">
        <v>1.0002</v>
      </c>
      <c r="F177" s="123"/>
    </row>
    <row r="178" spans="2:6" x14ac:dyDescent="0.4">
      <c r="B178" s="604">
        <v>66.5</v>
      </c>
      <c r="C178" s="600">
        <v>8.3319074075064297</v>
      </c>
      <c r="D178" s="605">
        <v>1.0002</v>
      </c>
      <c r="F178" s="123"/>
    </row>
    <row r="179" spans="2:6" x14ac:dyDescent="0.4">
      <c r="B179" s="604">
        <v>66.599999999999994</v>
      </c>
      <c r="C179" s="600">
        <v>8.3317737269601579</v>
      </c>
      <c r="D179" s="605">
        <v>1.0001</v>
      </c>
      <c r="F179" s="123"/>
    </row>
    <row r="180" spans="2:6" x14ac:dyDescent="0.4">
      <c r="B180" s="604">
        <v>66.7</v>
      </c>
      <c r="C180" s="600">
        <v>8.3316400464138862</v>
      </c>
      <c r="D180" s="605">
        <v>1.0001</v>
      </c>
      <c r="F180" s="123"/>
    </row>
    <row r="181" spans="2:6" x14ac:dyDescent="0.4">
      <c r="B181" s="604">
        <v>66.8</v>
      </c>
      <c r="C181" s="600">
        <v>8.3315063658676127</v>
      </c>
      <c r="D181" s="605">
        <v>1.0001</v>
      </c>
      <c r="F181" s="123"/>
    </row>
    <row r="182" spans="2:6" x14ac:dyDescent="0.4">
      <c r="B182" s="604">
        <v>66.900000000000006</v>
      </c>
      <c r="C182" s="600">
        <v>8.3315063658676127</v>
      </c>
      <c r="D182" s="605">
        <v>1.0001</v>
      </c>
      <c r="F182" s="123"/>
    </row>
    <row r="183" spans="2:6" x14ac:dyDescent="0.4">
      <c r="B183" s="604">
        <v>67</v>
      </c>
      <c r="C183" s="600">
        <v>8.331372685321341</v>
      </c>
      <c r="D183" s="605">
        <v>1.0001</v>
      </c>
      <c r="F183" s="123"/>
    </row>
    <row r="184" spans="2:6" x14ac:dyDescent="0.4">
      <c r="B184" s="604">
        <v>67.099999999999994</v>
      </c>
      <c r="C184" s="600">
        <v>8.3312390047750693</v>
      </c>
      <c r="D184" s="605">
        <v>1.0001</v>
      </c>
      <c r="F184" s="123"/>
    </row>
    <row r="185" spans="2:6" x14ac:dyDescent="0.4">
      <c r="B185" s="604">
        <v>67.2</v>
      </c>
      <c r="C185" s="600">
        <v>8.3312390047750693</v>
      </c>
      <c r="D185" s="605">
        <v>1.0001</v>
      </c>
      <c r="F185" s="123"/>
    </row>
    <row r="186" spans="2:6" x14ac:dyDescent="0.4">
      <c r="B186" s="604">
        <v>67.3</v>
      </c>
      <c r="C186" s="600">
        <v>8.3311053242287958</v>
      </c>
      <c r="D186" s="605">
        <v>1.0001</v>
      </c>
      <c r="F186" s="123"/>
    </row>
    <row r="187" spans="2:6" x14ac:dyDescent="0.4">
      <c r="B187" s="604">
        <v>67.400000000000006</v>
      </c>
      <c r="C187" s="600">
        <v>8.3309716436825241</v>
      </c>
      <c r="D187" s="605">
        <v>1.0001</v>
      </c>
      <c r="F187" s="123"/>
    </row>
    <row r="188" spans="2:6" x14ac:dyDescent="0.4">
      <c r="B188" s="604">
        <v>67.5</v>
      </c>
      <c r="C188" s="600">
        <v>8.3309716436825241</v>
      </c>
      <c r="D188" s="605">
        <v>1.0001</v>
      </c>
      <c r="F188" s="123"/>
    </row>
    <row r="189" spans="2:6" x14ac:dyDescent="0.4">
      <c r="B189" s="604">
        <v>67.599999999999994</v>
      </c>
      <c r="C189" s="600">
        <v>8.3308379631362524</v>
      </c>
      <c r="D189" s="605">
        <v>1</v>
      </c>
      <c r="F189" s="123"/>
    </row>
    <row r="190" spans="2:6" x14ac:dyDescent="0.4">
      <c r="B190" s="604">
        <v>67.7</v>
      </c>
      <c r="C190" s="600">
        <v>8.3307042825899806</v>
      </c>
      <c r="D190" s="605">
        <v>1</v>
      </c>
      <c r="F190" s="123"/>
    </row>
    <row r="191" spans="2:6" x14ac:dyDescent="0.4">
      <c r="B191" s="604">
        <v>67.8</v>
      </c>
      <c r="C191" s="600">
        <v>8.3305706020437071</v>
      </c>
      <c r="D191" s="605">
        <v>1</v>
      </c>
      <c r="F191" s="123"/>
    </row>
    <row r="192" spans="2:6" x14ac:dyDescent="0.4">
      <c r="B192" s="604">
        <v>67.900000000000006</v>
      </c>
      <c r="C192" s="600">
        <v>8.3305706020437071</v>
      </c>
      <c r="D192" s="605">
        <v>1</v>
      </c>
      <c r="F192" s="123"/>
    </row>
    <row r="193" spans="2:6" x14ac:dyDescent="0.4">
      <c r="B193" s="604">
        <v>68</v>
      </c>
      <c r="C193" s="600">
        <v>8.3304369214974354</v>
      </c>
      <c r="D193" s="605">
        <v>1</v>
      </c>
      <c r="F193" s="123"/>
    </row>
    <row r="194" spans="2:6" x14ac:dyDescent="0.4">
      <c r="B194" s="604">
        <v>68.099999999999994</v>
      </c>
      <c r="C194" s="600">
        <v>8.3303032409511637</v>
      </c>
      <c r="D194" s="605">
        <v>1</v>
      </c>
      <c r="F194" s="123"/>
    </row>
    <row r="195" spans="2:6" x14ac:dyDescent="0.4">
      <c r="B195" s="604">
        <v>68.2</v>
      </c>
      <c r="C195" s="600">
        <v>8.3303032409511637</v>
      </c>
      <c r="D195" s="605">
        <v>0.99999000000000005</v>
      </c>
      <c r="F195" s="123"/>
    </row>
    <row r="196" spans="2:6" x14ac:dyDescent="0.4">
      <c r="B196" s="604">
        <v>68.3</v>
      </c>
      <c r="C196" s="600">
        <v>8.330169560404892</v>
      </c>
      <c r="D196" s="605">
        <v>0.99997999999999998</v>
      </c>
      <c r="F196" s="123"/>
    </row>
    <row r="197" spans="2:6" x14ac:dyDescent="0.4">
      <c r="B197" s="604">
        <v>68.400000000000006</v>
      </c>
      <c r="C197" s="600">
        <v>8.3300358798586203</v>
      </c>
      <c r="D197" s="605">
        <v>0.99997999999999998</v>
      </c>
      <c r="F197" s="123"/>
    </row>
    <row r="198" spans="2:6" x14ac:dyDescent="0.4">
      <c r="B198" s="604">
        <v>68.5</v>
      </c>
      <c r="C198" s="600">
        <v>8.3299021993123468</v>
      </c>
      <c r="D198" s="605">
        <v>0.99997000000000003</v>
      </c>
      <c r="F198" s="123"/>
    </row>
    <row r="199" spans="2:6" x14ac:dyDescent="0.4">
      <c r="B199" s="604">
        <v>68.599999999999994</v>
      </c>
      <c r="C199" s="600">
        <v>8.3299021993123468</v>
      </c>
      <c r="D199" s="605">
        <v>0.99995999999999996</v>
      </c>
      <c r="F199" s="123"/>
    </row>
    <row r="200" spans="2:6" x14ac:dyDescent="0.4">
      <c r="B200" s="604">
        <v>68.7</v>
      </c>
      <c r="C200" s="600">
        <v>8.329768518766075</v>
      </c>
      <c r="D200" s="605">
        <v>0.99995000000000001</v>
      </c>
      <c r="F200" s="123"/>
    </row>
    <row r="201" spans="2:6" x14ac:dyDescent="0.4">
      <c r="B201" s="604">
        <v>68.8</v>
      </c>
      <c r="C201" s="600">
        <v>8.3296348382198033</v>
      </c>
      <c r="D201" s="605">
        <v>0.99994000000000005</v>
      </c>
      <c r="F201" s="123"/>
    </row>
    <row r="202" spans="2:6" x14ac:dyDescent="0.4">
      <c r="B202" s="604">
        <v>68.900000000000006</v>
      </c>
      <c r="C202" s="600">
        <v>8.3296348382198033</v>
      </c>
      <c r="D202" s="605">
        <v>0.99992999999999999</v>
      </c>
      <c r="F202" s="123"/>
    </row>
    <row r="203" spans="2:6" x14ac:dyDescent="0.4">
      <c r="B203" s="604">
        <v>69</v>
      </c>
      <c r="C203" s="600">
        <v>8.3295011576735298</v>
      </c>
      <c r="D203" s="605">
        <v>0.99992000000000003</v>
      </c>
      <c r="F203" s="123"/>
    </row>
    <row r="204" spans="2:6" x14ac:dyDescent="0.4">
      <c r="B204" s="604">
        <v>69.099999999999994</v>
      </c>
      <c r="C204" s="600">
        <v>8.3293674771272581</v>
      </c>
      <c r="D204" s="605">
        <v>0.99990999999999997</v>
      </c>
      <c r="F204" s="123"/>
    </row>
    <row r="205" spans="2:6" x14ac:dyDescent="0.4">
      <c r="B205" s="604">
        <v>69.2</v>
      </c>
      <c r="C205" s="600">
        <v>8.3292337965809864</v>
      </c>
      <c r="D205" s="605">
        <v>0.99990000000000001</v>
      </c>
      <c r="F205" s="123"/>
    </row>
    <row r="206" spans="2:6" x14ac:dyDescent="0.4">
      <c r="B206" s="604">
        <v>69.3</v>
      </c>
      <c r="C206" s="600">
        <v>8.3292337965809864</v>
      </c>
      <c r="D206" s="605">
        <v>0.99990000000000001</v>
      </c>
      <c r="F206" s="123"/>
    </row>
    <row r="207" spans="2:6" x14ac:dyDescent="0.4">
      <c r="B207" s="604">
        <v>69.400000000000006</v>
      </c>
      <c r="C207" s="600">
        <v>8.3291001160347129</v>
      </c>
      <c r="D207" s="605">
        <v>0.99988999999999995</v>
      </c>
      <c r="F207" s="123"/>
    </row>
    <row r="208" spans="2:6" x14ac:dyDescent="0.4">
      <c r="B208" s="604">
        <v>69.5</v>
      </c>
      <c r="C208" s="600">
        <v>8.3289664354884412</v>
      </c>
      <c r="D208" s="605">
        <v>0.99987999999999999</v>
      </c>
      <c r="F208" s="123"/>
    </row>
    <row r="209" spans="2:6" x14ac:dyDescent="0.4">
      <c r="B209" s="604">
        <v>69.599999999999994</v>
      </c>
      <c r="C209" s="600">
        <v>8.3288327549421695</v>
      </c>
      <c r="D209" s="605">
        <v>0.99987000000000004</v>
      </c>
      <c r="F209" s="123"/>
    </row>
    <row r="210" spans="2:6" x14ac:dyDescent="0.4">
      <c r="B210" s="604">
        <v>69.7</v>
      </c>
      <c r="C210" s="600">
        <v>8.3288327549421695</v>
      </c>
      <c r="D210" s="605">
        <v>0.99985999999999997</v>
      </c>
      <c r="F210" s="123"/>
    </row>
    <row r="211" spans="2:6" x14ac:dyDescent="0.4">
      <c r="B211" s="604">
        <v>69.8</v>
      </c>
      <c r="C211" s="600">
        <v>8.3286990743958977</v>
      </c>
      <c r="D211" s="605">
        <v>0.99985000000000002</v>
      </c>
      <c r="F211" s="123"/>
    </row>
    <row r="212" spans="2:6" x14ac:dyDescent="0.4">
      <c r="B212" s="604">
        <v>69.900000000000006</v>
      </c>
      <c r="C212" s="600">
        <v>8.3285653938496242</v>
      </c>
      <c r="D212" s="605">
        <v>0.99983999999999995</v>
      </c>
      <c r="F212" s="123"/>
    </row>
    <row r="213" spans="2:6" x14ac:dyDescent="0.4">
      <c r="B213" s="604">
        <v>70</v>
      </c>
      <c r="C213" s="600">
        <v>8.328459981</v>
      </c>
      <c r="D213" s="605">
        <v>0.99983999999999995</v>
      </c>
      <c r="F213" s="123"/>
    </row>
    <row r="214" spans="2:6" x14ac:dyDescent="0.4">
      <c r="B214" s="604">
        <v>70.099999999999994</v>
      </c>
      <c r="C214" s="600">
        <v>8.328459981</v>
      </c>
      <c r="D214" s="605">
        <v>0.99983</v>
      </c>
      <c r="F214" s="123"/>
    </row>
    <row r="215" spans="2:6" x14ac:dyDescent="0.4">
      <c r="B215" s="604">
        <v>70.2</v>
      </c>
      <c r="C215" s="600">
        <v>8.3283262999999987</v>
      </c>
      <c r="D215" s="605">
        <v>0.99982000000000004</v>
      </c>
      <c r="F215" s="123"/>
    </row>
    <row r="216" spans="2:6" x14ac:dyDescent="0.4">
      <c r="B216" s="604">
        <v>70.3</v>
      </c>
      <c r="C216" s="600">
        <v>8.3281926189999993</v>
      </c>
      <c r="D216" s="605">
        <v>0.99980999999999998</v>
      </c>
      <c r="F216" s="123"/>
    </row>
    <row r="217" spans="2:6" x14ac:dyDescent="0.4">
      <c r="B217" s="604">
        <v>70.400000000000006</v>
      </c>
      <c r="C217" s="600">
        <v>8.3280589379999999</v>
      </c>
      <c r="D217" s="605">
        <v>0.99980000000000002</v>
      </c>
      <c r="F217" s="123"/>
    </row>
    <row r="218" spans="2:6" x14ac:dyDescent="0.4">
      <c r="B218" s="604">
        <v>70.5</v>
      </c>
      <c r="C218" s="600">
        <v>8.3280589379999999</v>
      </c>
      <c r="D218" s="605">
        <v>0.99980000000000002</v>
      </c>
      <c r="F218" s="123"/>
    </row>
    <row r="219" spans="2:6" x14ac:dyDescent="0.4">
      <c r="B219" s="604">
        <v>70.599999999999994</v>
      </c>
      <c r="C219" s="600">
        <v>8.3279252569999986</v>
      </c>
      <c r="D219" s="605">
        <v>0.99978999999999996</v>
      </c>
      <c r="F219" s="123"/>
    </row>
    <row r="220" spans="2:6" x14ac:dyDescent="0.4">
      <c r="B220" s="604">
        <v>70.7</v>
      </c>
      <c r="C220" s="600">
        <v>8.3277915759999992</v>
      </c>
      <c r="D220" s="605">
        <v>0.99978</v>
      </c>
      <c r="F220" s="123"/>
    </row>
    <row r="221" spans="2:6" x14ac:dyDescent="0.4">
      <c r="B221" s="604">
        <v>70.8</v>
      </c>
      <c r="C221" s="600">
        <v>8.3276578949999998</v>
      </c>
      <c r="D221" s="605">
        <v>0.99977000000000005</v>
      </c>
      <c r="F221" s="123"/>
    </row>
    <row r="222" spans="2:6" x14ac:dyDescent="0.4">
      <c r="B222" s="604">
        <v>70.900000000000006</v>
      </c>
      <c r="C222" s="600">
        <v>8.3275242139999985</v>
      </c>
      <c r="D222" s="605">
        <v>0.99975999999999998</v>
      </c>
      <c r="F222" s="123"/>
    </row>
    <row r="223" spans="2:6" x14ac:dyDescent="0.4">
      <c r="B223" s="604">
        <v>71</v>
      </c>
      <c r="C223" s="600">
        <v>8.3275242139999985</v>
      </c>
      <c r="D223" s="605">
        <v>0.99975999999999998</v>
      </c>
      <c r="F223" s="123"/>
    </row>
    <row r="224" spans="2:6" x14ac:dyDescent="0.4">
      <c r="B224" s="604">
        <v>71.099999999999994</v>
      </c>
      <c r="C224" s="600">
        <v>8.3273905329999991</v>
      </c>
      <c r="D224" s="605">
        <v>0.99975000000000003</v>
      </c>
      <c r="F224" s="123"/>
    </row>
    <row r="225" spans="2:6" x14ac:dyDescent="0.4">
      <c r="B225" s="604">
        <v>71.2</v>
      </c>
      <c r="C225" s="600">
        <v>8.3272568519999997</v>
      </c>
      <c r="D225" s="605">
        <v>0.99973999999999996</v>
      </c>
      <c r="F225" s="123"/>
    </row>
    <row r="226" spans="2:6" x14ac:dyDescent="0.4">
      <c r="B226" s="604">
        <v>71.3</v>
      </c>
      <c r="C226" s="600">
        <v>8.3271231709999984</v>
      </c>
      <c r="D226" s="605">
        <v>0.99973000000000001</v>
      </c>
      <c r="F226" s="123"/>
    </row>
    <row r="227" spans="2:6" x14ac:dyDescent="0.4">
      <c r="B227" s="604">
        <v>71.400000000000006</v>
      </c>
      <c r="C227" s="600">
        <v>8.3271231709999984</v>
      </c>
      <c r="D227" s="605">
        <v>0.99972000000000005</v>
      </c>
      <c r="F227" s="123"/>
    </row>
    <row r="228" spans="2:6" x14ac:dyDescent="0.4">
      <c r="B228" s="604">
        <v>71.5</v>
      </c>
      <c r="C228" s="600">
        <v>8.326989489999999</v>
      </c>
      <c r="D228" s="605">
        <v>0.99972000000000005</v>
      </c>
      <c r="F228" s="123"/>
    </row>
    <row r="229" spans="2:6" x14ac:dyDescent="0.4">
      <c r="B229" s="604">
        <v>71.599999999999994</v>
      </c>
      <c r="C229" s="600">
        <v>8.3268558089999996</v>
      </c>
      <c r="D229" s="605">
        <v>0.99970999999999999</v>
      </c>
      <c r="F229" s="123"/>
    </row>
    <row r="230" spans="2:6" x14ac:dyDescent="0.4">
      <c r="B230" s="604">
        <v>71.7</v>
      </c>
      <c r="C230" s="600">
        <v>8.3267221279999983</v>
      </c>
      <c r="D230" s="605">
        <v>0.99970000000000003</v>
      </c>
      <c r="F230" s="123"/>
    </row>
    <row r="231" spans="2:6" x14ac:dyDescent="0.4">
      <c r="B231" s="604">
        <v>71.8</v>
      </c>
      <c r="C231" s="600">
        <v>8.3265884469999989</v>
      </c>
      <c r="D231" s="605">
        <v>0.99968999999999997</v>
      </c>
      <c r="F231" s="123"/>
    </row>
    <row r="232" spans="2:6" x14ac:dyDescent="0.4">
      <c r="B232" s="604">
        <v>71.900000000000006</v>
      </c>
      <c r="C232" s="600">
        <v>8.3265884469999989</v>
      </c>
      <c r="D232" s="605">
        <v>0.99968999999999997</v>
      </c>
      <c r="F232" s="123"/>
    </row>
    <row r="233" spans="2:6" x14ac:dyDescent="0.4">
      <c r="B233" s="604">
        <v>72</v>
      </c>
      <c r="C233" s="600">
        <v>8.3264547659999995</v>
      </c>
      <c r="D233" s="605">
        <v>0.99968000000000001</v>
      </c>
      <c r="F233" s="123"/>
    </row>
    <row r="234" spans="2:6" x14ac:dyDescent="0.4">
      <c r="B234" s="604">
        <v>72.099999999999994</v>
      </c>
      <c r="C234" s="600">
        <v>8.326321085</v>
      </c>
      <c r="D234" s="605">
        <v>0.99966999999999995</v>
      </c>
      <c r="F234" s="123"/>
    </row>
    <row r="235" spans="2:6" x14ac:dyDescent="0.4">
      <c r="B235" s="604">
        <v>72.2</v>
      </c>
      <c r="C235" s="600">
        <v>8.3261874039999988</v>
      </c>
      <c r="D235" s="605">
        <v>0.99965999999999999</v>
      </c>
      <c r="F235" s="123"/>
    </row>
    <row r="236" spans="2:6" x14ac:dyDescent="0.4">
      <c r="B236" s="604">
        <v>72.3</v>
      </c>
      <c r="C236" s="600">
        <v>8.3260537229999994</v>
      </c>
      <c r="D236" s="605">
        <v>0.99965999999999999</v>
      </c>
      <c r="F236" s="123"/>
    </row>
    <row r="237" spans="2:6" x14ac:dyDescent="0.4">
      <c r="B237" s="604">
        <v>72.400000000000006</v>
      </c>
      <c r="C237" s="600">
        <v>8.3260537229999994</v>
      </c>
      <c r="D237" s="605">
        <v>0.99965000000000004</v>
      </c>
      <c r="F237" s="123"/>
    </row>
    <row r="238" spans="2:6" x14ac:dyDescent="0.4">
      <c r="B238" s="604">
        <v>72.5</v>
      </c>
      <c r="C238" s="600">
        <v>8.3259200419999999</v>
      </c>
      <c r="D238" s="605">
        <v>0.99963999999999997</v>
      </c>
      <c r="F238" s="123"/>
    </row>
    <row r="239" spans="2:6" x14ac:dyDescent="0.4">
      <c r="B239" s="604">
        <v>72.599999999999994</v>
      </c>
      <c r="C239" s="600">
        <v>8.3257863609999987</v>
      </c>
      <c r="D239" s="605">
        <v>0.99963999999999997</v>
      </c>
      <c r="F239" s="123"/>
    </row>
    <row r="240" spans="2:6" x14ac:dyDescent="0.4">
      <c r="B240" s="604">
        <v>72.7</v>
      </c>
      <c r="C240" s="600">
        <v>8.3256526799999993</v>
      </c>
      <c r="D240" s="605">
        <v>0.99963000000000002</v>
      </c>
      <c r="F240" s="123"/>
    </row>
    <row r="241" spans="2:6" x14ac:dyDescent="0.4">
      <c r="B241" s="604">
        <v>72.8</v>
      </c>
      <c r="C241" s="600">
        <v>8.3255189989999998</v>
      </c>
      <c r="D241" s="605">
        <v>0.99961999999999995</v>
      </c>
      <c r="F241" s="123"/>
    </row>
    <row r="242" spans="2:6" x14ac:dyDescent="0.4">
      <c r="B242" s="604">
        <v>72.900000000000006</v>
      </c>
      <c r="C242" s="600">
        <v>8.3255189989999998</v>
      </c>
      <c r="D242" s="605">
        <v>0.99961</v>
      </c>
      <c r="F242" s="123"/>
    </row>
    <row r="243" spans="2:6" x14ac:dyDescent="0.4">
      <c r="B243" s="604">
        <v>73</v>
      </c>
      <c r="C243" s="600">
        <v>8.3253853179999986</v>
      </c>
      <c r="D243" s="605">
        <v>0.99961</v>
      </c>
      <c r="F243" s="123"/>
    </row>
    <row r="244" spans="2:6" x14ac:dyDescent="0.4">
      <c r="B244" s="604">
        <v>73.099999999999994</v>
      </c>
      <c r="C244" s="600">
        <v>8.3252516369999991</v>
      </c>
      <c r="D244" s="605">
        <v>0.99960000000000004</v>
      </c>
      <c r="F244" s="123"/>
    </row>
    <row r="245" spans="2:6" x14ac:dyDescent="0.4">
      <c r="B245" s="604">
        <v>73.2</v>
      </c>
      <c r="C245" s="600">
        <v>8.3251179559999997</v>
      </c>
      <c r="D245" s="605">
        <v>0.99958999999999998</v>
      </c>
      <c r="F245" s="123"/>
    </row>
    <row r="246" spans="2:6" x14ac:dyDescent="0.4">
      <c r="B246" s="604">
        <v>73.3</v>
      </c>
      <c r="C246" s="600">
        <v>8.3249842750000003</v>
      </c>
      <c r="D246" s="605">
        <v>0.99958999999999998</v>
      </c>
      <c r="F246" s="123"/>
    </row>
    <row r="247" spans="2:6" x14ac:dyDescent="0.4">
      <c r="B247" s="604">
        <v>73.400000000000006</v>
      </c>
      <c r="C247" s="600">
        <v>8.324850593999999</v>
      </c>
      <c r="D247" s="605">
        <v>0.99958000000000002</v>
      </c>
      <c r="F247" s="123"/>
    </row>
    <row r="248" spans="2:6" x14ac:dyDescent="0.4">
      <c r="B248" s="604">
        <v>73.5</v>
      </c>
      <c r="C248" s="600">
        <v>8.324850593999999</v>
      </c>
      <c r="D248" s="605">
        <v>0.99956999999999996</v>
      </c>
      <c r="F248" s="123"/>
    </row>
    <row r="249" spans="2:6" x14ac:dyDescent="0.4">
      <c r="B249" s="604">
        <v>73.599999999999994</v>
      </c>
      <c r="C249" s="600">
        <v>8.3247169129999996</v>
      </c>
      <c r="D249" s="605">
        <v>0.99956999999999996</v>
      </c>
      <c r="F249" s="123"/>
    </row>
    <row r="250" spans="2:6" x14ac:dyDescent="0.4">
      <c r="B250" s="604">
        <v>73.7</v>
      </c>
      <c r="C250" s="600">
        <v>8.3245832320000002</v>
      </c>
      <c r="D250" s="605">
        <v>0.99956</v>
      </c>
      <c r="F250" s="123"/>
    </row>
    <row r="251" spans="2:6" x14ac:dyDescent="0.4">
      <c r="B251" s="604">
        <v>73.8</v>
      </c>
      <c r="C251" s="600">
        <v>8.3244495509999989</v>
      </c>
      <c r="D251" s="605">
        <v>0.99955000000000005</v>
      </c>
      <c r="F251" s="123"/>
    </row>
    <row r="252" spans="2:6" x14ac:dyDescent="0.4">
      <c r="B252" s="604">
        <v>73.900000000000006</v>
      </c>
      <c r="C252" s="600">
        <v>8.3243158699999995</v>
      </c>
      <c r="D252" s="605">
        <v>0.99955000000000005</v>
      </c>
      <c r="F252" s="123"/>
    </row>
    <row r="253" spans="2:6" x14ac:dyDescent="0.4">
      <c r="B253" s="604">
        <v>74</v>
      </c>
      <c r="C253" s="600">
        <v>8.3243158699999995</v>
      </c>
      <c r="D253" s="605">
        <v>0.99953999999999998</v>
      </c>
      <c r="F253" s="123"/>
    </row>
    <row r="254" spans="2:6" x14ac:dyDescent="0.4">
      <c r="B254" s="604">
        <v>74.099999999999994</v>
      </c>
      <c r="C254" s="600">
        <v>8.3241821890000001</v>
      </c>
      <c r="D254" s="605">
        <v>0.99953000000000003</v>
      </c>
      <c r="F254" s="123"/>
    </row>
    <row r="255" spans="2:6" x14ac:dyDescent="0.4">
      <c r="B255" s="604">
        <v>74.2</v>
      </c>
      <c r="C255" s="600">
        <v>8.3240485079999988</v>
      </c>
      <c r="D255" s="605">
        <v>0.99953000000000003</v>
      </c>
      <c r="F255" s="123"/>
    </row>
    <row r="256" spans="2:6" x14ac:dyDescent="0.4">
      <c r="B256" s="604">
        <v>74.3</v>
      </c>
      <c r="C256" s="600">
        <v>8.3239148269999994</v>
      </c>
      <c r="D256" s="605">
        <v>0.99951999999999996</v>
      </c>
      <c r="F256" s="123"/>
    </row>
    <row r="257" spans="2:6" x14ac:dyDescent="0.4">
      <c r="B257" s="604">
        <v>74.400000000000006</v>
      </c>
      <c r="C257" s="600">
        <v>8.323781146</v>
      </c>
      <c r="D257" s="605">
        <v>0.99951000000000001</v>
      </c>
      <c r="F257" s="123"/>
    </row>
    <row r="258" spans="2:6" x14ac:dyDescent="0.4">
      <c r="B258" s="604">
        <v>74.5</v>
      </c>
      <c r="C258" s="600">
        <v>8.3236474650000005</v>
      </c>
      <c r="D258" s="605">
        <v>0.99951000000000001</v>
      </c>
      <c r="F258" s="123"/>
    </row>
    <row r="259" spans="2:6" x14ac:dyDescent="0.4">
      <c r="B259" s="604">
        <v>74.599999999999994</v>
      </c>
      <c r="C259" s="600">
        <v>8.3235137839999993</v>
      </c>
      <c r="D259" s="605">
        <v>0.99950000000000006</v>
      </c>
      <c r="F259" s="123"/>
    </row>
    <row r="260" spans="2:6" x14ac:dyDescent="0.4">
      <c r="B260" s="604">
        <v>74.7</v>
      </c>
      <c r="C260" s="600">
        <v>8.3235137839999993</v>
      </c>
      <c r="D260" s="605">
        <v>0.99948999999999999</v>
      </c>
      <c r="F260" s="123"/>
    </row>
    <row r="261" spans="2:6" x14ac:dyDescent="0.4">
      <c r="B261" s="604">
        <v>74.8</v>
      </c>
      <c r="C261" s="600">
        <v>8.3233801029999999</v>
      </c>
      <c r="D261" s="605">
        <v>0.99948999999999999</v>
      </c>
      <c r="F261" s="123"/>
    </row>
    <row r="262" spans="2:6" x14ac:dyDescent="0.4">
      <c r="B262" s="604">
        <v>74.900000000000006</v>
      </c>
      <c r="C262" s="600">
        <v>8.3232464220000004</v>
      </c>
      <c r="D262" s="605">
        <v>0.99948000000000004</v>
      </c>
      <c r="F262" s="123"/>
    </row>
    <row r="263" spans="2:6" x14ac:dyDescent="0.4">
      <c r="B263" s="604">
        <v>75</v>
      </c>
      <c r="C263" s="600">
        <v>8.3231127409999992</v>
      </c>
      <c r="D263" s="605">
        <v>0.99946999999999997</v>
      </c>
      <c r="F263" s="123"/>
    </row>
    <row r="264" spans="2:6" x14ac:dyDescent="0.4">
      <c r="B264" s="604">
        <v>75.099999999999994</v>
      </c>
      <c r="C264" s="600">
        <v>8.3229790599999998</v>
      </c>
      <c r="D264" s="605">
        <v>0.99946999999999997</v>
      </c>
      <c r="F264" s="123"/>
    </row>
    <row r="265" spans="2:6" x14ac:dyDescent="0.4">
      <c r="B265" s="604">
        <v>75.2</v>
      </c>
      <c r="C265" s="600">
        <v>8.3228453790000003</v>
      </c>
      <c r="D265" s="605">
        <v>0.99946000000000002</v>
      </c>
      <c r="F265" s="123"/>
    </row>
    <row r="266" spans="2:6" x14ac:dyDescent="0.4">
      <c r="B266" s="604">
        <v>75.3</v>
      </c>
      <c r="C266" s="600">
        <v>8.3228453790000003</v>
      </c>
      <c r="D266" s="605">
        <v>0.99946000000000002</v>
      </c>
      <c r="F266" s="123"/>
    </row>
    <row r="267" spans="2:6" x14ac:dyDescent="0.4">
      <c r="B267" s="604">
        <v>75.400000000000006</v>
      </c>
      <c r="C267" s="600">
        <v>8.3227116980000009</v>
      </c>
      <c r="D267" s="605">
        <v>0.99944999999999995</v>
      </c>
      <c r="F267" s="123"/>
    </row>
    <row r="268" spans="2:6" x14ac:dyDescent="0.4">
      <c r="B268" s="604">
        <v>75.5</v>
      </c>
      <c r="C268" s="600">
        <v>8.3225780169999997</v>
      </c>
      <c r="D268" s="605">
        <v>0.99944</v>
      </c>
      <c r="F268" s="123"/>
    </row>
    <row r="269" spans="2:6" x14ac:dyDescent="0.4">
      <c r="B269" s="604">
        <v>75.599999999999994</v>
      </c>
      <c r="C269" s="600">
        <v>8.3224443360000002</v>
      </c>
      <c r="D269" s="605">
        <v>0.99944</v>
      </c>
      <c r="F269" s="123"/>
    </row>
    <row r="270" spans="2:6" x14ac:dyDescent="0.4">
      <c r="B270" s="604">
        <v>75.7</v>
      </c>
      <c r="C270" s="600">
        <v>8.3223106550000008</v>
      </c>
      <c r="D270" s="605">
        <v>0.99943000000000004</v>
      </c>
      <c r="F270" s="123"/>
    </row>
    <row r="271" spans="2:6" x14ac:dyDescent="0.4">
      <c r="B271" s="604">
        <v>75.8</v>
      </c>
      <c r="C271" s="600">
        <v>8.3221769739999996</v>
      </c>
      <c r="D271" s="605">
        <v>0.99943000000000004</v>
      </c>
      <c r="F271" s="123"/>
    </row>
    <row r="272" spans="2:6" x14ac:dyDescent="0.4">
      <c r="B272" s="604">
        <v>75.900000000000006</v>
      </c>
      <c r="C272" s="600">
        <v>8.3220432930000001</v>
      </c>
      <c r="D272" s="605">
        <v>0.99941999999999998</v>
      </c>
      <c r="F272" s="123"/>
    </row>
    <row r="273" spans="2:6" x14ac:dyDescent="0.4">
      <c r="B273" s="604">
        <v>76</v>
      </c>
      <c r="C273" s="600">
        <v>8.3219096120000007</v>
      </c>
      <c r="D273" s="605">
        <v>0.99941000000000002</v>
      </c>
      <c r="F273" s="123"/>
    </row>
    <row r="274" spans="2:6" x14ac:dyDescent="0.4">
      <c r="B274" s="604">
        <v>76.099999999999994</v>
      </c>
      <c r="C274" s="600">
        <v>8.3219096120000007</v>
      </c>
      <c r="D274" s="605">
        <v>0.99941000000000002</v>
      </c>
      <c r="F274" s="123"/>
    </row>
    <row r="275" spans="2:6" x14ac:dyDescent="0.4">
      <c r="B275" s="604">
        <v>76.2</v>
      </c>
      <c r="C275" s="600">
        <v>8.3217759309999995</v>
      </c>
      <c r="D275" s="605">
        <v>0.99939999999999996</v>
      </c>
      <c r="F275" s="123"/>
    </row>
    <row r="276" spans="2:6" x14ac:dyDescent="0.4">
      <c r="B276" s="604">
        <v>76.3</v>
      </c>
      <c r="C276" s="600">
        <v>8.32164225</v>
      </c>
      <c r="D276" s="605">
        <v>0.99939999999999996</v>
      </c>
      <c r="F276" s="123"/>
    </row>
    <row r="277" spans="2:6" x14ac:dyDescent="0.4">
      <c r="B277" s="604">
        <v>76.400000000000006</v>
      </c>
      <c r="C277" s="600">
        <v>8.3215085690000006</v>
      </c>
      <c r="D277" s="605">
        <v>0.99939</v>
      </c>
      <c r="F277" s="123"/>
    </row>
    <row r="278" spans="2:6" x14ac:dyDescent="0.4">
      <c r="B278" s="604">
        <v>76.5</v>
      </c>
      <c r="C278" s="600">
        <v>8.3213748879999994</v>
      </c>
      <c r="D278" s="605">
        <v>0.99939</v>
      </c>
      <c r="F278" s="123"/>
    </row>
    <row r="279" spans="2:6" x14ac:dyDescent="0.4">
      <c r="B279" s="604">
        <v>76.599999999999994</v>
      </c>
      <c r="C279" s="600">
        <v>8.3212412069999999</v>
      </c>
      <c r="D279" s="605">
        <v>0.99938000000000005</v>
      </c>
      <c r="F279" s="123"/>
    </row>
    <row r="280" spans="2:6" x14ac:dyDescent="0.4">
      <c r="B280" s="604">
        <v>76.7</v>
      </c>
      <c r="C280" s="600">
        <v>8.3211075260000005</v>
      </c>
      <c r="D280" s="605">
        <v>0.99936999999999998</v>
      </c>
      <c r="F280" s="123"/>
    </row>
    <row r="281" spans="2:6" x14ac:dyDescent="0.4">
      <c r="B281" s="604">
        <v>76.8</v>
      </c>
      <c r="C281" s="600">
        <v>8.3209738449999993</v>
      </c>
      <c r="D281" s="605">
        <v>0.99936999999999998</v>
      </c>
      <c r="F281" s="123"/>
    </row>
    <row r="282" spans="2:6" x14ac:dyDescent="0.4">
      <c r="B282" s="604">
        <v>76.900000000000006</v>
      </c>
      <c r="C282" s="600">
        <v>8.3209738449999993</v>
      </c>
      <c r="D282" s="605">
        <v>0.99936000000000003</v>
      </c>
      <c r="F282" s="123"/>
    </row>
    <row r="283" spans="2:6" x14ac:dyDescent="0.4">
      <c r="B283" s="604">
        <v>77</v>
      </c>
      <c r="C283" s="600">
        <v>8.3208401639999998</v>
      </c>
      <c r="D283" s="605">
        <v>0.99936000000000003</v>
      </c>
      <c r="F283" s="123"/>
    </row>
    <row r="284" spans="2:6" x14ac:dyDescent="0.4">
      <c r="B284" s="604">
        <v>77.099999999999994</v>
      </c>
      <c r="C284" s="600">
        <v>8.3207064830000004</v>
      </c>
      <c r="D284" s="605">
        <v>0.99934999999999996</v>
      </c>
      <c r="F284" s="123"/>
    </row>
    <row r="285" spans="2:6" x14ac:dyDescent="0.4">
      <c r="B285" s="604">
        <v>77.2</v>
      </c>
      <c r="C285" s="600">
        <v>8.3205728019999992</v>
      </c>
      <c r="D285" s="605">
        <v>0.99934999999999996</v>
      </c>
      <c r="F285" s="123"/>
    </row>
    <row r="286" spans="2:6" x14ac:dyDescent="0.4">
      <c r="B286" s="604">
        <v>77.3</v>
      </c>
      <c r="C286" s="600">
        <v>8.3204391209999997</v>
      </c>
      <c r="D286" s="605">
        <v>0.99934000000000001</v>
      </c>
      <c r="F286" s="123"/>
    </row>
    <row r="287" spans="2:6" x14ac:dyDescent="0.4">
      <c r="B287" s="604">
        <v>77.400000000000006</v>
      </c>
      <c r="C287" s="600">
        <v>8.3203054400000003</v>
      </c>
      <c r="D287" s="605">
        <v>0.99934000000000001</v>
      </c>
      <c r="F287" s="123"/>
    </row>
    <row r="288" spans="2:6" x14ac:dyDescent="0.4">
      <c r="B288" s="604">
        <v>77.5</v>
      </c>
      <c r="C288" s="600">
        <v>8.3201717589999991</v>
      </c>
      <c r="D288" s="605">
        <v>0.99933000000000005</v>
      </c>
      <c r="F288" s="123"/>
    </row>
    <row r="289" spans="2:6" x14ac:dyDescent="0.4">
      <c r="B289" s="604">
        <v>77.599999999999994</v>
      </c>
      <c r="C289" s="600">
        <v>8.3200380779999996</v>
      </c>
      <c r="D289" s="605">
        <v>0.99933000000000005</v>
      </c>
      <c r="F289" s="123"/>
    </row>
    <row r="290" spans="2:6" x14ac:dyDescent="0.4">
      <c r="B290" s="604">
        <v>77.7</v>
      </c>
      <c r="C290" s="600">
        <v>8.3199043970000002</v>
      </c>
      <c r="D290" s="605">
        <v>0.99931999999999999</v>
      </c>
      <c r="F290" s="123"/>
    </row>
    <row r="291" spans="2:6" x14ac:dyDescent="0.4">
      <c r="B291" s="604">
        <v>77.8</v>
      </c>
      <c r="C291" s="600">
        <v>8.319770715999999</v>
      </c>
      <c r="D291" s="605">
        <v>0.99931999999999999</v>
      </c>
      <c r="F291" s="123"/>
    </row>
    <row r="292" spans="2:6" x14ac:dyDescent="0.4">
      <c r="B292" s="604">
        <v>77.900000000000006</v>
      </c>
      <c r="C292" s="600">
        <v>8.319770715999999</v>
      </c>
      <c r="D292" s="605">
        <v>0.99931000000000003</v>
      </c>
      <c r="F292" s="123"/>
    </row>
    <row r="293" spans="2:6" x14ac:dyDescent="0.4">
      <c r="B293" s="604">
        <v>78</v>
      </c>
      <c r="C293" s="600">
        <v>8.3196370349999995</v>
      </c>
      <c r="D293" s="605">
        <v>0.99931000000000003</v>
      </c>
      <c r="F293" s="123"/>
    </row>
    <row r="294" spans="2:6" x14ac:dyDescent="0.4">
      <c r="B294" s="604">
        <v>78.099999999999994</v>
      </c>
      <c r="C294" s="600">
        <v>8.3195033540000001</v>
      </c>
      <c r="D294" s="605">
        <v>0.99929999999999997</v>
      </c>
      <c r="F294" s="123"/>
    </row>
    <row r="295" spans="2:6" x14ac:dyDescent="0.4">
      <c r="B295" s="604">
        <v>78.2</v>
      </c>
      <c r="C295" s="600">
        <v>8.3193696729999989</v>
      </c>
      <c r="D295" s="605">
        <v>0.99929999999999997</v>
      </c>
      <c r="F295" s="123"/>
    </row>
    <row r="296" spans="2:6" x14ac:dyDescent="0.4">
      <c r="B296" s="604">
        <v>78.3</v>
      </c>
      <c r="C296" s="600">
        <v>8.3192359919999994</v>
      </c>
      <c r="D296" s="605">
        <v>0.99929000000000001</v>
      </c>
      <c r="F296" s="123"/>
    </row>
    <row r="297" spans="2:6" x14ac:dyDescent="0.4">
      <c r="B297" s="604">
        <v>78.400000000000006</v>
      </c>
      <c r="C297" s="600">
        <v>8.319102311</v>
      </c>
      <c r="D297" s="605">
        <v>0.99929000000000001</v>
      </c>
      <c r="F297" s="123"/>
    </row>
    <row r="298" spans="2:6" x14ac:dyDescent="0.4">
      <c r="B298" s="604">
        <v>78.5</v>
      </c>
      <c r="C298" s="600">
        <v>8.3189686299999988</v>
      </c>
      <c r="D298" s="605">
        <v>0.99927999999999995</v>
      </c>
      <c r="F298" s="123"/>
    </row>
    <row r="299" spans="2:6" x14ac:dyDescent="0.4">
      <c r="B299" s="604">
        <v>78.599999999999994</v>
      </c>
      <c r="C299" s="600">
        <v>8.3188349489999993</v>
      </c>
      <c r="D299" s="605">
        <v>0.99927999999999995</v>
      </c>
      <c r="F299" s="123"/>
    </row>
    <row r="300" spans="2:6" x14ac:dyDescent="0.4">
      <c r="B300" s="604">
        <v>78.7</v>
      </c>
      <c r="C300" s="600">
        <v>8.3187012679999999</v>
      </c>
      <c r="D300" s="605">
        <v>0.99926999999999999</v>
      </c>
      <c r="F300" s="123"/>
    </row>
    <row r="301" spans="2:6" x14ac:dyDescent="0.4">
      <c r="B301" s="604">
        <v>78.8</v>
      </c>
      <c r="C301" s="600">
        <v>8.3185675869999987</v>
      </c>
      <c r="D301" s="605">
        <v>0.99926999999999999</v>
      </c>
      <c r="F301" s="123"/>
    </row>
    <row r="302" spans="2:6" x14ac:dyDescent="0.4">
      <c r="B302" s="604">
        <v>78.900000000000006</v>
      </c>
      <c r="C302" s="600">
        <v>8.3184339059999992</v>
      </c>
      <c r="D302" s="605">
        <v>0.99926000000000004</v>
      </c>
      <c r="F302" s="123"/>
    </row>
    <row r="303" spans="2:6" x14ac:dyDescent="0.4">
      <c r="B303" s="604">
        <v>79</v>
      </c>
      <c r="C303" s="600">
        <v>8.3184339059999992</v>
      </c>
      <c r="D303" s="605">
        <v>0.99926000000000004</v>
      </c>
      <c r="F303" s="123"/>
    </row>
    <row r="304" spans="2:6" x14ac:dyDescent="0.4">
      <c r="B304" s="604">
        <v>79.099999999999994</v>
      </c>
      <c r="C304" s="600">
        <v>8.3183002249999998</v>
      </c>
      <c r="D304" s="605">
        <v>0.99924999999999997</v>
      </c>
      <c r="F304" s="123"/>
    </row>
    <row r="305" spans="2:6" x14ac:dyDescent="0.4">
      <c r="B305" s="604">
        <v>79.2</v>
      </c>
      <c r="C305" s="600">
        <v>8.3181665439999986</v>
      </c>
      <c r="D305" s="605">
        <v>0.99924999999999997</v>
      </c>
      <c r="F305" s="123"/>
    </row>
    <row r="306" spans="2:6" x14ac:dyDescent="0.4">
      <c r="B306" s="604">
        <v>79.3</v>
      </c>
      <c r="C306" s="600">
        <v>8.3180328629999991</v>
      </c>
      <c r="D306" s="605">
        <v>0.99924000000000002</v>
      </c>
      <c r="F306" s="123"/>
    </row>
    <row r="307" spans="2:6" x14ac:dyDescent="0.4">
      <c r="B307" s="604">
        <v>79.400000000000006</v>
      </c>
      <c r="C307" s="600">
        <v>8.3178991819999997</v>
      </c>
      <c r="D307" s="605">
        <v>0.99924000000000002</v>
      </c>
      <c r="F307" s="123"/>
    </row>
    <row r="308" spans="2:6" x14ac:dyDescent="0.4">
      <c r="B308" s="604">
        <v>79.5</v>
      </c>
      <c r="C308" s="600">
        <v>8.3177655009999985</v>
      </c>
      <c r="D308" s="605">
        <v>0.99922999999999995</v>
      </c>
      <c r="F308" s="123"/>
    </row>
    <row r="309" spans="2:6" x14ac:dyDescent="0.4">
      <c r="B309" s="604">
        <v>79.599999999999994</v>
      </c>
      <c r="C309" s="600">
        <v>8.317631819999999</v>
      </c>
      <c r="D309" s="605">
        <v>0.99922999999999995</v>
      </c>
      <c r="F309" s="123"/>
    </row>
    <row r="310" spans="2:6" x14ac:dyDescent="0.4">
      <c r="B310" s="604">
        <v>79.7</v>
      </c>
      <c r="C310" s="600">
        <v>8.3174981389999996</v>
      </c>
      <c r="D310" s="605">
        <v>0.99922</v>
      </c>
      <c r="F310" s="123"/>
    </row>
    <row r="311" spans="2:6" x14ac:dyDescent="0.4">
      <c r="B311" s="604">
        <v>79.8</v>
      </c>
      <c r="C311" s="600">
        <v>8.3173644580000001</v>
      </c>
      <c r="D311" s="605">
        <v>0.99922</v>
      </c>
      <c r="F311" s="123"/>
    </row>
    <row r="312" spans="2:6" x14ac:dyDescent="0.4">
      <c r="B312" s="604">
        <v>79.900000000000006</v>
      </c>
      <c r="C312" s="600">
        <v>8.3172307769999989</v>
      </c>
      <c r="D312" s="605">
        <v>0.99921000000000004</v>
      </c>
      <c r="F312" s="123"/>
    </row>
    <row r="313" spans="2:6" x14ac:dyDescent="0.4">
      <c r="B313" s="604">
        <v>80</v>
      </c>
      <c r="C313" s="600">
        <v>8.3170970959999995</v>
      </c>
      <c r="D313" s="605">
        <v>0.99921000000000004</v>
      </c>
      <c r="F313" s="123"/>
    </row>
    <row r="314" spans="2:6" x14ac:dyDescent="0.4">
      <c r="B314" s="604">
        <v>80.099999999999994</v>
      </c>
      <c r="C314" s="600">
        <v>8.316963415</v>
      </c>
      <c r="D314" s="605">
        <v>0.99921000000000004</v>
      </c>
      <c r="F314" s="123"/>
    </row>
    <row r="315" spans="2:6" x14ac:dyDescent="0.4">
      <c r="B315" s="604">
        <v>80.2</v>
      </c>
      <c r="C315" s="600">
        <v>8.3168297339999988</v>
      </c>
      <c r="D315" s="605">
        <v>0.99919999999999998</v>
      </c>
      <c r="F315" s="123"/>
    </row>
    <row r="316" spans="2:6" x14ac:dyDescent="0.4">
      <c r="B316" s="604">
        <v>80.3</v>
      </c>
      <c r="C316" s="600">
        <v>8.3166960529999994</v>
      </c>
      <c r="D316" s="605">
        <v>0.99919999999999998</v>
      </c>
      <c r="F316" s="123"/>
    </row>
    <row r="317" spans="2:6" x14ac:dyDescent="0.4">
      <c r="B317" s="604">
        <v>80.400000000000006</v>
      </c>
      <c r="C317" s="600">
        <v>8.3165623719999999</v>
      </c>
      <c r="D317" s="605">
        <v>0.99919000000000002</v>
      </c>
      <c r="F317" s="123"/>
    </row>
    <row r="318" spans="2:6" x14ac:dyDescent="0.4">
      <c r="B318" s="604">
        <v>80.5</v>
      </c>
      <c r="C318" s="600">
        <v>8.3164286909999987</v>
      </c>
      <c r="D318" s="605">
        <v>0.99919000000000002</v>
      </c>
      <c r="F318" s="123"/>
    </row>
    <row r="319" spans="2:6" x14ac:dyDescent="0.4">
      <c r="B319" s="604">
        <v>80.599999999999994</v>
      </c>
      <c r="C319" s="600">
        <v>8.3162950099999993</v>
      </c>
      <c r="D319" s="605">
        <v>0.99917999999999996</v>
      </c>
      <c r="F319" s="123"/>
    </row>
    <row r="320" spans="2:6" x14ac:dyDescent="0.4">
      <c r="B320" s="604">
        <v>80.7</v>
      </c>
      <c r="C320" s="600">
        <v>8.3162950099999993</v>
      </c>
      <c r="D320" s="605">
        <v>0.99917999999999996</v>
      </c>
      <c r="F320" s="123"/>
    </row>
    <row r="321" spans="2:6" x14ac:dyDescent="0.4">
      <c r="B321" s="604">
        <v>80.8</v>
      </c>
      <c r="C321" s="600">
        <v>8.3161613289999998</v>
      </c>
      <c r="D321" s="605">
        <v>0.99917999999999996</v>
      </c>
      <c r="F321" s="123"/>
    </row>
    <row r="322" spans="2:6" x14ac:dyDescent="0.4">
      <c r="B322" s="604">
        <v>80.900000000000006</v>
      </c>
      <c r="C322" s="600">
        <v>8.3160276479999986</v>
      </c>
      <c r="D322" s="605">
        <v>0.99917</v>
      </c>
      <c r="F322" s="123"/>
    </row>
    <row r="323" spans="2:6" x14ac:dyDescent="0.4">
      <c r="B323" s="604">
        <v>81</v>
      </c>
      <c r="C323" s="600">
        <v>8.3158939669999992</v>
      </c>
      <c r="D323" s="605">
        <v>0.99917</v>
      </c>
      <c r="F323" s="123"/>
    </row>
    <row r="324" spans="2:6" x14ac:dyDescent="0.4">
      <c r="B324" s="604">
        <v>81.099999999999994</v>
      </c>
      <c r="C324" s="600">
        <v>8.3157602859999997</v>
      </c>
      <c r="D324" s="605">
        <v>0.99916000000000005</v>
      </c>
      <c r="F324" s="123"/>
    </row>
    <row r="325" spans="2:6" x14ac:dyDescent="0.4">
      <c r="B325" s="604">
        <v>81.2</v>
      </c>
      <c r="C325" s="600">
        <v>8.3156266050000003</v>
      </c>
      <c r="D325" s="605">
        <v>0.99916000000000005</v>
      </c>
      <c r="F325" s="123"/>
    </row>
    <row r="326" spans="2:6" x14ac:dyDescent="0.4">
      <c r="B326" s="604">
        <v>81.3</v>
      </c>
      <c r="C326" s="600">
        <v>8.3154929239999991</v>
      </c>
      <c r="D326" s="605">
        <v>0.99916000000000005</v>
      </c>
      <c r="F326" s="123"/>
    </row>
    <row r="327" spans="2:6" x14ac:dyDescent="0.4">
      <c r="B327" s="604">
        <v>81.400000000000006</v>
      </c>
      <c r="C327" s="600">
        <v>8.3153592429999996</v>
      </c>
      <c r="D327" s="605">
        <v>0.99914999999999998</v>
      </c>
      <c r="F327" s="123"/>
    </row>
    <row r="328" spans="2:6" x14ac:dyDescent="0.4">
      <c r="B328" s="604">
        <v>81.5</v>
      </c>
      <c r="C328" s="600">
        <v>8.3152255620000002</v>
      </c>
      <c r="D328" s="605">
        <v>0.99914999999999998</v>
      </c>
      <c r="F328" s="123"/>
    </row>
    <row r="329" spans="2:6" x14ac:dyDescent="0.4">
      <c r="B329" s="604">
        <v>81.599999999999994</v>
      </c>
      <c r="C329" s="600">
        <v>8.315091880999999</v>
      </c>
      <c r="D329" s="605">
        <v>0.99914000000000003</v>
      </c>
      <c r="F329" s="123"/>
    </row>
    <row r="330" spans="2:6" x14ac:dyDescent="0.4">
      <c r="B330" s="604">
        <v>81.7</v>
      </c>
      <c r="C330" s="600">
        <v>8.3149581999999995</v>
      </c>
      <c r="D330" s="605">
        <v>0.99914000000000003</v>
      </c>
      <c r="F330" s="123"/>
    </row>
    <row r="331" spans="2:6" x14ac:dyDescent="0.4">
      <c r="B331" s="604">
        <v>81.8</v>
      </c>
      <c r="C331" s="600">
        <v>8.3148245190000001</v>
      </c>
      <c r="D331" s="605">
        <v>0.99914000000000003</v>
      </c>
      <c r="F331" s="123"/>
    </row>
    <row r="332" spans="2:6" x14ac:dyDescent="0.4">
      <c r="B332" s="604">
        <v>81.900000000000006</v>
      </c>
      <c r="C332" s="600">
        <v>8.3146908379999989</v>
      </c>
      <c r="D332" s="605">
        <v>0.99912999999999996</v>
      </c>
      <c r="F332" s="123"/>
    </row>
    <row r="333" spans="2:6" x14ac:dyDescent="0.4">
      <c r="B333" s="604">
        <v>82</v>
      </c>
      <c r="C333" s="600">
        <v>8.3145571569999994</v>
      </c>
      <c r="D333" s="605">
        <v>0.99912999999999996</v>
      </c>
      <c r="F333" s="123"/>
    </row>
    <row r="334" spans="2:6" x14ac:dyDescent="0.4">
      <c r="B334" s="604">
        <v>82.1</v>
      </c>
      <c r="C334" s="600">
        <v>8.314423476</v>
      </c>
      <c r="D334" s="605">
        <v>0.99912000000000001</v>
      </c>
      <c r="F334" s="123"/>
    </row>
    <row r="335" spans="2:6" x14ac:dyDescent="0.4">
      <c r="B335" s="604">
        <v>82.2</v>
      </c>
      <c r="C335" s="600">
        <v>8.3142897950000005</v>
      </c>
      <c r="D335" s="605">
        <v>0.99912000000000001</v>
      </c>
      <c r="F335" s="123"/>
    </row>
    <row r="336" spans="2:6" x14ac:dyDescent="0.4">
      <c r="B336" s="604">
        <v>82.3</v>
      </c>
      <c r="C336" s="600">
        <v>8.3141561139999993</v>
      </c>
      <c r="D336" s="605">
        <v>0.99912000000000001</v>
      </c>
      <c r="F336" s="123"/>
    </row>
    <row r="337" spans="2:6" x14ac:dyDescent="0.4">
      <c r="B337" s="604">
        <v>82.4</v>
      </c>
      <c r="C337" s="600">
        <v>8.3140224329999999</v>
      </c>
      <c r="D337" s="605">
        <v>0.99911000000000005</v>
      </c>
      <c r="F337" s="123"/>
    </row>
    <row r="338" spans="2:6" x14ac:dyDescent="0.4">
      <c r="B338" s="604">
        <v>82.5</v>
      </c>
      <c r="C338" s="600">
        <v>8.3138887520000004</v>
      </c>
      <c r="D338" s="605">
        <v>0.99911000000000005</v>
      </c>
      <c r="F338" s="123"/>
    </row>
    <row r="339" spans="2:6" x14ac:dyDescent="0.4">
      <c r="B339" s="604">
        <v>82.6</v>
      </c>
      <c r="C339" s="600">
        <v>8.3137550709999992</v>
      </c>
      <c r="D339" s="605">
        <v>0.99911000000000005</v>
      </c>
      <c r="F339" s="123"/>
    </row>
    <row r="340" spans="2:6" x14ac:dyDescent="0.4">
      <c r="B340" s="604">
        <v>82.7</v>
      </c>
      <c r="C340" s="600">
        <v>8.3136213899999998</v>
      </c>
      <c r="D340" s="605">
        <v>0.99909999999999999</v>
      </c>
      <c r="F340" s="123"/>
    </row>
    <row r="341" spans="2:6" x14ac:dyDescent="0.4">
      <c r="B341" s="604">
        <v>82.8</v>
      </c>
      <c r="C341" s="600">
        <v>8.3134877090000003</v>
      </c>
      <c r="D341" s="605">
        <v>0.99909999999999999</v>
      </c>
      <c r="F341" s="123"/>
    </row>
    <row r="342" spans="2:6" x14ac:dyDescent="0.4">
      <c r="B342" s="604">
        <v>82.9</v>
      </c>
      <c r="C342" s="600">
        <v>8.3133540279999991</v>
      </c>
      <c r="D342" s="605">
        <v>0.99909999999999999</v>
      </c>
      <c r="F342" s="123"/>
    </row>
    <row r="343" spans="2:6" x14ac:dyDescent="0.4">
      <c r="B343" s="604">
        <v>83</v>
      </c>
      <c r="C343" s="600">
        <v>8.3132203469999997</v>
      </c>
      <c r="D343" s="605">
        <v>0.99909000000000003</v>
      </c>
      <c r="F343" s="123"/>
    </row>
    <row r="344" spans="2:6" x14ac:dyDescent="0.4">
      <c r="B344" s="604">
        <v>83.1</v>
      </c>
      <c r="C344" s="600">
        <v>8.3130866660000002</v>
      </c>
      <c r="D344" s="605">
        <v>0.99909000000000003</v>
      </c>
      <c r="F344" s="123"/>
    </row>
    <row r="345" spans="2:6" x14ac:dyDescent="0.4">
      <c r="B345" s="604">
        <v>83.2</v>
      </c>
      <c r="C345" s="600">
        <v>8.3129529850000008</v>
      </c>
      <c r="D345" s="605">
        <v>0.99909000000000003</v>
      </c>
      <c r="F345" s="123"/>
    </row>
    <row r="346" spans="2:6" x14ac:dyDescent="0.4">
      <c r="B346" s="604">
        <v>83.3</v>
      </c>
      <c r="C346" s="600">
        <v>8.3128193039999996</v>
      </c>
      <c r="D346" s="605">
        <v>0.99907999999999997</v>
      </c>
      <c r="F346" s="123"/>
    </row>
    <row r="347" spans="2:6" x14ac:dyDescent="0.4">
      <c r="B347" s="604">
        <v>83.4</v>
      </c>
      <c r="C347" s="600">
        <v>8.3126856230000001</v>
      </c>
      <c r="D347" s="605">
        <v>0.99907999999999997</v>
      </c>
      <c r="F347" s="123"/>
    </row>
    <row r="348" spans="2:6" x14ac:dyDescent="0.4">
      <c r="B348" s="604">
        <v>83.5</v>
      </c>
      <c r="C348" s="600">
        <v>8.3125519420000007</v>
      </c>
      <c r="D348" s="605">
        <v>0.99907999999999997</v>
      </c>
      <c r="F348" s="123"/>
    </row>
    <row r="349" spans="2:6" x14ac:dyDescent="0.4">
      <c r="B349" s="604">
        <v>83.6</v>
      </c>
      <c r="C349" s="600">
        <v>8.3124182609999995</v>
      </c>
      <c r="D349" s="605">
        <v>0.99907000000000001</v>
      </c>
      <c r="F349" s="123"/>
    </row>
    <row r="350" spans="2:6" x14ac:dyDescent="0.4">
      <c r="B350" s="604">
        <v>83.7</v>
      </c>
      <c r="C350" s="600">
        <v>8.31228458</v>
      </c>
      <c r="D350" s="605">
        <v>0.99907000000000001</v>
      </c>
      <c r="F350" s="123"/>
    </row>
    <row r="351" spans="2:6" x14ac:dyDescent="0.4">
      <c r="B351" s="604">
        <v>83.8</v>
      </c>
      <c r="C351" s="600">
        <v>8.3121508990000006</v>
      </c>
      <c r="D351" s="605">
        <v>0.99907000000000001</v>
      </c>
      <c r="F351" s="123"/>
    </row>
    <row r="352" spans="2:6" x14ac:dyDescent="0.4">
      <c r="B352" s="604">
        <v>83.9</v>
      </c>
      <c r="C352" s="600">
        <v>8.3120172179999994</v>
      </c>
      <c r="D352" s="605">
        <v>0.99905999999999995</v>
      </c>
      <c r="F352" s="123"/>
    </row>
    <row r="353" spans="2:6" x14ac:dyDescent="0.4">
      <c r="B353" s="604">
        <v>84</v>
      </c>
      <c r="C353" s="600">
        <v>8.3118835369999999</v>
      </c>
      <c r="D353" s="605">
        <v>0.99905999999999995</v>
      </c>
      <c r="F353" s="123"/>
    </row>
    <row r="354" spans="2:6" x14ac:dyDescent="0.4">
      <c r="B354" s="604">
        <v>84.1</v>
      </c>
      <c r="C354" s="600">
        <v>8.3117498560000005</v>
      </c>
      <c r="D354" s="605">
        <v>0.99905999999999995</v>
      </c>
      <c r="F354" s="123"/>
    </row>
    <row r="355" spans="2:6" x14ac:dyDescent="0.4">
      <c r="B355" s="604">
        <v>84.2</v>
      </c>
      <c r="C355" s="600">
        <v>8.3116161749999993</v>
      </c>
      <c r="D355" s="605">
        <v>0.99904999999999999</v>
      </c>
      <c r="F355" s="123"/>
    </row>
    <row r="356" spans="2:6" x14ac:dyDescent="0.4">
      <c r="B356" s="604">
        <v>84.3</v>
      </c>
      <c r="C356" s="600">
        <v>8.3114824939999998</v>
      </c>
      <c r="D356" s="605">
        <v>0.99904999999999999</v>
      </c>
      <c r="F356" s="123"/>
    </row>
    <row r="357" spans="2:6" x14ac:dyDescent="0.4">
      <c r="B357" s="604">
        <v>84.4</v>
      </c>
      <c r="C357" s="600">
        <v>8.3113488130000004</v>
      </c>
      <c r="D357" s="605">
        <v>0.99904999999999999</v>
      </c>
      <c r="F357" s="123"/>
    </row>
    <row r="358" spans="2:6" x14ac:dyDescent="0.4">
      <c r="B358" s="604">
        <v>84.5</v>
      </c>
      <c r="C358" s="600">
        <v>8.3112151319999992</v>
      </c>
      <c r="D358" s="605">
        <v>0.99904000000000004</v>
      </c>
      <c r="F358" s="123"/>
    </row>
    <row r="359" spans="2:6" x14ac:dyDescent="0.4">
      <c r="B359" s="604">
        <v>84.6</v>
      </c>
      <c r="C359" s="600">
        <v>8.3110814509999997</v>
      </c>
      <c r="D359" s="605">
        <v>0.99904000000000004</v>
      </c>
      <c r="F359" s="123"/>
    </row>
    <row r="360" spans="2:6" x14ac:dyDescent="0.4">
      <c r="B360" s="604">
        <v>84.7</v>
      </c>
      <c r="C360" s="600">
        <v>8.3109477700000003</v>
      </c>
      <c r="D360" s="605">
        <v>0.99904000000000004</v>
      </c>
      <c r="F360" s="123"/>
    </row>
    <row r="361" spans="2:6" x14ac:dyDescent="0.4">
      <c r="B361" s="604">
        <v>84.8</v>
      </c>
      <c r="C361" s="600">
        <v>8.3108140889999991</v>
      </c>
      <c r="D361" s="605">
        <v>0.99902999999999997</v>
      </c>
      <c r="F361" s="123"/>
    </row>
    <row r="362" spans="2:6" x14ac:dyDescent="0.4">
      <c r="B362" s="604">
        <v>84.9</v>
      </c>
      <c r="C362" s="600">
        <v>8.3106804079999996</v>
      </c>
      <c r="D362" s="605">
        <v>0.99902999999999997</v>
      </c>
      <c r="F362" s="123"/>
    </row>
    <row r="363" spans="2:6" x14ac:dyDescent="0.4">
      <c r="B363" s="604">
        <v>85</v>
      </c>
      <c r="C363" s="600">
        <v>8.3105467270000002</v>
      </c>
      <c r="D363" s="605">
        <v>0.99902999999999997</v>
      </c>
      <c r="F363" s="123"/>
    </row>
    <row r="364" spans="2:6" x14ac:dyDescent="0.4">
      <c r="B364" s="604">
        <v>85.1</v>
      </c>
      <c r="C364" s="600">
        <v>8.310413045999999</v>
      </c>
      <c r="D364" s="605">
        <v>0.99902999999999997</v>
      </c>
      <c r="F364" s="123"/>
    </row>
    <row r="365" spans="2:6" x14ac:dyDescent="0.4">
      <c r="B365" s="604">
        <v>85.2</v>
      </c>
      <c r="C365" s="600">
        <v>8.3102793649999995</v>
      </c>
      <c r="D365" s="605">
        <v>0.99902000000000002</v>
      </c>
      <c r="F365" s="123"/>
    </row>
    <row r="366" spans="2:6" x14ac:dyDescent="0.4">
      <c r="B366" s="604">
        <v>85.3</v>
      </c>
      <c r="C366" s="600">
        <v>8.3101456840000001</v>
      </c>
      <c r="D366" s="605">
        <v>0.99902000000000002</v>
      </c>
      <c r="F366" s="123"/>
    </row>
    <row r="367" spans="2:6" x14ac:dyDescent="0.4">
      <c r="B367" s="604">
        <v>85.4</v>
      </c>
      <c r="C367" s="600">
        <v>8.3100120029999989</v>
      </c>
      <c r="D367" s="605">
        <v>0.99902000000000002</v>
      </c>
      <c r="F367" s="123"/>
    </row>
    <row r="368" spans="2:6" x14ac:dyDescent="0.4">
      <c r="B368" s="604">
        <v>85.5</v>
      </c>
      <c r="C368" s="600">
        <v>8.3098783219999994</v>
      </c>
      <c r="D368" s="605">
        <v>0.99900999999999995</v>
      </c>
      <c r="F368" s="123"/>
    </row>
    <row r="369" spans="2:6" x14ac:dyDescent="0.4">
      <c r="B369" s="604">
        <v>85.6</v>
      </c>
      <c r="C369" s="600">
        <v>8.309744641</v>
      </c>
      <c r="D369" s="605">
        <v>0.99900999999999995</v>
      </c>
      <c r="F369" s="123"/>
    </row>
    <row r="370" spans="2:6" x14ac:dyDescent="0.4">
      <c r="B370" s="604">
        <v>85.7</v>
      </c>
      <c r="C370" s="600">
        <v>8.3096109599999988</v>
      </c>
      <c r="D370" s="605">
        <v>0.99900999999999995</v>
      </c>
      <c r="F370" s="123"/>
    </row>
    <row r="371" spans="2:6" x14ac:dyDescent="0.4">
      <c r="B371" s="604">
        <v>85.8</v>
      </c>
      <c r="C371" s="600">
        <v>8.3093435979999999</v>
      </c>
      <c r="D371" s="605">
        <v>0.99900999999999995</v>
      </c>
      <c r="F371" s="123"/>
    </row>
    <row r="372" spans="2:6" x14ac:dyDescent="0.4">
      <c r="B372" s="604">
        <v>85.9</v>
      </c>
      <c r="C372" s="600">
        <v>8.3092099169999987</v>
      </c>
      <c r="D372" s="605">
        <v>0.999</v>
      </c>
      <c r="F372" s="123"/>
    </row>
    <row r="373" spans="2:6" x14ac:dyDescent="0.4">
      <c r="B373" s="604">
        <v>86</v>
      </c>
      <c r="C373" s="600">
        <v>8.3090762359999992</v>
      </c>
      <c r="D373" s="605">
        <v>0.999</v>
      </c>
      <c r="F373" s="123"/>
    </row>
    <row r="374" spans="2:6" x14ac:dyDescent="0.4">
      <c r="B374" s="604">
        <v>86.1</v>
      </c>
      <c r="C374" s="600">
        <v>8.3089425549999998</v>
      </c>
      <c r="D374" s="605">
        <v>0.999</v>
      </c>
      <c r="F374" s="123"/>
    </row>
    <row r="375" spans="2:6" x14ac:dyDescent="0.4">
      <c r="B375" s="604">
        <v>86.2</v>
      </c>
      <c r="C375" s="600">
        <v>8.3088088740000003</v>
      </c>
      <c r="D375" s="605">
        <v>0.999</v>
      </c>
      <c r="F375" s="123"/>
    </row>
    <row r="376" spans="2:6" x14ac:dyDescent="0.4">
      <c r="B376" s="604">
        <v>86.3</v>
      </c>
      <c r="C376" s="600">
        <v>8.3086751929999991</v>
      </c>
      <c r="D376" s="605">
        <v>0.99899000000000004</v>
      </c>
      <c r="F376" s="123"/>
    </row>
    <row r="377" spans="2:6" x14ac:dyDescent="0.4">
      <c r="B377" s="604">
        <v>86.4</v>
      </c>
      <c r="C377" s="600">
        <v>8.3085415119999997</v>
      </c>
      <c r="D377" s="605">
        <v>0.99899000000000004</v>
      </c>
      <c r="F377" s="123"/>
    </row>
    <row r="378" spans="2:6" x14ac:dyDescent="0.4">
      <c r="B378" s="604">
        <v>86.5</v>
      </c>
      <c r="C378" s="600">
        <v>8.3084078310000002</v>
      </c>
      <c r="D378" s="605">
        <v>0.99899000000000004</v>
      </c>
      <c r="F378" s="123"/>
    </row>
    <row r="379" spans="2:6" x14ac:dyDescent="0.4">
      <c r="B379" s="604">
        <v>86.6</v>
      </c>
      <c r="C379" s="600">
        <v>8.308274149999999</v>
      </c>
      <c r="D379" s="605">
        <v>0.99899000000000004</v>
      </c>
      <c r="F379" s="123"/>
    </row>
    <row r="380" spans="2:6" x14ac:dyDescent="0.4">
      <c r="B380" s="604">
        <v>86.7</v>
      </c>
      <c r="C380" s="600">
        <v>8.3081404689999996</v>
      </c>
      <c r="D380" s="605">
        <v>0.99897999999999998</v>
      </c>
      <c r="F380" s="123"/>
    </row>
    <row r="381" spans="2:6" x14ac:dyDescent="0.4">
      <c r="B381" s="604">
        <v>86.8</v>
      </c>
      <c r="C381" s="600">
        <v>8.3080067880000001</v>
      </c>
      <c r="D381" s="605">
        <v>0.99897999999999998</v>
      </c>
      <c r="F381" s="123"/>
    </row>
    <row r="382" spans="2:6" x14ac:dyDescent="0.4">
      <c r="B382" s="604">
        <v>86.9</v>
      </c>
      <c r="C382" s="600">
        <v>8.3078731069999989</v>
      </c>
      <c r="D382" s="605">
        <v>0.99897999999999998</v>
      </c>
      <c r="F382" s="123"/>
    </row>
    <row r="383" spans="2:6" x14ac:dyDescent="0.4">
      <c r="B383" s="604">
        <v>87</v>
      </c>
      <c r="C383" s="600">
        <v>8.3077394259999995</v>
      </c>
      <c r="D383" s="605">
        <v>0.99897999999999998</v>
      </c>
      <c r="F383" s="123"/>
    </row>
    <row r="384" spans="2:6" x14ac:dyDescent="0.4">
      <c r="B384" s="604">
        <v>87.1</v>
      </c>
      <c r="C384" s="600">
        <v>8.307605745</v>
      </c>
      <c r="D384" s="605">
        <v>0.99897000000000002</v>
      </c>
      <c r="F384" s="123"/>
    </row>
    <row r="385" spans="2:6" x14ac:dyDescent="0.4">
      <c r="B385" s="604">
        <v>87.2</v>
      </c>
      <c r="C385" s="600">
        <v>8.3074720639999988</v>
      </c>
      <c r="D385" s="605">
        <v>0.99897000000000002</v>
      </c>
      <c r="F385" s="123"/>
    </row>
    <row r="386" spans="2:6" x14ac:dyDescent="0.4">
      <c r="B386" s="604">
        <v>87.3</v>
      </c>
      <c r="C386" s="600">
        <v>8.3073383829999994</v>
      </c>
      <c r="D386" s="605">
        <v>0.99897000000000002</v>
      </c>
      <c r="F386" s="123"/>
    </row>
    <row r="387" spans="2:6" x14ac:dyDescent="0.4">
      <c r="B387" s="604">
        <v>87.4</v>
      </c>
      <c r="C387" s="600">
        <v>8.3072047019999999</v>
      </c>
      <c r="D387" s="605">
        <v>0.99897000000000002</v>
      </c>
      <c r="F387" s="123"/>
    </row>
    <row r="388" spans="2:6" x14ac:dyDescent="0.4">
      <c r="B388" s="604">
        <v>87.5</v>
      </c>
      <c r="C388" s="600">
        <v>8.3069373399999993</v>
      </c>
      <c r="D388" s="605">
        <v>0.99895999999999996</v>
      </c>
      <c r="F388" s="123"/>
    </row>
    <row r="389" spans="2:6" x14ac:dyDescent="0.4">
      <c r="B389" s="604">
        <v>87.6</v>
      </c>
      <c r="C389" s="600">
        <v>8.3068036589999998</v>
      </c>
      <c r="D389" s="605">
        <v>0.99895999999999996</v>
      </c>
      <c r="F389" s="123"/>
    </row>
    <row r="390" spans="2:6" x14ac:dyDescent="0.4">
      <c r="B390" s="604">
        <v>87.7</v>
      </c>
      <c r="C390" s="600">
        <v>8.3066699779999986</v>
      </c>
      <c r="D390" s="605">
        <v>0.99895999999999996</v>
      </c>
      <c r="F390" s="123"/>
    </row>
    <row r="391" spans="2:6" x14ac:dyDescent="0.4">
      <c r="B391" s="604">
        <v>87.8</v>
      </c>
      <c r="C391" s="600">
        <v>8.3065362969999992</v>
      </c>
      <c r="D391" s="605">
        <v>0.99895999999999996</v>
      </c>
      <c r="F391" s="123"/>
    </row>
    <row r="392" spans="2:6" x14ac:dyDescent="0.4">
      <c r="B392" s="604">
        <v>87.9</v>
      </c>
      <c r="C392" s="600">
        <v>8.3064026159999997</v>
      </c>
      <c r="D392" s="605">
        <v>0.99895999999999996</v>
      </c>
      <c r="F392" s="123"/>
    </row>
    <row r="393" spans="2:6" x14ac:dyDescent="0.4">
      <c r="B393" s="604">
        <v>88</v>
      </c>
      <c r="C393" s="600">
        <v>8.3062689349999985</v>
      </c>
      <c r="D393" s="605">
        <v>0.99895</v>
      </c>
      <c r="F393" s="123"/>
    </row>
    <row r="394" spans="2:6" x14ac:dyDescent="0.4">
      <c r="B394" s="604">
        <v>88.1</v>
      </c>
      <c r="C394" s="600">
        <v>8.3061352539999991</v>
      </c>
      <c r="D394" s="605">
        <v>0.99895</v>
      </c>
      <c r="F394" s="123"/>
    </row>
    <row r="395" spans="2:6" x14ac:dyDescent="0.4">
      <c r="B395" s="604">
        <v>88.2</v>
      </c>
      <c r="C395" s="600">
        <v>8.3060015729999996</v>
      </c>
      <c r="D395" s="605">
        <v>0.99895</v>
      </c>
      <c r="F395" s="123"/>
    </row>
    <row r="396" spans="2:6" x14ac:dyDescent="0.4">
      <c r="B396" s="604">
        <v>88.3</v>
      </c>
      <c r="C396" s="600">
        <v>8.3058678920000002</v>
      </c>
      <c r="D396" s="605">
        <v>0.99895</v>
      </c>
      <c r="F396" s="123"/>
    </row>
    <row r="397" spans="2:6" x14ac:dyDescent="0.4">
      <c r="B397" s="604">
        <v>88.4</v>
      </c>
      <c r="C397" s="600">
        <v>8.305734210999999</v>
      </c>
      <c r="D397" s="605">
        <v>0.99895</v>
      </c>
      <c r="F397" s="123"/>
    </row>
    <row r="398" spans="2:6" x14ac:dyDescent="0.4">
      <c r="B398" s="604">
        <v>88.5</v>
      </c>
      <c r="C398" s="600">
        <v>8.3056005299999995</v>
      </c>
      <c r="D398" s="605">
        <v>0.99894000000000005</v>
      </c>
      <c r="F398" s="123"/>
    </row>
    <row r="399" spans="2:6" x14ac:dyDescent="0.4">
      <c r="B399" s="604">
        <v>88.6</v>
      </c>
      <c r="C399" s="600">
        <v>8.3054668490000001</v>
      </c>
      <c r="D399" s="605">
        <v>0.99894000000000005</v>
      </c>
      <c r="F399" s="123"/>
    </row>
    <row r="400" spans="2:6" x14ac:dyDescent="0.4">
      <c r="B400" s="604">
        <v>88.7</v>
      </c>
      <c r="C400" s="600">
        <v>8.3051994869999994</v>
      </c>
      <c r="D400" s="605">
        <v>0.99894000000000005</v>
      </c>
      <c r="F400" s="123"/>
    </row>
    <row r="401" spans="2:6" x14ac:dyDescent="0.4">
      <c r="B401" s="604">
        <v>88.8</v>
      </c>
      <c r="C401" s="600">
        <v>8.305065806</v>
      </c>
      <c r="D401" s="605">
        <v>0.99894000000000005</v>
      </c>
      <c r="F401" s="123"/>
    </row>
    <row r="402" spans="2:6" x14ac:dyDescent="0.4">
      <c r="B402" s="604">
        <v>88.9</v>
      </c>
      <c r="C402" s="600">
        <v>8.3049321249999988</v>
      </c>
      <c r="D402" s="605">
        <v>0.99894000000000005</v>
      </c>
      <c r="F402" s="123"/>
    </row>
    <row r="403" spans="2:6" x14ac:dyDescent="0.4">
      <c r="B403" s="604">
        <v>89</v>
      </c>
      <c r="C403" s="600">
        <v>8.3047984439999993</v>
      </c>
      <c r="D403" s="605">
        <v>0.99892999999999998</v>
      </c>
      <c r="F403" s="123"/>
    </row>
    <row r="404" spans="2:6" x14ac:dyDescent="0.4">
      <c r="B404" s="604">
        <v>89.1</v>
      </c>
      <c r="C404" s="600">
        <v>8.3046647629999999</v>
      </c>
      <c r="D404" s="605">
        <v>0.99892999999999998</v>
      </c>
      <c r="F404" s="123"/>
    </row>
    <row r="405" spans="2:6" x14ac:dyDescent="0.4">
      <c r="B405" s="604">
        <v>89.2</v>
      </c>
      <c r="C405" s="600">
        <v>8.3045310820000005</v>
      </c>
      <c r="D405" s="605">
        <v>0.99892999999999998</v>
      </c>
      <c r="F405" s="123"/>
    </row>
    <row r="406" spans="2:6" x14ac:dyDescent="0.4">
      <c r="B406" s="604">
        <v>89.3</v>
      </c>
      <c r="C406" s="600">
        <v>8.3043974009999992</v>
      </c>
      <c r="D406" s="605">
        <v>0.99892999999999998</v>
      </c>
      <c r="F406" s="123"/>
    </row>
    <row r="407" spans="2:6" x14ac:dyDescent="0.4">
      <c r="B407" s="604">
        <v>89.4</v>
      </c>
      <c r="C407" s="600">
        <v>8.3042637199999998</v>
      </c>
      <c r="D407" s="605">
        <v>0.99892999999999998</v>
      </c>
      <c r="F407" s="123"/>
    </row>
    <row r="408" spans="2:6" x14ac:dyDescent="0.4">
      <c r="B408" s="604">
        <v>89.5</v>
      </c>
      <c r="C408" s="600">
        <v>8.3041300390000004</v>
      </c>
      <c r="D408" s="605">
        <v>0.99892999999999998</v>
      </c>
      <c r="F408" s="123"/>
    </row>
    <row r="409" spans="2:6" x14ac:dyDescent="0.4">
      <c r="B409" s="604">
        <v>89.6</v>
      </c>
      <c r="C409" s="600">
        <v>8.3039963579999991</v>
      </c>
      <c r="D409" s="605">
        <v>0.99892000000000003</v>
      </c>
      <c r="F409" s="123"/>
    </row>
    <row r="410" spans="2:6" x14ac:dyDescent="0.4">
      <c r="B410" s="604">
        <v>89.7</v>
      </c>
      <c r="C410" s="600">
        <v>8.3037289960000003</v>
      </c>
      <c r="D410" s="605">
        <v>0.99892000000000003</v>
      </c>
      <c r="F410" s="123"/>
    </row>
    <row r="411" spans="2:6" x14ac:dyDescent="0.4">
      <c r="B411" s="604">
        <v>89.8</v>
      </c>
      <c r="C411" s="600">
        <v>8.303595314999999</v>
      </c>
      <c r="D411" s="605">
        <v>0.99892000000000003</v>
      </c>
      <c r="F411" s="123"/>
    </row>
    <row r="412" spans="2:6" x14ac:dyDescent="0.4">
      <c r="B412" s="604">
        <v>89.9</v>
      </c>
      <c r="C412" s="600">
        <v>8.3034616339999996</v>
      </c>
      <c r="D412" s="605">
        <v>0.99892000000000003</v>
      </c>
      <c r="F412" s="123"/>
    </row>
    <row r="413" spans="2:6" x14ac:dyDescent="0.4">
      <c r="B413" s="604">
        <v>90</v>
      </c>
      <c r="C413" s="600">
        <v>8.3033279530000002</v>
      </c>
      <c r="D413" s="605">
        <v>0.99892000000000003</v>
      </c>
      <c r="F413" s="123"/>
    </row>
    <row r="414" spans="2:6" x14ac:dyDescent="0.4">
      <c r="B414" s="604">
        <v>90.1</v>
      </c>
      <c r="C414" s="600">
        <v>8.3031663216000009</v>
      </c>
      <c r="D414" s="605">
        <v>0.99892000000000003</v>
      </c>
      <c r="F414" s="123"/>
    </row>
    <row r="415" spans="2:6" x14ac:dyDescent="0.4">
      <c r="B415" s="604">
        <v>90.2</v>
      </c>
      <c r="C415" s="600">
        <v>8.3030326410500006</v>
      </c>
      <c r="D415" s="605">
        <v>0.99890999999999996</v>
      </c>
      <c r="F415" s="123"/>
    </row>
    <row r="416" spans="2:6" x14ac:dyDescent="0.4">
      <c r="B416" s="604">
        <v>90.3</v>
      </c>
      <c r="C416" s="600">
        <v>8.3028989605000003</v>
      </c>
      <c r="D416" s="605">
        <v>0.99890999999999996</v>
      </c>
      <c r="F416" s="123"/>
    </row>
    <row r="417" spans="2:6" x14ac:dyDescent="0.4">
      <c r="B417" s="604">
        <v>90.4</v>
      </c>
      <c r="C417" s="600">
        <v>8.30276527995</v>
      </c>
      <c r="D417" s="605">
        <v>0.99890999999999996</v>
      </c>
      <c r="F417" s="123"/>
    </row>
    <row r="418" spans="2:6" x14ac:dyDescent="0.4">
      <c r="B418" s="604">
        <v>90.5</v>
      </c>
      <c r="C418" s="600">
        <v>8.3026315993999997</v>
      </c>
      <c r="D418" s="605">
        <v>0.99890999999999996</v>
      </c>
      <c r="F418" s="123"/>
    </row>
    <row r="419" spans="2:6" x14ac:dyDescent="0.4">
      <c r="B419" s="604">
        <v>90.6</v>
      </c>
      <c r="C419" s="600">
        <v>8.3023642383000009</v>
      </c>
      <c r="D419" s="605">
        <v>0.99890999999999996</v>
      </c>
      <c r="F419" s="123"/>
    </row>
    <row r="420" spans="2:6" x14ac:dyDescent="0.4">
      <c r="B420" s="604">
        <v>90.7</v>
      </c>
      <c r="C420" s="600">
        <v>8.3022305577500006</v>
      </c>
      <c r="D420" s="605">
        <v>0.99890999999999996</v>
      </c>
      <c r="F420" s="123"/>
    </row>
    <row r="421" spans="2:6" x14ac:dyDescent="0.4">
      <c r="B421" s="604">
        <v>90.8</v>
      </c>
      <c r="C421" s="600">
        <v>8.3020968772000003</v>
      </c>
      <c r="D421" s="605">
        <v>0.99890999999999996</v>
      </c>
      <c r="F421" s="123"/>
    </row>
    <row r="422" spans="2:6" x14ac:dyDescent="0.4">
      <c r="B422" s="604">
        <v>90.9</v>
      </c>
      <c r="C422" s="600">
        <v>8.30196319665</v>
      </c>
      <c r="D422" s="605">
        <v>0.99890000000000001</v>
      </c>
      <c r="F422" s="123"/>
    </row>
    <row r="423" spans="2:6" x14ac:dyDescent="0.4">
      <c r="B423" s="604">
        <v>91</v>
      </c>
      <c r="C423" s="600">
        <v>8.3018295160999998</v>
      </c>
      <c r="D423" s="605">
        <v>0.99890000000000001</v>
      </c>
      <c r="F423" s="123"/>
    </row>
    <row r="424" spans="2:6" x14ac:dyDescent="0.4">
      <c r="B424" s="604">
        <v>91.1</v>
      </c>
      <c r="C424" s="600">
        <v>8.3016958355500012</v>
      </c>
      <c r="D424" s="605">
        <v>0.99890000000000001</v>
      </c>
      <c r="F424" s="123"/>
    </row>
    <row r="425" spans="2:6" x14ac:dyDescent="0.4">
      <c r="B425" s="604">
        <v>91.2</v>
      </c>
      <c r="C425" s="600">
        <v>8.3015621550000009</v>
      </c>
      <c r="D425" s="605">
        <v>0.99890000000000001</v>
      </c>
      <c r="F425" s="123"/>
    </row>
    <row r="426" spans="2:6" x14ac:dyDescent="0.4">
      <c r="B426" s="604">
        <v>91.3</v>
      </c>
      <c r="C426" s="600">
        <v>8.3014284744500006</v>
      </c>
      <c r="D426" s="605">
        <v>0.99890000000000001</v>
      </c>
      <c r="F426" s="123"/>
    </row>
    <row r="427" spans="2:6" x14ac:dyDescent="0.4">
      <c r="B427" s="604">
        <v>91.4</v>
      </c>
      <c r="C427" s="600">
        <v>8.3011611133500001</v>
      </c>
      <c r="D427" s="605">
        <v>0.99890000000000001</v>
      </c>
      <c r="F427" s="123"/>
    </row>
    <row r="428" spans="2:6" x14ac:dyDescent="0.4">
      <c r="B428" s="604">
        <v>91.5</v>
      </c>
      <c r="C428" s="600">
        <v>8.3010274327999998</v>
      </c>
      <c r="D428" s="605">
        <v>0.99890000000000001</v>
      </c>
      <c r="F428" s="123"/>
    </row>
    <row r="429" spans="2:6" x14ac:dyDescent="0.4">
      <c r="B429" s="604">
        <v>91.6</v>
      </c>
      <c r="C429" s="600">
        <v>8.3008937522500013</v>
      </c>
      <c r="D429" s="605">
        <v>0.99888999999999994</v>
      </c>
      <c r="F429" s="123"/>
    </row>
    <row r="430" spans="2:6" x14ac:dyDescent="0.4">
      <c r="B430" s="604">
        <v>91.7</v>
      </c>
      <c r="C430" s="600">
        <v>8.300760071700001</v>
      </c>
      <c r="D430" s="605">
        <v>0.99888999999999994</v>
      </c>
      <c r="F430" s="123"/>
    </row>
    <row r="431" spans="2:6" x14ac:dyDescent="0.4">
      <c r="B431" s="604">
        <v>91.8</v>
      </c>
      <c r="C431" s="600">
        <v>8.3006263911500007</v>
      </c>
      <c r="D431" s="605">
        <v>0.99888999999999994</v>
      </c>
      <c r="F431" s="123"/>
    </row>
    <row r="432" spans="2:6" x14ac:dyDescent="0.4">
      <c r="B432" s="604">
        <v>91.9</v>
      </c>
      <c r="C432" s="600">
        <v>8.3004927106000004</v>
      </c>
      <c r="D432" s="605">
        <v>0.99888999999999994</v>
      </c>
      <c r="F432" s="123"/>
    </row>
    <row r="433" spans="2:6" x14ac:dyDescent="0.4">
      <c r="B433" s="604">
        <v>92</v>
      </c>
      <c r="C433" s="600">
        <v>8.3003590300500001</v>
      </c>
      <c r="D433" s="605">
        <v>0.99888999999999994</v>
      </c>
      <c r="F433" s="123"/>
    </row>
    <row r="434" spans="2:6" x14ac:dyDescent="0.4">
      <c r="B434" s="604">
        <v>92.1</v>
      </c>
      <c r="C434" s="600">
        <v>8.3000916689499995</v>
      </c>
      <c r="D434" s="605">
        <v>0.99888999999999994</v>
      </c>
      <c r="F434" s="123"/>
    </row>
    <row r="435" spans="2:6" x14ac:dyDescent="0.4">
      <c r="B435" s="604">
        <v>92.2</v>
      </c>
      <c r="C435" s="600">
        <v>8.299957988400001</v>
      </c>
      <c r="D435" s="605">
        <v>0.99888999999999994</v>
      </c>
      <c r="F435" s="123"/>
    </row>
    <row r="436" spans="2:6" x14ac:dyDescent="0.4">
      <c r="B436" s="604">
        <v>92.3</v>
      </c>
      <c r="C436" s="600">
        <v>8.2998243078500007</v>
      </c>
      <c r="D436" s="605">
        <v>0.99888999999999994</v>
      </c>
      <c r="F436" s="123"/>
    </row>
    <row r="437" spans="2:6" x14ac:dyDescent="0.4">
      <c r="B437" s="604">
        <v>92.4</v>
      </c>
      <c r="C437" s="600">
        <v>8.2996906273000004</v>
      </c>
      <c r="D437" s="605">
        <v>0.99888999999999994</v>
      </c>
      <c r="F437" s="123"/>
    </row>
    <row r="438" spans="2:6" x14ac:dyDescent="0.4">
      <c r="B438" s="604">
        <v>92.5</v>
      </c>
      <c r="C438" s="600">
        <v>8.2995569467500001</v>
      </c>
      <c r="D438" s="605">
        <v>0.99887999999999999</v>
      </c>
      <c r="F438" s="123"/>
    </row>
    <row r="439" spans="2:6" x14ac:dyDescent="0.4">
      <c r="B439" s="604">
        <v>92.6</v>
      </c>
      <c r="C439" s="600">
        <v>8.2994232662000016</v>
      </c>
      <c r="D439" s="605">
        <v>0.99887999999999999</v>
      </c>
      <c r="F439" s="123"/>
    </row>
    <row r="440" spans="2:6" x14ac:dyDescent="0.4">
      <c r="B440" s="604">
        <v>92.7</v>
      </c>
      <c r="C440" s="600">
        <v>8.2992895856499995</v>
      </c>
      <c r="D440" s="605">
        <v>0.99887999999999999</v>
      </c>
      <c r="F440" s="123"/>
    </row>
    <row r="441" spans="2:6" x14ac:dyDescent="0.4">
      <c r="B441" s="604">
        <v>92.8</v>
      </c>
      <c r="C441" s="600">
        <v>8.2990222245500007</v>
      </c>
      <c r="D441" s="605">
        <v>0.99887999999999999</v>
      </c>
      <c r="F441" s="123"/>
    </row>
    <row r="442" spans="2:6" x14ac:dyDescent="0.4">
      <c r="B442" s="604">
        <v>92.9</v>
      </c>
      <c r="C442" s="600">
        <v>8.2988885440000004</v>
      </c>
      <c r="D442" s="605">
        <v>0.99887999999999999</v>
      </c>
      <c r="F442" s="123"/>
    </row>
    <row r="443" spans="2:6" x14ac:dyDescent="0.4">
      <c r="B443" s="604">
        <v>93</v>
      </c>
      <c r="C443" s="600">
        <v>8.2987548634500001</v>
      </c>
      <c r="D443" s="605">
        <v>0.99887999999999999</v>
      </c>
      <c r="F443" s="123"/>
    </row>
    <row r="444" spans="2:6" x14ac:dyDescent="0.4">
      <c r="B444" s="604">
        <v>93.1</v>
      </c>
      <c r="C444" s="600">
        <v>8.2986211829000016</v>
      </c>
      <c r="D444" s="605">
        <v>0.99887999999999999</v>
      </c>
      <c r="F444" s="123"/>
    </row>
    <row r="445" spans="2:6" x14ac:dyDescent="0.4">
      <c r="B445" s="604">
        <v>93.2</v>
      </c>
      <c r="C445" s="600">
        <v>8.2984875023499995</v>
      </c>
      <c r="D445" s="605">
        <v>0.99887999999999999</v>
      </c>
      <c r="F445" s="123"/>
    </row>
    <row r="446" spans="2:6" x14ac:dyDescent="0.4">
      <c r="B446" s="604">
        <v>93.3</v>
      </c>
      <c r="C446" s="600">
        <v>8.298353821800001</v>
      </c>
      <c r="D446" s="605">
        <v>0.99887999999999999</v>
      </c>
      <c r="F446" s="123"/>
    </row>
    <row r="447" spans="2:6" x14ac:dyDescent="0.4">
      <c r="B447" s="604">
        <v>93.4</v>
      </c>
      <c r="C447" s="600">
        <v>8.2980864607000004</v>
      </c>
      <c r="D447" s="605">
        <v>0.99887999999999999</v>
      </c>
      <c r="F447" s="123"/>
    </row>
    <row r="448" spans="2:6" x14ac:dyDescent="0.4">
      <c r="B448" s="604">
        <v>93.5</v>
      </c>
      <c r="C448" s="600">
        <v>8.2979527801500002</v>
      </c>
      <c r="D448" s="605">
        <v>0.99887999999999999</v>
      </c>
      <c r="F448" s="123"/>
    </row>
    <row r="449" spans="2:6" x14ac:dyDescent="0.4">
      <c r="B449" s="604">
        <v>93.6</v>
      </c>
      <c r="C449" s="600">
        <v>8.2978190996000016</v>
      </c>
      <c r="D449" s="605">
        <v>0.99887999999999999</v>
      </c>
      <c r="F449" s="123"/>
    </row>
    <row r="450" spans="2:6" x14ac:dyDescent="0.4">
      <c r="B450" s="604">
        <v>93.7</v>
      </c>
      <c r="C450" s="600">
        <v>8.2976854190499996</v>
      </c>
      <c r="D450" s="605">
        <v>0.99887000000000004</v>
      </c>
      <c r="F450" s="123"/>
    </row>
    <row r="451" spans="2:6" x14ac:dyDescent="0.4">
      <c r="B451" s="604">
        <v>93.8</v>
      </c>
      <c r="C451" s="600">
        <v>8.2975517385000011</v>
      </c>
      <c r="D451" s="605">
        <v>0.99887000000000004</v>
      </c>
      <c r="F451" s="123"/>
    </row>
    <row r="452" spans="2:6" x14ac:dyDescent="0.4">
      <c r="B452" s="604">
        <v>93.9</v>
      </c>
      <c r="C452" s="600">
        <v>8.2974180579500008</v>
      </c>
      <c r="D452" s="605">
        <v>0.99887000000000004</v>
      </c>
      <c r="F452" s="123"/>
    </row>
    <row r="453" spans="2:6" x14ac:dyDescent="0.4">
      <c r="B453" s="604">
        <v>94</v>
      </c>
      <c r="C453" s="600">
        <v>8.2971506968500002</v>
      </c>
      <c r="D453" s="605">
        <v>0.99887000000000004</v>
      </c>
      <c r="F453" s="123"/>
    </row>
    <row r="454" spans="2:6" x14ac:dyDescent="0.4">
      <c r="B454" s="604">
        <v>94.1</v>
      </c>
      <c r="C454" s="600">
        <v>8.2970170163000017</v>
      </c>
      <c r="D454" s="605">
        <v>0.99887000000000004</v>
      </c>
      <c r="F454" s="123"/>
    </row>
    <row r="455" spans="2:6" x14ac:dyDescent="0.4">
      <c r="B455" s="604">
        <v>94.2</v>
      </c>
      <c r="C455" s="600">
        <v>8.2968833357499996</v>
      </c>
      <c r="D455" s="605">
        <v>0.99887000000000004</v>
      </c>
      <c r="F455" s="123"/>
    </row>
    <row r="456" spans="2:6" x14ac:dyDescent="0.4">
      <c r="B456" s="604">
        <v>94.3</v>
      </c>
      <c r="C456" s="600">
        <v>8.2967496552000011</v>
      </c>
      <c r="D456" s="605">
        <v>0.99887000000000004</v>
      </c>
      <c r="F456" s="123"/>
    </row>
    <row r="457" spans="2:6" x14ac:dyDescent="0.4">
      <c r="B457" s="604">
        <v>94.4</v>
      </c>
      <c r="C457" s="600">
        <v>8.2966159746500008</v>
      </c>
      <c r="D457" s="605">
        <v>0.99887000000000004</v>
      </c>
      <c r="F457" s="123"/>
    </row>
    <row r="458" spans="2:6" x14ac:dyDescent="0.4">
      <c r="B458" s="604">
        <v>94.5</v>
      </c>
      <c r="C458" s="600">
        <v>8.2963486135500002</v>
      </c>
      <c r="D458" s="605">
        <v>0.99887000000000004</v>
      </c>
      <c r="F458" s="123"/>
    </row>
    <row r="459" spans="2:6" x14ac:dyDescent="0.4">
      <c r="B459" s="604">
        <v>94.6</v>
      </c>
      <c r="C459" s="600">
        <v>8.2962149330000017</v>
      </c>
      <c r="D459" s="605">
        <v>0.99887000000000004</v>
      </c>
      <c r="F459" s="123"/>
    </row>
    <row r="460" spans="2:6" x14ac:dyDescent="0.4">
      <c r="B460" s="604">
        <v>94.7</v>
      </c>
      <c r="C460" s="600">
        <v>8.2960812524499996</v>
      </c>
      <c r="D460" s="605">
        <v>0.99887000000000004</v>
      </c>
      <c r="F460" s="123"/>
    </row>
    <row r="461" spans="2:6" x14ac:dyDescent="0.4">
      <c r="B461" s="604">
        <v>94.8</v>
      </c>
      <c r="C461" s="600">
        <v>8.2959475719000011</v>
      </c>
      <c r="D461" s="605">
        <v>0.99887000000000004</v>
      </c>
      <c r="F461" s="123"/>
    </row>
    <row r="462" spans="2:6" x14ac:dyDescent="0.4">
      <c r="B462" s="604">
        <v>94.9</v>
      </c>
      <c r="C462" s="600">
        <v>8.2958138913500008</v>
      </c>
      <c r="D462" s="605">
        <v>0.99887000000000004</v>
      </c>
      <c r="F462" s="123"/>
    </row>
    <row r="463" spans="2:6" x14ac:dyDescent="0.4">
      <c r="B463" s="604">
        <v>95</v>
      </c>
      <c r="C463" s="600">
        <v>8.2955465302500002</v>
      </c>
      <c r="D463" s="605">
        <v>0.99887000000000004</v>
      </c>
      <c r="F463" s="123"/>
    </row>
    <row r="464" spans="2:6" x14ac:dyDescent="0.4">
      <c r="B464" s="604">
        <v>95.1</v>
      </c>
      <c r="C464" s="600">
        <v>8.2954128497000017</v>
      </c>
      <c r="D464" s="605">
        <v>0.99887000000000004</v>
      </c>
      <c r="F464" s="123"/>
    </row>
    <row r="465" spans="2:6" x14ac:dyDescent="0.4">
      <c r="B465" s="604">
        <v>95.2</v>
      </c>
      <c r="C465" s="600">
        <v>8.2952791691499996</v>
      </c>
      <c r="D465" s="605">
        <v>0.99887000000000004</v>
      </c>
      <c r="F465" s="123"/>
    </row>
    <row r="466" spans="2:6" x14ac:dyDescent="0.4">
      <c r="B466" s="604">
        <v>95.3</v>
      </c>
      <c r="C466" s="600">
        <v>8.2951454886000011</v>
      </c>
      <c r="D466" s="605">
        <v>0.99887000000000004</v>
      </c>
      <c r="F466" s="123"/>
    </row>
    <row r="467" spans="2:6" x14ac:dyDescent="0.4">
      <c r="B467" s="604">
        <v>95.4</v>
      </c>
      <c r="C467" s="600">
        <v>8.2950118080500008</v>
      </c>
      <c r="D467" s="605">
        <v>0.99887000000000004</v>
      </c>
      <c r="F467" s="123"/>
    </row>
    <row r="468" spans="2:6" x14ac:dyDescent="0.4">
      <c r="B468" s="604">
        <v>95.5</v>
      </c>
      <c r="C468" s="600">
        <v>8.2948781275000005</v>
      </c>
      <c r="D468" s="605">
        <v>0.99885999999999997</v>
      </c>
      <c r="F468" s="123"/>
    </row>
    <row r="469" spans="2:6" x14ac:dyDescent="0.4">
      <c r="B469" s="604">
        <v>95.6</v>
      </c>
      <c r="C469" s="600">
        <v>8.2946107663999999</v>
      </c>
      <c r="D469" s="605">
        <v>0.99885999999999997</v>
      </c>
      <c r="F469" s="123"/>
    </row>
    <row r="470" spans="2:6" x14ac:dyDescent="0.4">
      <c r="B470" s="604">
        <v>95.7</v>
      </c>
      <c r="C470" s="600">
        <v>8.2944770858499997</v>
      </c>
      <c r="D470" s="605">
        <v>0.99885999999999997</v>
      </c>
      <c r="F470" s="123"/>
    </row>
    <row r="471" spans="2:6" x14ac:dyDescent="0.4">
      <c r="B471" s="604">
        <v>95.8</v>
      </c>
      <c r="C471" s="600">
        <v>8.2943434053000011</v>
      </c>
      <c r="D471" s="605">
        <v>0.99885999999999997</v>
      </c>
      <c r="F471" s="123"/>
    </row>
    <row r="472" spans="2:6" x14ac:dyDescent="0.4">
      <c r="B472" s="604">
        <v>95.9</v>
      </c>
      <c r="C472" s="600">
        <v>8.2942097247500008</v>
      </c>
      <c r="D472" s="605">
        <v>0.99885999999999997</v>
      </c>
      <c r="F472" s="123"/>
    </row>
    <row r="473" spans="2:6" x14ac:dyDescent="0.4">
      <c r="B473" s="604">
        <v>96</v>
      </c>
      <c r="C473" s="600">
        <v>8.2939423636500003</v>
      </c>
      <c r="D473" s="605">
        <v>0.99885999999999997</v>
      </c>
      <c r="F473" s="123"/>
    </row>
    <row r="474" spans="2:6" x14ac:dyDescent="0.4">
      <c r="B474" s="604">
        <v>96.1</v>
      </c>
      <c r="C474" s="600">
        <v>8.2938086831</v>
      </c>
      <c r="D474" s="605">
        <v>0.99885999999999997</v>
      </c>
      <c r="F474" s="123"/>
    </row>
    <row r="475" spans="2:6" x14ac:dyDescent="0.4">
      <c r="B475" s="604">
        <v>96.2</v>
      </c>
      <c r="C475" s="600">
        <v>8.2936750025499997</v>
      </c>
      <c r="D475" s="605">
        <v>0.99885999999999997</v>
      </c>
      <c r="F475" s="123"/>
    </row>
    <row r="476" spans="2:6" x14ac:dyDescent="0.4">
      <c r="B476" s="604">
        <v>96.3</v>
      </c>
      <c r="C476" s="600">
        <v>8.2935413220000012</v>
      </c>
      <c r="D476" s="605">
        <v>0.99885999999999997</v>
      </c>
      <c r="F476" s="123"/>
    </row>
    <row r="477" spans="2:6" x14ac:dyDescent="0.4">
      <c r="B477" s="604">
        <v>96.4</v>
      </c>
      <c r="C477" s="600">
        <v>8.2934076414500009</v>
      </c>
      <c r="D477" s="605">
        <v>0.99885999999999997</v>
      </c>
      <c r="F477" s="123"/>
    </row>
    <row r="478" spans="2:6" x14ac:dyDescent="0.4">
      <c r="B478" s="604">
        <v>96.5</v>
      </c>
      <c r="C478" s="600">
        <v>8.2931402803500003</v>
      </c>
      <c r="D478" s="605">
        <v>0.99885999999999997</v>
      </c>
      <c r="F478" s="123"/>
    </row>
    <row r="479" spans="2:6" x14ac:dyDescent="0.4">
      <c r="B479" s="604">
        <v>96.6</v>
      </c>
      <c r="C479" s="600">
        <v>8.2930065998</v>
      </c>
      <c r="D479" s="605">
        <v>0.99885999999999997</v>
      </c>
      <c r="F479" s="123"/>
    </row>
    <row r="480" spans="2:6" x14ac:dyDescent="0.4">
      <c r="B480" s="604">
        <v>96.7</v>
      </c>
      <c r="C480" s="600">
        <v>8.2928729192499997</v>
      </c>
      <c r="D480" s="605">
        <v>0.99885999999999997</v>
      </c>
      <c r="F480" s="123"/>
    </row>
    <row r="481" spans="2:6" x14ac:dyDescent="0.4">
      <c r="B481" s="604">
        <v>96.8</v>
      </c>
      <c r="C481" s="600">
        <v>8.2927392387000012</v>
      </c>
      <c r="D481" s="605">
        <v>0.99885999999999997</v>
      </c>
      <c r="F481" s="123"/>
    </row>
    <row r="482" spans="2:6" x14ac:dyDescent="0.4">
      <c r="B482" s="604">
        <v>96.9</v>
      </c>
      <c r="C482" s="600">
        <v>8.2926055581500009</v>
      </c>
      <c r="D482" s="605">
        <v>0.99885999999999997</v>
      </c>
      <c r="F482" s="123"/>
    </row>
    <row r="483" spans="2:6" x14ac:dyDescent="0.4">
      <c r="B483" s="604">
        <v>97</v>
      </c>
      <c r="C483" s="600">
        <v>8.2923381970500003</v>
      </c>
      <c r="D483" s="605">
        <v>0.99885999999999997</v>
      </c>
      <c r="F483" s="123"/>
    </row>
    <row r="484" spans="2:6" x14ac:dyDescent="0.4">
      <c r="B484" s="604">
        <v>97.1</v>
      </c>
      <c r="C484" s="600">
        <v>8.2922045165</v>
      </c>
      <c r="D484" s="605">
        <v>0.99885999999999997</v>
      </c>
      <c r="F484" s="123"/>
    </row>
    <row r="485" spans="2:6" x14ac:dyDescent="0.4">
      <c r="B485" s="604">
        <v>97.2</v>
      </c>
      <c r="C485" s="600">
        <v>8.2920708359500015</v>
      </c>
      <c r="D485" s="605">
        <v>0.99885999999999997</v>
      </c>
      <c r="F485" s="123"/>
    </row>
    <row r="486" spans="2:6" x14ac:dyDescent="0.4">
      <c r="B486" s="604">
        <v>97.3</v>
      </c>
      <c r="C486" s="600">
        <v>8.2919371554000012</v>
      </c>
      <c r="D486" s="605">
        <v>0.99885999999999997</v>
      </c>
      <c r="F486" s="123"/>
    </row>
    <row r="487" spans="2:6" x14ac:dyDescent="0.4">
      <c r="B487" s="604">
        <v>97.4</v>
      </c>
      <c r="C487" s="600">
        <v>8.2916697943000006</v>
      </c>
      <c r="D487" s="605">
        <v>0.99885999999999997</v>
      </c>
      <c r="F487" s="123"/>
    </row>
    <row r="488" spans="2:6" x14ac:dyDescent="0.4">
      <c r="B488" s="604">
        <v>97.5</v>
      </c>
      <c r="C488" s="600">
        <v>8.2915361137500003</v>
      </c>
      <c r="D488" s="605">
        <v>0.99885999999999997</v>
      </c>
      <c r="F488" s="123"/>
    </row>
    <row r="489" spans="2:6" x14ac:dyDescent="0.4">
      <c r="B489" s="604">
        <v>97.6</v>
      </c>
      <c r="C489" s="600">
        <v>8.2914024332</v>
      </c>
      <c r="D489" s="605">
        <v>0.99885999999999997</v>
      </c>
      <c r="F489" s="123"/>
    </row>
    <row r="490" spans="2:6" x14ac:dyDescent="0.4">
      <c r="B490" s="604">
        <v>97.7</v>
      </c>
      <c r="C490" s="600">
        <v>8.2912687526500015</v>
      </c>
      <c r="D490" s="605">
        <v>0.99885999999999997</v>
      </c>
      <c r="F490" s="123"/>
    </row>
    <row r="491" spans="2:6" x14ac:dyDescent="0.4">
      <c r="B491" s="604">
        <v>97.8</v>
      </c>
      <c r="C491" s="600">
        <v>8.2910013915500009</v>
      </c>
      <c r="D491" s="605">
        <v>0.99885999999999997</v>
      </c>
      <c r="F491" s="123"/>
    </row>
    <row r="492" spans="2:6" x14ac:dyDescent="0.4">
      <c r="B492" s="604">
        <v>97.9</v>
      </c>
      <c r="C492" s="600">
        <v>8.2908677110000006</v>
      </c>
      <c r="D492" s="605">
        <v>0.99885999999999997</v>
      </c>
      <c r="F492" s="123"/>
    </row>
    <row r="493" spans="2:6" x14ac:dyDescent="0.4">
      <c r="B493" s="604">
        <v>98</v>
      </c>
      <c r="C493" s="600">
        <v>8.2907340304500003</v>
      </c>
      <c r="D493" s="605">
        <v>0.99885999999999997</v>
      </c>
      <c r="F493" s="123"/>
    </row>
    <row r="494" spans="2:6" x14ac:dyDescent="0.4">
      <c r="B494" s="604">
        <v>98.1</v>
      </c>
      <c r="C494" s="600">
        <v>8.2906003499000001</v>
      </c>
      <c r="D494" s="605">
        <v>0.99885999999999997</v>
      </c>
      <c r="F494" s="123"/>
    </row>
    <row r="495" spans="2:6" x14ac:dyDescent="0.4">
      <c r="B495" s="604">
        <v>98.2</v>
      </c>
      <c r="C495" s="600">
        <v>8.2904666693500015</v>
      </c>
      <c r="D495" s="605">
        <v>0.99885999999999997</v>
      </c>
      <c r="F495" s="123"/>
    </row>
    <row r="496" spans="2:6" x14ac:dyDescent="0.4">
      <c r="B496" s="604">
        <v>98.3</v>
      </c>
      <c r="C496" s="600">
        <v>8.290199308250001</v>
      </c>
      <c r="D496" s="605">
        <v>0.99885999999999997</v>
      </c>
      <c r="F496" s="123"/>
    </row>
    <row r="497" spans="2:6" x14ac:dyDescent="0.4">
      <c r="B497" s="604">
        <v>98.4</v>
      </c>
      <c r="C497" s="600">
        <v>8.2900656277000007</v>
      </c>
      <c r="D497" s="605">
        <v>0.99885999999999997</v>
      </c>
      <c r="F497" s="123"/>
    </row>
    <row r="498" spans="2:6" x14ac:dyDescent="0.4">
      <c r="B498" s="604">
        <v>98.5</v>
      </c>
      <c r="C498" s="600">
        <v>8.2899319471500004</v>
      </c>
      <c r="D498" s="605">
        <v>0.99885999999999997</v>
      </c>
      <c r="F498" s="123"/>
    </row>
    <row r="499" spans="2:6" x14ac:dyDescent="0.4">
      <c r="B499" s="604">
        <v>98.6</v>
      </c>
      <c r="C499" s="600">
        <v>8.2897982666000001</v>
      </c>
      <c r="D499" s="605">
        <v>0.99885999999999997</v>
      </c>
      <c r="F499" s="123"/>
    </row>
    <row r="500" spans="2:6" x14ac:dyDescent="0.4">
      <c r="B500" s="604">
        <v>98.7</v>
      </c>
      <c r="C500" s="600">
        <v>8.2895309054999995</v>
      </c>
      <c r="D500" s="605">
        <v>0.99885999999999997</v>
      </c>
      <c r="F500" s="123"/>
    </row>
    <row r="501" spans="2:6" x14ac:dyDescent="0.4">
      <c r="B501" s="604">
        <v>98.8</v>
      </c>
      <c r="C501" s="600">
        <v>8.289397224950001</v>
      </c>
      <c r="D501" s="605">
        <v>0.99885999999999997</v>
      </c>
      <c r="F501" s="123"/>
    </row>
    <row r="502" spans="2:6" x14ac:dyDescent="0.4">
      <c r="B502" s="604">
        <v>98.9</v>
      </c>
      <c r="C502" s="600">
        <v>8.2892635444000007</v>
      </c>
      <c r="D502" s="605">
        <v>0.99885999999999997</v>
      </c>
      <c r="F502" s="123"/>
    </row>
    <row r="503" spans="2:6" x14ac:dyDescent="0.4">
      <c r="B503" s="604">
        <v>99</v>
      </c>
      <c r="C503" s="600">
        <v>8.2891298638500004</v>
      </c>
      <c r="D503" s="605">
        <v>0.99885999999999997</v>
      </c>
      <c r="F503" s="123"/>
    </row>
    <row r="504" spans="2:6" x14ac:dyDescent="0.4">
      <c r="B504" s="604">
        <v>99.1</v>
      </c>
      <c r="C504" s="600">
        <v>8.2888625027500016</v>
      </c>
      <c r="D504" s="605">
        <v>0.99885999999999997</v>
      </c>
      <c r="F504" s="123"/>
    </row>
    <row r="505" spans="2:6" x14ac:dyDescent="0.4">
      <c r="B505" s="604">
        <v>99.2</v>
      </c>
      <c r="C505" s="600">
        <v>8.2887288221999995</v>
      </c>
      <c r="D505" s="605">
        <v>0.99887000000000004</v>
      </c>
      <c r="F505" s="123"/>
    </row>
    <row r="506" spans="2:6" x14ac:dyDescent="0.4">
      <c r="B506" s="604">
        <v>99.3</v>
      </c>
      <c r="C506" s="600">
        <v>8.288595141650001</v>
      </c>
      <c r="D506" s="605">
        <v>0.99887000000000004</v>
      </c>
      <c r="F506" s="123"/>
    </row>
    <row r="507" spans="2:6" x14ac:dyDescent="0.4">
      <c r="B507" s="604">
        <v>99.4</v>
      </c>
      <c r="C507" s="600">
        <v>8.2884614611000007</v>
      </c>
      <c r="D507" s="605">
        <v>0.99887000000000004</v>
      </c>
      <c r="F507" s="123"/>
    </row>
    <row r="508" spans="2:6" x14ac:dyDescent="0.4">
      <c r="B508" s="604">
        <v>99.5</v>
      </c>
      <c r="C508" s="600">
        <v>8.2881941000000001</v>
      </c>
      <c r="D508" s="605">
        <v>0.99887000000000004</v>
      </c>
      <c r="F508" s="123"/>
    </row>
    <row r="509" spans="2:6" x14ac:dyDescent="0.4">
      <c r="B509" s="604">
        <v>99.6</v>
      </c>
      <c r="C509" s="600">
        <v>8.2880604194500016</v>
      </c>
      <c r="D509" s="605">
        <v>0.99887000000000004</v>
      </c>
      <c r="F509" s="123"/>
    </row>
    <row r="510" spans="2:6" x14ac:dyDescent="0.4">
      <c r="B510" s="604">
        <v>99.7</v>
      </c>
      <c r="C510" s="600">
        <v>8.2879267388999995</v>
      </c>
      <c r="D510" s="605">
        <v>0.99887000000000004</v>
      </c>
      <c r="F510" s="123"/>
    </row>
    <row r="511" spans="2:6" x14ac:dyDescent="0.4">
      <c r="B511" s="604">
        <v>99.8</v>
      </c>
      <c r="C511" s="600">
        <v>8.2876593778000007</v>
      </c>
      <c r="D511" s="605">
        <v>0.99887000000000004</v>
      </c>
      <c r="F511" s="123"/>
    </row>
    <row r="512" spans="2:6" x14ac:dyDescent="0.4">
      <c r="B512" s="604">
        <v>99.9</v>
      </c>
      <c r="C512" s="600">
        <v>8.2875256972500004</v>
      </c>
      <c r="D512" s="605">
        <v>0.99887000000000004</v>
      </c>
      <c r="F512" s="123"/>
    </row>
    <row r="513" spans="2:6" x14ac:dyDescent="0.4">
      <c r="B513" s="604">
        <v>100</v>
      </c>
      <c r="C513" s="600">
        <v>8.2873920167000001</v>
      </c>
      <c r="D513" s="605">
        <v>0.99887000000000004</v>
      </c>
      <c r="F513" s="123"/>
    </row>
    <row r="514" spans="2:6" x14ac:dyDescent="0.4">
      <c r="B514" s="604">
        <v>100.1</v>
      </c>
      <c r="C514" s="600">
        <v>8.2872583361500016</v>
      </c>
      <c r="D514" s="605">
        <v>0.99887000000000004</v>
      </c>
      <c r="F514" s="123"/>
    </row>
    <row r="515" spans="2:6" x14ac:dyDescent="0.4">
      <c r="B515" s="604">
        <v>100.2</v>
      </c>
      <c r="C515" s="600">
        <v>8.286990975050001</v>
      </c>
      <c r="D515" s="605">
        <v>0.99887000000000004</v>
      </c>
      <c r="F515" s="123"/>
    </row>
    <row r="516" spans="2:6" x14ac:dyDescent="0.4">
      <c r="B516" s="604">
        <v>100.3</v>
      </c>
      <c r="C516" s="600">
        <v>8.2868572945000007</v>
      </c>
      <c r="D516" s="605">
        <v>0.99887000000000004</v>
      </c>
      <c r="F516" s="123"/>
    </row>
    <row r="517" spans="2:6" x14ac:dyDescent="0.4">
      <c r="B517" s="604">
        <v>100.4</v>
      </c>
      <c r="C517" s="600">
        <v>8.2867236139500005</v>
      </c>
      <c r="D517" s="605">
        <v>0.99887000000000004</v>
      </c>
      <c r="F517" s="123"/>
    </row>
    <row r="518" spans="2:6" x14ac:dyDescent="0.4">
      <c r="B518" s="604">
        <v>100.5</v>
      </c>
      <c r="C518" s="600">
        <v>8.2865899334000002</v>
      </c>
      <c r="D518" s="605">
        <v>0.99887000000000004</v>
      </c>
      <c r="F518" s="123"/>
    </row>
    <row r="519" spans="2:6" x14ac:dyDescent="0.4">
      <c r="B519" s="604">
        <v>100.6</v>
      </c>
      <c r="C519" s="600">
        <v>8.2863225722999996</v>
      </c>
      <c r="D519" s="605">
        <v>0.99887000000000004</v>
      </c>
      <c r="F519" s="123"/>
    </row>
    <row r="520" spans="2:6" x14ac:dyDescent="0.4">
      <c r="B520" s="604">
        <v>100.7</v>
      </c>
      <c r="C520" s="600">
        <v>8.2861888917500011</v>
      </c>
      <c r="D520" s="605">
        <v>0.99887000000000004</v>
      </c>
      <c r="F520" s="123"/>
    </row>
    <row r="521" spans="2:6" x14ac:dyDescent="0.4">
      <c r="B521" s="604">
        <v>100.8</v>
      </c>
      <c r="C521" s="600">
        <v>8.2860552112000008</v>
      </c>
      <c r="D521" s="605">
        <v>0.99887000000000004</v>
      </c>
      <c r="F521" s="123"/>
    </row>
    <row r="522" spans="2:6" x14ac:dyDescent="0.4">
      <c r="B522" s="604">
        <v>100.9</v>
      </c>
      <c r="C522" s="600">
        <v>8.2857878501000002</v>
      </c>
      <c r="D522" s="605">
        <v>0.99887000000000004</v>
      </c>
      <c r="F522" s="123"/>
    </row>
    <row r="523" spans="2:6" x14ac:dyDescent="0.4">
      <c r="B523" s="604">
        <v>101</v>
      </c>
      <c r="C523" s="600">
        <v>8.2856541695500017</v>
      </c>
      <c r="D523" s="605">
        <v>0.99887000000000004</v>
      </c>
      <c r="F523" s="123"/>
    </row>
    <row r="524" spans="2:6" x14ac:dyDescent="0.4">
      <c r="B524" s="604">
        <v>101.1</v>
      </c>
      <c r="C524" s="600">
        <v>8.2855204889999996</v>
      </c>
      <c r="D524" s="605">
        <v>0.99887999999999999</v>
      </c>
      <c r="F524" s="123"/>
    </row>
    <row r="525" spans="2:6" x14ac:dyDescent="0.4">
      <c r="B525" s="604">
        <v>101.2</v>
      </c>
      <c r="C525" s="600">
        <v>8.2853868084500011</v>
      </c>
      <c r="D525" s="605">
        <v>0.99887999999999999</v>
      </c>
      <c r="F525" s="123"/>
    </row>
    <row r="526" spans="2:6" x14ac:dyDescent="0.4">
      <c r="B526" s="604">
        <v>101.3</v>
      </c>
      <c r="C526" s="600">
        <v>8.2851194473500005</v>
      </c>
      <c r="D526" s="605">
        <v>0.99887999999999999</v>
      </c>
      <c r="F526" s="123"/>
    </row>
    <row r="527" spans="2:6" x14ac:dyDescent="0.4">
      <c r="B527" s="604">
        <v>101.4</v>
      </c>
      <c r="C527" s="600">
        <v>8.2849857668000002</v>
      </c>
      <c r="D527" s="605">
        <v>0.99887999999999999</v>
      </c>
      <c r="F527" s="123"/>
    </row>
    <row r="528" spans="2:6" x14ac:dyDescent="0.4">
      <c r="B528" s="604">
        <v>101.5</v>
      </c>
      <c r="C528" s="600">
        <v>8.2848520862499999</v>
      </c>
      <c r="D528" s="605">
        <v>0.99887999999999999</v>
      </c>
      <c r="F528" s="123"/>
    </row>
    <row r="529" spans="2:6" x14ac:dyDescent="0.4">
      <c r="B529" s="604">
        <v>101.6</v>
      </c>
      <c r="C529" s="600">
        <v>8.2845847251500011</v>
      </c>
      <c r="D529" s="605">
        <v>0.99887999999999999</v>
      </c>
      <c r="F529" s="123"/>
    </row>
    <row r="530" spans="2:6" x14ac:dyDescent="0.4">
      <c r="B530" s="604">
        <v>101.7</v>
      </c>
      <c r="C530" s="600">
        <v>8.2844510446000008</v>
      </c>
      <c r="D530" s="605">
        <v>0.99887999999999999</v>
      </c>
      <c r="F530" s="123"/>
    </row>
    <row r="531" spans="2:6" x14ac:dyDescent="0.4">
      <c r="B531" s="604">
        <v>101.8</v>
      </c>
      <c r="C531" s="600">
        <v>8.2843173640500005</v>
      </c>
      <c r="D531" s="605">
        <v>0.99887999999999999</v>
      </c>
      <c r="F531" s="123"/>
    </row>
    <row r="532" spans="2:6" x14ac:dyDescent="0.4">
      <c r="B532" s="604">
        <v>101.9</v>
      </c>
      <c r="C532" s="600">
        <v>8.2841836835000002</v>
      </c>
      <c r="D532" s="605">
        <v>0.99887999999999999</v>
      </c>
      <c r="F532" s="123"/>
    </row>
    <row r="533" spans="2:6" x14ac:dyDescent="0.4">
      <c r="B533" s="604">
        <v>102</v>
      </c>
      <c r="C533" s="600">
        <v>8.2839163224000014</v>
      </c>
      <c r="D533" s="605">
        <v>0.99887999999999999</v>
      </c>
      <c r="F533" s="123"/>
    </row>
    <row r="534" spans="2:6" x14ac:dyDescent="0.4">
      <c r="B534" s="604">
        <v>102.1</v>
      </c>
      <c r="C534" s="600">
        <v>8.2837826418500011</v>
      </c>
      <c r="D534" s="605">
        <v>0.99887999999999999</v>
      </c>
      <c r="F534" s="123"/>
    </row>
    <row r="535" spans="2:6" x14ac:dyDescent="0.4">
      <c r="B535" s="604">
        <v>102.2</v>
      </c>
      <c r="C535" s="600">
        <v>8.2836489613000008</v>
      </c>
      <c r="D535" s="605">
        <v>0.99887999999999999</v>
      </c>
      <c r="F535" s="123"/>
    </row>
    <row r="536" spans="2:6" x14ac:dyDescent="0.4">
      <c r="B536" s="604">
        <v>102.3</v>
      </c>
      <c r="C536" s="600">
        <v>8.2833816002000002</v>
      </c>
      <c r="D536" s="605">
        <v>0.99888999999999994</v>
      </c>
      <c r="F536" s="123"/>
    </row>
    <row r="537" spans="2:6" x14ac:dyDescent="0.4">
      <c r="B537" s="604">
        <v>102.4</v>
      </c>
      <c r="C537" s="600">
        <v>8.28324791965</v>
      </c>
      <c r="D537" s="605">
        <v>0.99888999999999994</v>
      </c>
      <c r="F537" s="123"/>
    </row>
    <row r="538" spans="2:6" x14ac:dyDescent="0.4">
      <c r="B538" s="604">
        <v>102.5</v>
      </c>
      <c r="C538" s="600">
        <v>8.2831142391000014</v>
      </c>
      <c r="D538" s="605">
        <v>0.99888999999999994</v>
      </c>
      <c r="F538" s="123"/>
    </row>
    <row r="539" spans="2:6" x14ac:dyDescent="0.4">
      <c r="B539" s="604">
        <v>102.6</v>
      </c>
      <c r="C539" s="600">
        <v>8.2828468780000009</v>
      </c>
      <c r="D539" s="605">
        <v>0.99888999999999994</v>
      </c>
      <c r="F539" s="123"/>
    </row>
    <row r="540" spans="2:6" x14ac:dyDescent="0.4">
      <c r="B540" s="604">
        <v>102.7</v>
      </c>
      <c r="C540" s="600">
        <v>8.2827131974500006</v>
      </c>
      <c r="D540" s="605">
        <v>0.99888999999999994</v>
      </c>
      <c r="F540" s="123"/>
    </row>
    <row r="541" spans="2:6" x14ac:dyDescent="0.4">
      <c r="B541" s="604">
        <v>102.8</v>
      </c>
      <c r="C541" s="600">
        <v>8.2825795169000003</v>
      </c>
      <c r="D541" s="605">
        <v>0.99888999999999994</v>
      </c>
      <c r="F541" s="123"/>
    </row>
    <row r="542" spans="2:6" x14ac:dyDescent="0.4">
      <c r="B542" s="604">
        <v>102.9</v>
      </c>
      <c r="C542" s="600">
        <v>8.28244583635</v>
      </c>
      <c r="D542" s="605">
        <v>0.99888999999999994</v>
      </c>
      <c r="F542" s="123"/>
    </row>
    <row r="543" spans="2:6" x14ac:dyDescent="0.4">
      <c r="B543" s="604">
        <v>103</v>
      </c>
      <c r="C543" s="600">
        <v>8.2821784752500012</v>
      </c>
      <c r="D543" s="605">
        <v>0.99888999999999994</v>
      </c>
      <c r="F543" s="123"/>
    </row>
    <row r="544" spans="2:6" x14ac:dyDescent="0.4">
      <c r="B544" s="604">
        <v>103.1</v>
      </c>
      <c r="C544" s="600">
        <v>8.2820447947000009</v>
      </c>
      <c r="D544" s="605">
        <v>0.99888999999999994</v>
      </c>
      <c r="F544" s="123"/>
    </row>
    <row r="545" spans="2:6" x14ac:dyDescent="0.4">
      <c r="B545" s="604">
        <v>103.2</v>
      </c>
      <c r="C545" s="600">
        <v>8.2819111141500006</v>
      </c>
      <c r="D545" s="605">
        <v>0.99888999999999994</v>
      </c>
      <c r="F545" s="123"/>
    </row>
    <row r="546" spans="2:6" x14ac:dyDescent="0.4">
      <c r="B546" s="604">
        <v>103.3</v>
      </c>
      <c r="C546" s="600">
        <v>8.28164375305</v>
      </c>
      <c r="D546" s="605">
        <v>0.99890000000000001</v>
      </c>
      <c r="F546" s="123"/>
    </row>
    <row r="547" spans="2:6" x14ac:dyDescent="0.4">
      <c r="B547" s="604">
        <v>103.4</v>
      </c>
      <c r="C547" s="600">
        <v>8.2815100725000015</v>
      </c>
      <c r="D547" s="605">
        <v>0.99890000000000001</v>
      </c>
      <c r="F547" s="123"/>
    </row>
    <row r="548" spans="2:6" x14ac:dyDescent="0.4">
      <c r="B548" s="604">
        <v>103.5</v>
      </c>
      <c r="C548" s="600">
        <v>8.2813763919500012</v>
      </c>
      <c r="D548" s="605">
        <v>0.99890000000000001</v>
      </c>
      <c r="F548" s="123"/>
    </row>
    <row r="549" spans="2:6" x14ac:dyDescent="0.4">
      <c r="B549" s="604">
        <v>103.6</v>
      </c>
      <c r="C549" s="600">
        <v>8.2811090308500006</v>
      </c>
      <c r="D549" s="605">
        <v>0.99890000000000001</v>
      </c>
      <c r="F549" s="123"/>
    </row>
    <row r="550" spans="2:6" x14ac:dyDescent="0.4">
      <c r="B550" s="604">
        <v>103.7</v>
      </c>
      <c r="C550" s="600">
        <v>8.2809753503000003</v>
      </c>
      <c r="D550" s="605">
        <v>0.99890000000000001</v>
      </c>
      <c r="F550" s="123"/>
    </row>
    <row r="551" spans="2:6" x14ac:dyDescent="0.4">
      <c r="B551" s="604">
        <v>103.8</v>
      </c>
      <c r="C551" s="600">
        <v>8.28084166975</v>
      </c>
      <c r="D551" s="605">
        <v>0.99890000000000001</v>
      </c>
      <c r="F551" s="123"/>
    </row>
    <row r="552" spans="2:6" x14ac:dyDescent="0.4">
      <c r="B552" s="604">
        <v>103.9</v>
      </c>
      <c r="C552" s="600">
        <v>8.2805743086499994</v>
      </c>
      <c r="D552" s="605">
        <v>0.99890000000000001</v>
      </c>
      <c r="F552" s="123"/>
    </row>
    <row r="553" spans="2:6" x14ac:dyDescent="0.4">
      <c r="B553" s="604">
        <v>104</v>
      </c>
      <c r="C553" s="600">
        <v>8.2804406281000009</v>
      </c>
      <c r="D553" s="605">
        <v>0.99890000000000001</v>
      </c>
      <c r="F553" s="123"/>
    </row>
    <row r="554" spans="2:6" x14ac:dyDescent="0.4">
      <c r="B554" s="604">
        <v>104.1</v>
      </c>
      <c r="C554" s="600">
        <v>8.2803069475500006</v>
      </c>
      <c r="D554" s="605">
        <v>0.99890999999999996</v>
      </c>
      <c r="F554" s="123"/>
    </row>
    <row r="555" spans="2:6" x14ac:dyDescent="0.4">
      <c r="B555" s="604">
        <v>104.2</v>
      </c>
      <c r="C555" s="600">
        <v>8.28003958645</v>
      </c>
      <c r="D555" s="605">
        <v>0.99890999999999996</v>
      </c>
      <c r="F555" s="123"/>
    </row>
    <row r="556" spans="2:6" x14ac:dyDescent="0.4">
      <c r="B556" s="604">
        <v>104.3</v>
      </c>
      <c r="C556" s="600">
        <v>8.2799059059000015</v>
      </c>
      <c r="D556" s="605">
        <v>0.99890999999999996</v>
      </c>
      <c r="F556" s="123"/>
    </row>
    <row r="557" spans="2:6" x14ac:dyDescent="0.4">
      <c r="B557" s="604">
        <v>104.4</v>
      </c>
      <c r="C557" s="600">
        <v>8.2797722253499995</v>
      </c>
      <c r="D557" s="605">
        <v>0.99890999999999996</v>
      </c>
      <c r="F557" s="123"/>
    </row>
    <row r="558" spans="2:6" x14ac:dyDescent="0.4">
      <c r="B558" s="604">
        <v>104.5</v>
      </c>
      <c r="C558" s="600">
        <v>8.2795048642500007</v>
      </c>
      <c r="D558" s="605">
        <v>0.99890999999999996</v>
      </c>
      <c r="F558" s="123"/>
    </row>
    <row r="559" spans="2:6" x14ac:dyDescent="0.4">
      <c r="B559" s="604">
        <v>104.6</v>
      </c>
      <c r="C559" s="600">
        <v>8.2793711837000004</v>
      </c>
      <c r="D559" s="605">
        <v>0.99890999999999996</v>
      </c>
      <c r="F559" s="123"/>
    </row>
    <row r="560" spans="2:6" x14ac:dyDescent="0.4">
      <c r="B560" s="604">
        <v>104.7</v>
      </c>
      <c r="C560" s="600">
        <v>8.2792375031500001</v>
      </c>
      <c r="D560" s="605">
        <v>0.99890999999999996</v>
      </c>
      <c r="F560" s="123"/>
    </row>
    <row r="561" spans="2:6" x14ac:dyDescent="0.4">
      <c r="B561" s="604">
        <v>104.8</v>
      </c>
      <c r="C561" s="600">
        <v>8.2789701420499995</v>
      </c>
      <c r="D561" s="605">
        <v>0.99890999999999996</v>
      </c>
      <c r="F561" s="123"/>
    </row>
    <row r="562" spans="2:6" x14ac:dyDescent="0.4">
      <c r="B562" s="604">
        <v>104.9</v>
      </c>
      <c r="C562" s="600">
        <v>8.278836461500001</v>
      </c>
      <c r="D562" s="605">
        <v>0.99892000000000003</v>
      </c>
      <c r="F562" s="123"/>
    </row>
    <row r="563" spans="2:6" x14ac:dyDescent="0.4">
      <c r="B563" s="604">
        <v>105</v>
      </c>
      <c r="C563" s="600">
        <v>8.2787027809500007</v>
      </c>
      <c r="D563" s="605">
        <v>0.99892000000000003</v>
      </c>
      <c r="F563" s="123"/>
    </row>
    <row r="564" spans="2:6" x14ac:dyDescent="0.4">
      <c r="B564" s="604">
        <v>105.1</v>
      </c>
      <c r="C564" s="600">
        <v>8.2784354198500001</v>
      </c>
      <c r="D564" s="605">
        <v>0.99892000000000003</v>
      </c>
      <c r="F564" s="123"/>
    </row>
    <row r="565" spans="2:6" x14ac:dyDescent="0.4">
      <c r="B565" s="604">
        <v>105.2</v>
      </c>
      <c r="C565" s="600">
        <v>8.2783017393000016</v>
      </c>
      <c r="D565" s="605">
        <v>0.99892000000000003</v>
      </c>
      <c r="F565" s="123"/>
    </row>
    <row r="566" spans="2:6" x14ac:dyDescent="0.4">
      <c r="B566" s="604">
        <v>105.3</v>
      </c>
      <c r="C566" s="600">
        <v>8.2781680587499995</v>
      </c>
      <c r="D566" s="605">
        <v>0.99892000000000003</v>
      </c>
      <c r="F566" s="123"/>
    </row>
    <row r="567" spans="2:6" x14ac:dyDescent="0.4">
      <c r="B567" s="604">
        <v>105.4</v>
      </c>
      <c r="C567" s="600">
        <v>8.2779006976500007</v>
      </c>
      <c r="D567" s="605">
        <v>0.99892000000000003</v>
      </c>
      <c r="F567" s="123"/>
    </row>
    <row r="568" spans="2:6" x14ac:dyDescent="0.4">
      <c r="B568" s="604">
        <v>105.5</v>
      </c>
      <c r="C568" s="600">
        <v>8.2777670171000004</v>
      </c>
      <c r="D568" s="605">
        <v>0.99892000000000003</v>
      </c>
      <c r="F568" s="123"/>
    </row>
    <row r="569" spans="2:6" x14ac:dyDescent="0.4">
      <c r="B569" s="604">
        <v>105.6</v>
      </c>
      <c r="C569" s="600">
        <v>8.2776333365500001</v>
      </c>
      <c r="D569" s="605">
        <v>0.99892999999999998</v>
      </c>
      <c r="F569" s="123"/>
    </row>
    <row r="570" spans="2:6" x14ac:dyDescent="0.4">
      <c r="B570" s="604">
        <v>105.7</v>
      </c>
      <c r="C570" s="600">
        <v>8.2773659754499995</v>
      </c>
      <c r="D570" s="605">
        <v>0.99892999999999998</v>
      </c>
      <c r="F570" s="123"/>
    </row>
    <row r="571" spans="2:6" x14ac:dyDescent="0.4">
      <c r="B571" s="604">
        <v>105.8</v>
      </c>
      <c r="C571" s="600">
        <v>8.277232294900001</v>
      </c>
      <c r="D571" s="605">
        <v>0.99892999999999998</v>
      </c>
      <c r="F571" s="123"/>
    </row>
    <row r="572" spans="2:6" x14ac:dyDescent="0.4">
      <c r="B572" s="604">
        <v>105.9</v>
      </c>
      <c r="C572" s="600">
        <v>8.2770986143500007</v>
      </c>
      <c r="D572" s="605">
        <v>0.99892999999999998</v>
      </c>
      <c r="F572" s="123"/>
    </row>
    <row r="573" spans="2:6" x14ac:dyDescent="0.4">
      <c r="B573" s="604">
        <v>106</v>
      </c>
      <c r="C573" s="600">
        <v>8.2768312532500001</v>
      </c>
      <c r="D573" s="605">
        <v>0.99892999999999998</v>
      </c>
      <c r="F573" s="123"/>
    </row>
    <row r="574" spans="2:6" x14ac:dyDescent="0.4">
      <c r="B574" s="604">
        <v>106.1</v>
      </c>
      <c r="C574" s="600">
        <v>8.2766975727000016</v>
      </c>
      <c r="D574" s="605">
        <v>0.99892999999999998</v>
      </c>
      <c r="F574" s="123"/>
    </row>
    <row r="575" spans="2:6" x14ac:dyDescent="0.4">
      <c r="B575" s="604">
        <v>106.2</v>
      </c>
      <c r="C575" s="600">
        <v>8.2765638921499995</v>
      </c>
      <c r="D575" s="605">
        <v>0.99894000000000005</v>
      </c>
      <c r="F575" s="123"/>
    </row>
    <row r="576" spans="2:6" x14ac:dyDescent="0.4">
      <c r="B576" s="604">
        <v>106.3</v>
      </c>
      <c r="C576" s="600">
        <v>8.2762965310500007</v>
      </c>
      <c r="D576" s="605">
        <v>0.99894000000000005</v>
      </c>
      <c r="F576" s="123"/>
    </row>
    <row r="577" spans="2:6" x14ac:dyDescent="0.4">
      <c r="B577" s="604">
        <v>106.4</v>
      </c>
      <c r="C577" s="600">
        <v>8.2761628505000004</v>
      </c>
      <c r="D577" s="605">
        <v>0.99894000000000005</v>
      </c>
      <c r="F577" s="123"/>
    </row>
    <row r="578" spans="2:6" x14ac:dyDescent="0.4">
      <c r="B578" s="604">
        <v>106.5</v>
      </c>
      <c r="C578" s="600">
        <v>8.2758954893999999</v>
      </c>
      <c r="D578" s="605">
        <v>0.99894000000000005</v>
      </c>
      <c r="F578" s="123"/>
    </row>
    <row r="579" spans="2:6" x14ac:dyDescent="0.4">
      <c r="B579" s="604">
        <v>106.6</v>
      </c>
      <c r="C579" s="600">
        <v>8.2757618088499996</v>
      </c>
      <c r="D579" s="605">
        <v>0.99894000000000005</v>
      </c>
      <c r="F579" s="123"/>
    </row>
    <row r="580" spans="2:6" x14ac:dyDescent="0.4">
      <c r="B580" s="604">
        <v>106.7</v>
      </c>
      <c r="C580" s="600">
        <v>8.2756281283000011</v>
      </c>
      <c r="D580" s="605">
        <v>0.99894000000000005</v>
      </c>
      <c r="F580" s="123"/>
    </row>
    <row r="581" spans="2:6" x14ac:dyDescent="0.4">
      <c r="B581" s="604">
        <v>106.8</v>
      </c>
      <c r="C581" s="600">
        <v>8.2753607672000005</v>
      </c>
      <c r="D581" s="605">
        <v>0.99894000000000005</v>
      </c>
      <c r="F581" s="123"/>
    </row>
    <row r="582" spans="2:6" x14ac:dyDescent="0.4">
      <c r="B582" s="604">
        <v>106.9</v>
      </c>
      <c r="C582" s="600">
        <v>8.2752270866500002</v>
      </c>
      <c r="D582" s="605">
        <v>0.99895</v>
      </c>
      <c r="F582" s="123"/>
    </row>
    <row r="583" spans="2:6" x14ac:dyDescent="0.4">
      <c r="B583" s="604">
        <v>107</v>
      </c>
      <c r="C583" s="600">
        <v>8.2750934060999999</v>
      </c>
      <c r="D583" s="605">
        <v>0.99895</v>
      </c>
      <c r="F583" s="123"/>
    </row>
    <row r="584" spans="2:6" x14ac:dyDescent="0.4">
      <c r="B584" s="604">
        <v>107.1</v>
      </c>
      <c r="C584" s="600">
        <v>8.2748260450000011</v>
      </c>
      <c r="D584" s="605">
        <v>0.99895</v>
      </c>
      <c r="F584" s="123"/>
    </row>
    <row r="585" spans="2:6" x14ac:dyDescent="0.4">
      <c r="B585" s="604">
        <v>107.2</v>
      </c>
      <c r="C585" s="600">
        <v>8.2746923644500008</v>
      </c>
      <c r="D585" s="605">
        <v>0.99895</v>
      </c>
      <c r="F585" s="123"/>
    </row>
    <row r="586" spans="2:6" x14ac:dyDescent="0.4">
      <c r="B586" s="604">
        <v>107.3</v>
      </c>
      <c r="C586" s="600">
        <v>8.2745586839000005</v>
      </c>
      <c r="D586" s="605">
        <v>0.99895</v>
      </c>
      <c r="F586" s="123"/>
    </row>
    <row r="587" spans="2:6" x14ac:dyDescent="0.4">
      <c r="B587" s="604">
        <v>107.4</v>
      </c>
      <c r="C587" s="600">
        <v>8.2742913227999999</v>
      </c>
      <c r="D587" s="605">
        <v>0.99895999999999996</v>
      </c>
      <c r="F587" s="123"/>
    </row>
    <row r="588" spans="2:6" x14ac:dyDescent="0.4">
      <c r="B588" s="604">
        <v>107.5</v>
      </c>
      <c r="C588" s="600">
        <v>8.2741576422500014</v>
      </c>
      <c r="D588" s="605">
        <v>0.99895999999999996</v>
      </c>
      <c r="F588" s="123"/>
    </row>
    <row r="589" spans="2:6" x14ac:dyDescent="0.4">
      <c r="B589" s="604">
        <v>107.6</v>
      </c>
      <c r="C589" s="600">
        <v>8.2738902811500008</v>
      </c>
      <c r="D589" s="605">
        <v>0.99895999999999996</v>
      </c>
      <c r="F589" s="123"/>
    </row>
    <row r="590" spans="2:6" x14ac:dyDescent="0.4">
      <c r="B590" s="604">
        <v>107.7</v>
      </c>
      <c r="C590" s="600">
        <v>8.2737566006000005</v>
      </c>
      <c r="D590" s="605">
        <v>0.99895999999999996</v>
      </c>
      <c r="F590" s="123"/>
    </row>
    <row r="591" spans="2:6" x14ac:dyDescent="0.4">
      <c r="B591" s="604">
        <v>107.8</v>
      </c>
      <c r="C591" s="600">
        <v>8.2736229200500002</v>
      </c>
      <c r="D591" s="605">
        <v>0.99895999999999996</v>
      </c>
      <c r="F591" s="123"/>
    </row>
    <row r="592" spans="2:6" x14ac:dyDescent="0.4">
      <c r="B592" s="604">
        <v>107.9</v>
      </c>
      <c r="C592" s="600">
        <v>8.2733555589500014</v>
      </c>
      <c r="D592" s="605">
        <v>0.99895999999999996</v>
      </c>
      <c r="F592" s="123"/>
    </row>
    <row r="593" spans="2:6" x14ac:dyDescent="0.4">
      <c r="B593" s="604">
        <v>108</v>
      </c>
      <c r="C593" s="600">
        <v>8.2732218784000011</v>
      </c>
      <c r="D593" s="605">
        <v>0.99897000000000002</v>
      </c>
      <c r="F593" s="123"/>
    </row>
    <row r="594" spans="2:6" x14ac:dyDescent="0.4">
      <c r="B594" s="604">
        <v>108.1</v>
      </c>
      <c r="C594" s="600">
        <v>8.2729545173000005</v>
      </c>
      <c r="D594" s="605">
        <v>0.99897000000000002</v>
      </c>
      <c r="F594" s="123"/>
    </row>
    <row r="595" spans="2:6" x14ac:dyDescent="0.4">
      <c r="B595" s="604">
        <v>108.2</v>
      </c>
      <c r="C595" s="600">
        <v>8.2728208367500002</v>
      </c>
      <c r="D595" s="605">
        <v>0.99897000000000002</v>
      </c>
      <c r="F595" s="123"/>
    </row>
    <row r="596" spans="2:6" x14ac:dyDescent="0.4">
      <c r="B596" s="604">
        <v>108.3</v>
      </c>
      <c r="C596" s="600">
        <v>8.2726871561999999</v>
      </c>
      <c r="D596" s="605">
        <v>0.99897000000000002</v>
      </c>
      <c r="F596" s="123"/>
    </row>
    <row r="597" spans="2:6" x14ac:dyDescent="0.4">
      <c r="B597" s="604">
        <v>108.4</v>
      </c>
      <c r="C597" s="600">
        <v>8.2724197951000011</v>
      </c>
      <c r="D597" s="605">
        <v>0.99897000000000002</v>
      </c>
      <c r="F597" s="123"/>
    </row>
    <row r="598" spans="2:6" x14ac:dyDescent="0.4">
      <c r="B598" s="604">
        <v>108.5</v>
      </c>
      <c r="C598" s="600">
        <v>8.2722861145500008</v>
      </c>
      <c r="D598" s="605">
        <v>0.99897999999999998</v>
      </c>
      <c r="F598" s="123"/>
    </row>
    <row r="599" spans="2:6" x14ac:dyDescent="0.4">
      <c r="B599" s="604">
        <v>108.6</v>
      </c>
      <c r="C599" s="600">
        <v>8.2721524340000006</v>
      </c>
      <c r="D599" s="605">
        <v>0.99897999999999998</v>
      </c>
      <c r="F599" s="123"/>
    </row>
    <row r="600" spans="2:6" x14ac:dyDescent="0.4">
      <c r="B600" s="604">
        <v>108.7</v>
      </c>
      <c r="C600" s="600">
        <v>8.2718850729</v>
      </c>
      <c r="D600" s="605">
        <v>0.99897999999999998</v>
      </c>
      <c r="F600" s="123"/>
    </row>
    <row r="601" spans="2:6" x14ac:dyDescent="0.4">
      <c r="B601" s="604">
        <v>108.8</v>
      </c>
      <c r="C601" s="600">
        <v>8.2717513923500015</v>
      </c>
      <c r="D601" s="605">
        <v>0.99897999999999998</v>
      </c>
      <c r="F601" s="123"/>
    </row>
    <row r="602" spans="2:6" x14ac:dyDescent="0.4">
      <c r="B602" s="604">
        <v>108.9</v>
      </c>
      <c r="C602" s="600">
        <v>8.2714840312500009</v>
      </c>
      <c r="D602" s="605">
        <v>0.99897999999999998</v>
      </c>
      <c r="F602" s="123"/>
    </row>
    <row r="603" spans="2:6" x14ac:dyDescent="0.4">
      <c r="B603" s="604">
        <v>109</v>
      </c>
      <c r="C603" s="600">
        <v>8.2713503507000006</v>
      </c>
      <c r="D603" s="605">
        <v>0.99899000000000004</v>
      </c>
      <c r="F603" s="123"/>
    </row>
    <row r="604" spans="2:6" x14ac:dyDescent="0.4">
      <c r="B604" s="604">
        <v>109.1</v>
      </c>
      <c r="C604" s="600">
        <v>8.2712166701500003</v>
      </c>
      <c r="D604" s="605">
        <v>0.99899000000000004</v>
      </c>
      <c r="F604" s="123"/>
    </row>
    <row r="605" spans="2:6" x14ac:dyDescent="0.4">
      <c r="B605" s="604">
        <v>109.2</v>
      </c>
      <c r="C605" s="600">
        <v>8.2709493090500015</v>
      </c>
      <c r="D605" s="605">
        <v>0.99899000000000004</v>
      </c>
      <c r="F605" s="123"/>
    </row>
    <row r="606" spans="2:6" x14ac:dyDescent="0.4">
      <c r="B606" s="604">
        <v>109.3</v>
      </c>
      <c r="C606" s="600">
        <v>8.2708156284999994</v>
      </c>
      <c r="D606" s="605">
        <v>0.99899000000000004</v>
      </c>
      <c r="F606" s="123"/>
    </row>
    <row r="607" spans="2:6" x14ac:dyDescent="0.4">
      <c r="B607" s="604">
        <v>109.4</v>
      </c>
      <c r="C607" s="600">
        <v>8.2705482674000006</v>
      </c>
      <c r="D607" s="605">
        <v>0.99899000000000004</v>
      </c>
      <c r="F607" s="123"/>
    </row>
    <row r="608" spans="2:6" x14ac:dyDescent="0.4">
      <c r="B608" s="604">
        <v>109.5</v>
      </c>
      <c r="C608" s="600">
        <v>8.2704145868500003</v>
      </c>
      <c r="D608" s="605">
        <v>0.999</v>
      </c>
      <c r="F608" s="123"/>
    </row>
    <row r="609" spans="2:6" x14ac:dyDescent="0.4">
      <c r="B609" s="604">
        <v>109.6</v>
      </c>
      <c r="C609" s="600">
        <v>8.2702809063</v>
      </c>
      <c r="D609" s="605">
        <v>0.999</v>
      </c>
      <c r="F609" s="123"/>
    </row>
    <row r="610" spans="2:6" x14ac:dyDescent="0.4">
      <c r="B610" s="604">
        <v>109.7</v>
      </c>
      <c r="C610" s="600">
        <v>8.2700135451999994</v>
      </c>
      <c r="D610" s="605">
        <v>0.999</v>
      </c>
      <c r="F610" s="123"/>
    </row>
    <row r="611" spans="2:6" x14ac:dyDescent="0.4">
      <c r="B611" s="604">
        <v>109.8</v>
      </c>
      <c r="C611" s="600">
        <v>8.2698798646500009</v>
      </c>
      <c r="D611" s="605">
        <v>0.999</v>
      </c>
      <c r="F611" s="123"/>
    </row>
    <row r="612" spans="2:6" x14ac:dyDescent="0.4">
      <c r="B612" s="604">
        <v>109.9</v>
      </c>
      <c r="C612" s="600">
        <v>8.2696125035500003</v>
      </c>
      <c r="D612" s="605">
        <v>0.999</v>
      </c>
      <c r="F612" s="123"/>
    </row>
    <row r="613" spans="2:6" x14ac:dyDescent="0.4">
      <c r="B613" s="604">
        <v>110</v>
      </c>
      <c r="C613" s="600">
        <v>8.269478823</v>
      </c>
      <c r="D613" s="605">
        <v>0.99900999999999995</v>
      </c>
      <c r="F613" s="123"/>
    </row>
    <row r="614" spans="2:6" x14ac:dyDescent="0.4">
      <c r="B614" s="604">
        <v>110.1</v>
      </c>
      <c r="C614" s="600">
        <v>8.2693729789999999</v>
      </c>
      <c r="D614" s="605">
        <v>0.99900999999999995</v>
      </c>
      <c r="F614" s="123"/>
    </row>
    <row r="615" spans="2:6" x14ac:dyDescent="0.4">
      <c r="B615" s="604">
        <v>110.2</v>
      </c>
      <c r="C615" s="600">
        <v>8.2691056169999992</v>
      </c>
      <c r="D615" s="605">
        <v>0.99900999999999995</v>
      </c>
      <c r="F615" s="123"/>
    </row>
    <row r="616" spans="2:6" x14ac:dyDescent="0.4">
      <c r="B616" s="604">
        <v>110.3</v>
      </c>
      <c r="C616" s="600">
        <v>8.2689719359999998</v>
      </c>
      <c r="D616" s="605">
        <v>0.99900999999999995</v>
      </c>
      <c r="F616" s="123"/>
    </row>
    <row r="617" spans="2:6" x14ac:dyDescent="0.4">
      <c r="B617" s="604">
        <v>110.4</v>
      </c>
      <c r="C617" s="600">
        <v>8.2687045739999991</v>
      </c>
      <c r="D617" s="605">
        <v>0.99902000000000002</v>
      </c>
      <c r="F617" s="123"/>
    </row>
    <row r="618" spans="2:6" x14ac:dyDescent="0.4">
      <c r="B618" s="604">
        <v>110.5</v>
      </c>
      <c r="C618" s="600">
        <v>8.2685708929999997</v>
      </c>
      <c r="D618" s="605">
        <v>0.99902000000000002</v>
      </c>
      <c r="F618" s="123"/>
    </row>
    <row r="619" spans="2:6" x14ac:dyDescent="0.4">
      <c r="B619" s="604">
        <v>110.6</v>
      </c>
      <c r="C619" s="600">
        <v>8.268303530999999</v>
      </c>
      <c r="D619" s="605">
        <v>0.99902000000000002</v>
      </c>
      <c r="F619" s="123"/>
    </row>
    <row r="620" spans="2:6" x14ac:dyDescent="0.4">
      <c r="B620" s="604">
        <v>110.7</v>
      </c>
      <c r="C620" s="600">
        <v>8.2681698499999996</v>
      </c>
      <c r="D620" s="605">
        <v>0.99902000000000002</v>
      </c>
      <c r="F620" s="123"/>
    </row>
    <row r="621" spans="2:6" x14ac:dyDescent="0.4">
      <c r="B621" s="604">
        <v>110.8</v>
      </c>
      <c r="C621" s="600">
        <v>8.2680361689999984</v>
      </c>
      <c r="D621" s="605">
        <v>0.99902000000000002</v>
      </c>
      <c r="F621" s="123"/>
    </row>
    <row r="622" spans="2:6" x14ac:dyDescent="0.4">
      <c r="B622" s="604">
        <v>110.9</v>
      </c>
      <c r="C622" s="600">
        <v>8.2677688069999995</v>
      </c>
      <c r="D622" s="605">
        <v>0.99902999999999997</v>
      </c>
      <c r="F622" s="123"/>
    </row>
    <row r="623" spans="2:6" x14ac:dyDescent="0.4">
      <c r="B623" s="604">
        <v>111</v>
      </c>
      <c r="C623" s="600">
        <v>8.2676351260000001</v>
      </c>
      <c r="D623" s="605">
        <v>0.99902999999999997</v>
      </c>
      <c r="F623" s="123"/>
    </row>
    <row r="624" spans="2:6" x14ac:dyDescent="0.4">
      <c r="B624" s="604">
        <v>111.1</v>
      </c>
      <c r="C624" s="600">
        <v>8.2673677639999994</v>
      </c>
      <c r="D624" s="605">
        <v>0.99902999999999997</v>
      </c>
      <c r="F624" s="123"/>
    </row>
    <row r="625" spans="2:6" x14ac:dyDescent="0.4">
      <c r="B625" s="604">
        <v>111.2</v>
      </c>
      <c r="C625" s="600">
        <v>8.267234083</v>
      </c>
      <c r="D625" s="605">
        <v>0.99902999999999997</v>
      </c>
      <c r="F625" s="123"/>
    </row>
    <row r="626" spans="2:6" x14ac:dyDescent="0.4">
      <c r="B626" s="604">
        <v>111.3</v>
      </c>
      <c r="C626" s="600">
        <v>8.2669667209999993</v>
      </c>
      <c r="D626" s="605">
        <v>0.99904000000000004</v>
      </c>
      <c r="F626" s="123"/>
    </row>
    <row r="627" spans="2:6" x14ac:dyDescent="0.4">
      <c r="B627" s="604">
        <v>111.4</v>
      </c>
      <c r="C627" s="600">
        <v>8.2668330399999999</v>
      </c>
      <c r="D627" s="605">
        <v>0.99904000000000004</v>
      </c>
      <c r="F627" s="123"/>
    </row>
    <row r="628" spans="2:6" x14ac:dyDescent="0.4">
      <c r="B628" s="604">
        <v>111.5</v>
      </c>
      <c r="C628" s="600">
        <v>8.2666993589999986</v>
      </c>
      <c r="D628" s="605">
        <v>0.99904000000000004</v>
      </c>
      <c r="F628" s="123"/>
    </row>
    <row r="629" spans="2:6" x14ac:dyDescent="0.4">
      <c r="B629" s="604">
        <v>111.6</v>
      </c>
      <c r="C629" s="600">
        <v>8.2664319969999998</v>
      </c>
      <c r="D629" s="605">
        <v>0.99904000000000004</v>
      </c>
      <c r="F629" s="123"/>
    </row>
    <row r="630" spans="2:6" x14ac:dyDescent="0.4">
      <c r="B630" s="604">
        <v>111.7</v>
      </c>
      <c r="C630" s="600">
        <v>8.2662983160000003</v>
      </c>
      <c r="D630" s="605">
        <v>0.99904999999999999</v>
      </c>
      <c r="F630" s="123"/>
    </row>
    <row r="631" spans="2:6" x14ac:dyDescent="0.4">
      <c r="B631" s="604">
        <v>111.8</v>
      </c>
      <c r="C631" s="600">
        <v>8.2660309539999997</v>
      </c>
      <c r="D631" s="605">
        <v>0.99904999999999999</v>
      </c>
      <c r="F631" s="123"/>
    </row>
    <row r="632" spans="2:6" x14ac:dyDescent="0.4">
      <c r="B632" s="604">
        <v>111.9</v>
      </c>
      <c r="C632" s="600">
        <v>8.2658972730000002</v>
      </c>
      <c r="D632" s="605">
        <v>0.99904999999999999</v>
      </c>
      <c r="F632" s="123"/>
    </row>
    <row r="633" spans="2:6" x14ac:dyDescent="0.4">
      <c r="B633" s="604">
        <v>112</v>
      </c>
      <c r="C633" s="600">
        <v>8.2656299109999996</v>
      </c>
      <c r="D633" s="605">
        <v>0.99904999999999999</v>
      </c>
      <c r="F633" s="123"/>
    </row>
    <row r="634" spans="2:6" x14ac:dyDescent="0.4">
      <c r="B634" s="604">
        <v>112.1</v>
      </c>
      <c r="C634" s="600">
        <v>8.2654962300000001</v>
      </c>
      <c r="D634" s="605">
        <v>0.99905999999999995</v>
      </c>
      <c r="F634" s="123"/>
    </row>
    <row r="635" spans="2:6" x14ac:dyDescent="0.4">
      <c r="B635" s="604">
        <v>112.2</v>
      </c>
      <c r="C635" s="600">
        <v>8.2653625489999989</v>
      </c>
      <c r="D635" s="605">
        <v>0.99905999999999995</v>
      </c>
      <c r="F635" s="123"/>
    </row>
    <row r="636" spans="2:6" x14ac:dyDescent="0.4">
      <c r="B636" s="604">
        <v>112.3</v>
      </c>
      <c r="C636" s="600">
        <v>8.265095187</v>
      </c>
      <c r="D636" s="605">
        <v>0.99905999999999995</v>
      </c>
      <c r="F636" s="123"/>
    </row>
    <row r="637" spans="2:6" x14ac:dyDescent="0.4">
      <c r="B637" s="604">
        <v>112.4</v>
      </c>
      <c r="C637" s="600">
        <v>8.2649615060000006</v>
      </c>
      <c r="D637" s="605">
        <v>0.99905999999999995</v>
      </c>
      <c r="F637" s="123"/>
    </row>
    <row r="638" spans="2:6" x14ac:dyDescent="0.4">
      <c r="B638" s="604">
        <v>112.5</v>
      </c>
      <c r="C638" s="600">
        <v>8.2646941439999999</v>
      </c>
      <c r="D638" s="605">
        <v>0.99907000000000001</v>
      </c>
      <c r="F638" s="123"/>
    </row>
    <row r="639" spans="2:6" x14ac:dyDescent="0.4">
      <c r="B639" s="604">
        <v>112.6</v>
      </c>
      <c r="C639" s="600">
        <v>8.2645604630000005</v>
      </c>
      <c r="D639" s="605">
        <v>0.99907000000000001</v>
      </c>
      <c r="F639" s="123"/>
    </row>
    <row r="640" spans="2:6" x14ac:dyDescent="0.4">
      <c r="B640" s="604">
        <v>112.7</v>
      </c>
      <c r="C640" s="600">
        <v>8.2642931009999998</v>
      </c>
      <c r="D640" s="605">
        <v>0.99907000000000001</v>
      </c>
      <c r="F640" s="123"/>
    </row>
    <row r="641" spans="2:6" x14ac:dyDescent="0.4">
      <c r="B641" s="604">
        <v>112.8</v>
      </c>
      <c r="C641" s="600">
        <v>8.2641594200000004</v>
      </c>
      <c r="D641" s="605">
        <v>0.99907000000000001</v>
      </c>
      <c r="F641" s="123"/>
    </row>
    <row r="642" spans="2:6" x14ac:dyDescent="0.4">
      <c r="B642" s="604">
        <v>112.9</v>
      </c>
      <c r="C642" s="600">
        <v>8.2638920579999997</v>
      </c>
      <c r="D642" s="605">
        <v>0.99907999999999997</v>
      </c>
      <c r="F642" s="123"/>
    </row>
    <row r="643" spans="2:6" x14ac:dyDescent="0.4">
      <c r="B643" s="604">
        <v>113</v>
      </c>
      <c r="C643" s="600">
        <v>8.2637583770000003</v>
      </c>
      <c r="D643" s="605">
        <v>0.99907999999999997</v>
      </c>
      <c r="F643" s="123"/>
    </row>
    <row r="644" spans="2:6" x14ac:dyDescent="0.4">
      <c r="B644" s="604">
        <v>113.1</v>
      </c>
      <c r="C644" s="600">
        <v>8.2636246960000008</v>
      </c>
      <c r="D644" s="605">
        <v>0.99907999999999997</v>
      </c>
      <c r="F644" s="123"/>
    </row>
    <row r="645" spans="2:6" x14ac:dyDescent="0.4">
      <c r="B645" s="604">
        <v>113.2</v>
      </c>
      <c r="C645" s="600">
        <v>8.2633573340000002</v>
      </c>
      <c r="D645" s="605">
        <v>0.99907999999999997</v>
      </c>
      <c r="F645" s="123"/>
    </row>
    <row r="646" spans="2:6" x14ac:dyDescent="0.4">
      <c r="B646" s="604">
        <v>113.3</v>
      </c>
      <c r="C646" s="600">
        <v>8.2632236530000007</v>
      </c>
      <c r="D646" s="605">
        <v>0.99909000000000003</v>
      </c>
      <c r="F646" s="123"/>
    </row>
    <row r="647" spans="2:6" x14ac:dyDescent="0.4">
      <c r="B647" s="604">
        <v>113.4</v>
      </c>
      <c r="C647" s="600">
        <v>8.2629562910000001</v>
      </c>
      <c r="D647" s="605">
        <v>0.99909000000000003</v>
      </c>
      <c r="F647" s="123"/>
    </row>
    <row r="648" spans="2:6" x14ac:dyDescent="0.4">
      <c r="B648" s="604">
        <v>113.5</v>
      </c>
      <c r="C648" s="600">
        <v>8.2628226100000006</v>
      </c>
      <c r="D648" s="605">
        <v>0.99909000000000003</v>
      </c>
      <c r="F648" s="123"/>
    </row>
    <row r="649" spans="2:6" x14ac:dyDescent="0.4">
      <c r="B649" s="604">
        <v>113.6</v>
      </c>
      <c r="C649" s="600">
        <v>8.262555248</v>
      </c>
      <c r="D649" s="605">
        <v>0.99909000000000003</v>
      </c>
      <c r="F649" s="123"/>
    </row>
    <row r="650" spans="2:6" x14ac:dyDescent="0.4">
      <c r="B650" s="604">
        <v>113.7</v>
      </c>
      <c r="C650" s="600">
        <v>8.2624215670000005</v>
      </c>
      <c r="D650" s="605">
        <v>0.99909999999999999</v>
      </c>
      <c r="F650" s="123"/>
    </row>
    <row r="651" spans="2:6" x14ac:dyDescent="0.4">
      <c r="B651" s="604">
        <v>113.8</v>
      </c>
      <c r="C651" s="600">
        <v>8.2621542049999999</v>
      </c>
      <c r="D651" s="605">
        <v>0.99909999999999999</v>
      </c>
      <c r="F651" s="123"/>
    </row>
    <row r="652" spans="2:6" x14ac:dyDescent="0.4">
      <c r="B652" s="604">
        <v>113.9</v>
      </c>
      <c r="C652" s="600">
        <v>8.2620205240000004</v>
      </c>
      <c r="D652" s="605">
        <v>0.99909999999999999</v>
      </c>
      <c r="F652" s="123"/>
    </row>
    <row r="653" spans="2:6" x14ac:dyDescent="0.4">
      <c r="B653" s="604">
        <v>114</v>
      </c>
      <c r="C653" s="600">
        <v>8.2617531619999998</v>
      </c>
      <c r="D653" s="605">
        <v>0.99909999999999999</v>
      </c>
      <c r="F653" s="123"/>
    </row>
    <row r="654" spans="2:6" x14ac:dyDescent="0.4">
      <c r="B654" s="604">
        <v>114.1</v>
      </c>
      <c r="C654" s="600">
        <v>8.2616194810000003</v>
      </c>
      <c r="D654" s="605">
        <v>0.99911000000000005</v>
      </c>
      <c r="F654" s="123"/>
    </row>
    <row r="655" spans="2:6" x14ac:dyDescent="0.4">
      <c r="B655" s="604">
        <v>114.2</v>
      </c>
      <c r="C655" s="600">
        <v>8.2613521189999997</v>
      </c>
      <c r="D655" s="605">
        <v>0.99911000000000005</v>
      </c>
      <c r="F655" s="123"/>
    </row>
    <row r="656" spans="2:6" x14ac:dyDescent="0.4">
      <c r="B656" s="604">
        <v>114.3</v>
      </c>
      <c r="C656" s="600">
        <v>8.2612184380000002</v>
      </c>
      <c r="D656" s="605">
        <v>0.99911000000000005</v>
      </c>
      <c r="F656" s="123"/>
    </row>
    <row r="657" spans="2:6" x14ac:dyDescent="0.4">
      <c r="B657" s="604">
        <v>114.4</v>
      </c>
      <c r="C657" s="600">
        <v>8.261084756999999</v>
      </c>
      <c r="D657" s="605">
        <v>0.99912000000000001</v>
      </c>
      <c r="F657" s="123"/>
    </row>
    <row r="658" spans="2:6" x14ac:dyDescent="0.4">
      <c r="B658" s="604">
        <v>114.5</v>
      </c>
      <c r="C658" s="600">
        <v>8.2608173950000001</v>
      </c>
      <c r="D658" s="605">
        <v>0.99912000000000001</v>
      </c>
      <c r="F658" s="123"/>
    </row>
    <row r="659" spans="2:6" x14ac:dyDescent="0.4">
      <c r="B659" s="604">
        <v>114.6</v>
      </c>
      <c r="C659" s="600">
        <v>8.2606837139999989</v>
      </c>
      <c r="D659" s="605">
        <v>0.99912000000000001</v>
      </c>
      <c r="F659" s="123"/>
    </row>
    <row r="660" spans="2:6" x14ac:dyDescent="0.4">
      <c r="B660" s="604">
        <v>114.7</v>
      </c>
      <c r="C660" s="600">
        <v>8.260416352</v>
      </c>
      <c r="D660" s="605">
        <v>0.99912000000000001</v>
      </c>
      <c r="F660" s="123"/>
    </row>
    <row r="661" spans="2:6" x14ac:dyDescent="0.4">
      <c r="B661" s="604">
        <v>114.8</v>
      </c>
      <c r="C661" s="600">
        <v>8.2602826709999988</v>
      </c>
      <c r="D661" s="605">
        <v>0.99912999999999996</v>
      </c>
      <c r="F661" s="123"/>
    </row>
    <row r="662" spans="2:6" x14ac:dyDescent="0.4">
      <c r="B662" s="604">
        <v>114.9</v>
      </c>
      <c r="C662" s="600">
        <v>8.2600153089999999</v>
      </c>
      <c r="D662" s="605">
        <v>0.99912999999999996</v>
      </c>
      <c r="F662" s="123"/>
    </row>
    <row r="663" spans="2:6" x14ac:dyDescent="0.4">
      <c r="B663" s="604">
        <v>115</v>
      </c>
      <c r="C663" s="600">
        <v>8.2598816279999987</v>
      </c>
      <c r="D663" s="605">
        <v>0.99912999999999996</v>
      </c>
      <c r="F663" s="123"/>
    </row>
    <row r="664" spans="2:6" x14ac:dyDescent="0.4">
      <c r="B664" s="604">
        <v>115.1</v>
      </c>
      <c r="C664" s="600">
        <v>8.2596142659999998</v>
      </c>
      <c r="D664" s="605">
        <v>0.99914000000000003</v>
      </c>
      <c r="F664" s="123"/>
    </row>
    <row r="665" spans="2:6" x14ac:dyDescent="0.4">
      <c r="B665" s="604">
        <v>115.2</v>
      </c>
      <c r="C665" s="600">
        <v>8.2594805849999986</v>
      </c>
      <c r="D665" s="605">
        <v>0.99914000000000003</v>
      </c>
      <c r="F665" s="123"/>
    </row>
    <row r="666" spans="2:6" x14ac:dyDescent="0.4">
      <c r="B666" s="604">
        <v>115.3</v>
      </c>
      <c r="C666" s="600">
        <v>8.2592132229999997</v>
      </c>
      <c r="D666" s="605">
        <v>0.99914000000000003</v>
      </c>
      <c r="F666" s="123"/>
    </row>
    <row r="667" spans="2:6" x14ac:dyDescent="0.4">
      <c r="B667" s="604">
        <v>115.4</v>
      </c>
      <c r="C667" s="600">
        <v>8.2590795419999985</v>
      </c>
      <c r="D667" s="605">
        <v>0.99914000000000003</v>
      </c>
      <c r="F667" s="123"/>
    </row>
    <row r="668" spans="2:6" x14ac:dyDescent="0.4">
      <c r="B668" s="604">
        <v>115.5</v>
      </c>
      <c r="C668" s="600">
        <v>8.2588121799999996</v>
      </c>
      <c r="D668" s="605">
        <v>0.99914999999999998</v>
      </c>
      <c r="F668" s="123"/>
    </row>
    <row r="669" spans="2:6" x14ac:dyDescent="0.4">
      <c r="B669" s="604">
        <v>115.6</v>
      </c>
      <c r="C669" s="600">
        <v>8.2586784990000002</v>
      </c>
      <c r="D669" s="605">
        <v>0.99914999999999998</v>
      </c>
      <c r="F669" s="123"/>
    </row>
    <row r="670" spans="2:6" x14ac:dyDescent="0.4">
      <c r="B670" s="604">
        <v>115.7</v>
      </c>
      <c r="C670" s="600">
        <v>8.2584111369999995</v>
      </c>
      <c r="D670" s="605">
        <v>0.99914999999999998</v>
      </c>
      <c r="F670" s="123"/>
    </row>
    <row r="671" spans="2:6" x14ac:dyDescent="0.4">
      <c r="B671" s="604">
        <v>115.8</v>
      </c>
      <c r="C671" s="600">
        <v>8.2582774560000001</v>
      </c>
      <c r="D671" s="605">
        <v>0.99916000000000005</v>
      </c>
      <c r="F671" s="123"/>
    </row>
    <row r="672" spans="2:6" x14ac:dyDescent="0.4">
      <c r="B672" s="604">
        <v>115.9</v>
      </c>
      <c r="C672" s="600">
        <v>8.2580100939999994</v>
      </c>
      <c r="D672" s="605">
        <v>0.99916000000000005</v>
      </c>
      <c r="F672" s="123"/>
    </row>
    <row r="673" spans="2:6" x14ac:dyDescent="0.4">
      <c r="B673" s="604">
        <v>116</v>
      </c>
      <c r="C673" s="600">
        <v>8.257876413</v>
      </c>
      <c r="D673" s="605">
        <v>0.99916000000000005</v>
      </c>
      <c r="F673" s="123"/>
    </row>
    <row r="674" spans="2:6" x14ac:dyDescent="0.4">
      <c r="B674" s="604">
        <v>116.1</v>
      </c>
      <c r="C674" s="600">
        <v>8.2576090509999993</v>
      </c>
      <c r="D674" s="605">
        <v>0.99916000000000005</v>
      </c>
      <c r="F674" s="123"/>
    </row>
    <row r="675" spans="2:6" x14ac:dyDescent="0.4">
      <c r="B675" s="604">
        <v>116.2</v>
      </c>
      <c r="C675" s="600">
        <v>8.2574753699999999</v>
      </c>
      <c r="D675" s="605">
        <v>0.99917</v>
      </c>
      <c r="F675" s="123"/>
    </row>
    <row r="676" spans="2:6" x14ac:dyDescent="0.4">
      <c r="B676" s="604">
        <v>116.3</v>
      </c>
      <c r="C676" s="600">
        <v>8.2572080079999992</v>
      </c>
      <c r="D676" s="605">
        <v>0.99917</v>
      </c>
      <c r="F676" s="123"/>
    </row>
    <row r="677" spans="2:6" x14ac:dyDescent="0.4">
      <c r="B677" s="604">
        <v>116.4</v>
      </c>
      <c r="C677" s="600">
        <v>8.2570743269999998</v>
      </c>
      <c r="D677" s="605">
        <v>0.99917</v>
      </c>
      <c r="F677" s="123"/>
    </row>
    <row r="678" spans="2:6" x14ac:dyDescent="0.4">
      <c r="B678" s="604">
        <v>116.5</v>
      </c>
      <c r="C678" s="600">
        <v>8.2568069649999991</v>
      </c>
      <c r="D678" s="605">
        <v>0.99917999999999996</v>
      </c>
      <c r="F678" s="123"/>
    </row>
    <row r="679" spans="2:6" x14ac:dyDescent="0.4">
      <c r="B679" s="604">
        <v>116.6</v>
      </c>
      <c r="C679" s="600">
        <v>8.2566732839999997</v>
      </c>
      <c r="D679" s="605">
        <v>0.99917999999999996</v>
      </c>
      <c r="F679" s="123"/>
    </row>
    <row r="680" spans="2:6" x14ac:dyDescent="0.4">
      <c r="B680" s="604">
        <v>116.7</v>
      </c>
      <c r="C680" s="600">
        <v>8.256405921999999</v>
      </c>
      <c r="D680" s="605">
        <v>0.99917999999999996</v>
      </c>
      <c r="F680" s="123"/>
    </row>
    <row r="681" spans="2:6" x14ac:dyDescent="0.4">
      <c r="B681" s="604">
        <v>116.8</v>
      </c>
      <c r="C681" s="600">
        <v>8.2562722409999996</v>
      </c>
      <c r="D681" s="605">
        <v>0.99919000000000002</v>
      </c>
      <c r="F681" s="123"/>
    </row>
    <row r="682" spans="2:6" x14ac:dyDescent="0.4">
      <c r="B682" s="604">
        <v>116.9</v>
      </c>
      <c r="C682" s="600">
        <v>8.2560048789999989</v>
      </c>
      <c r="D682" s="605">
        <v>0.99919000000000002</v>
      </c>
      <c r="F682" s="123"/>
    </row>
    <row r="683" spans="2:6" x14ac:dyDescent="0.4">
      <c r="B683" s="604">
        <v>117</v>
      </c>
      <c r="C683" s="600">
        <v>8.2558711979999995</v>
      </c>
      <c r="D683" s="605">
        <v>0.99919000000000002</v>
      </c>
      <c r="F683" s="123"/>
    </row>
    <row r="684" spans="2:6" x14ac:dyDescent="0.4">
      <c r="B684" s="604">
        <v>117.1</v>
      </c>
      <c r="C684" s="600">
        <v>8.2556038359999988</v>
      </c>
      <c r="D684" s="605">
        <v>0.99919999999999998</v>
      </c>
      <c r="F684" s="123"/>
    </row>
    <row r="685" spans="2:6" x14ac:dyDescent="0.4">
      <c r="B685" s="604">
        <v>117.2</v>
      </c>
      <c r="C685" s="600">
        <v>8.2554701549999994</v>
      </c>
      <c r="D685" s="605">
        <v>0.99919999999999998</v>
      </c>
      <c r="F685" s="123"/>
    </row>
    <row r="686" spans="2:6" x14ac:dyDescent="0.4">
      <c r="B686" s="604">
        <v>117.3</v>
      </c>
      <c r="C686" s="600">
        <v>8.2552027930000005</v>
      </c>
      <c r="D686" s="605">
        <v>0.99919999999999998</v>
      </c>
      <c r="F686" s="123"/>
    </row>
    <row r="687" spans="2:6" x14ac:dyDescent="0.4">
      <c r="B687" s="604">
        <v>117.4</v>
      </c>
      <c r="C687" s="600">
        <v>8.2550691119999993</v>
      </c>
      <c r="D687" s="605">
        <v>0.99921000000000004</v>
      </c>
      <c r="F687" s="123"/>
    </row>
    <row r="688" spans="2:6" x14ac:dyDescent="0.4">
      <c r="B688" s="604">
        <v>117.5</v>
      </c>
      <c r="C688" s="600">
        <v>8.2548017500000004</v>
      </c>
      <c r="D688" s="605">
        <v>0.99921000000000004</v>
      </c>
      <c r="F688" s="123"/>
    </row>
    <row r="689" spans="2:6" x14ac:dyDescent="0.4">
      <c r="B689" s="604">
        <v>117.6</v>
      </c>
      <c r="C689" s="600">
        <v>8.2546680689999992</v>
      </c>
      <c r="D689" s="605">
        <v>0.99921000000000004</v>
      </c>
      <c r="F689" s="123"/>
    </row>
    <row r="690" spans="2:6" x14ac:dyDescent="0.4">
      <c r="B690" s="604">
        <v>117.7</v>
      </c>
      <c r="C690" s="600">
        <v>8.2544007070000003</v>
      </c>
      <c r="D690" s="605">
        <v>0.99921000000000004</v>
      </c>
      <c r="F690" s="123"/>
    </row>
    <row r="691" spans="2:6" x14ac:dyDescent="0.4">
      <c r="B691" s="604">
        <v>117.8</v>
      </c>
      <c r="C691" s="600">
        <v>8.2542670259999991</v>
      </c>
      <c r="D691" s="605">
        <v>0.99922</v>
      </c>
      <c r="F691" s="123"/>
    </row>
    <row r="692" spans="2:6" x14ac:dyDescent="0.4">
      <c r="B692" s="604">
        <v>117.9</v>
      </c>
      <c r="C692" s="600">
        <v>8.2539996640000002</v>
      </c>
      <c r="D692" s="605">
        <v>0.99922</v>
      </c>
      <c r="F692" s="123"/>
    </row>
    <row r="693" spans="2:6" x14ac:dyDescent="0.4">
      <c r="B693" s="604">
        <v>118</v>
      </c>
      <c r="C693" s="600">
        <v>8.2538659830000007</v>
      </c>
      <c r="D693" s="605">
        <v>0.99922</v>
      </c>
      <c r="F693" s="123"/>
    </row>
    <row r="694" spans="2:6" x14ac:dyDescent="0.4">
      <c r="B694" s="604">
        <v>118.1</v>
      </c>
      <c r="C694" s="600">
        <v>8.2535986210000001</v>
      </c>
      <c r="D694" s="605">
        <v>0.99922999999999995</v>
      </c>
      <c r="F694" s="123"/>
    </row>
    <row r="695" spans="2:6" x14ac:dyDescent="0.4">
      <c r="B695" s="604">
        <v>118.2</v>
      </c>
      <c r="C695" s="600">
        <v>8.2534649400000006</v>
      </c>
      <c r="D695" s="605">
        <v>0.99922999999999995</v>
      </c>
      <c r="F695" s="123"/>
    </row>
    <row r="696" spans="2:6" x14ac:dyDescent="0.4">
      <c r="B696" s="604">
        <v>118.3</v>
      </c>
      <c r="C696" s="600">
        <v>8.253197578</v>
      </c>
      <c r="D696" s="605">
        <v>0.99922999999999995</v>
      </c>
      <c r="F696" s="123"/>
    </row>
    <row r="697" spans="2:6" x14ac:dyDescent="0.4">
      <c r="B697" s="604">
        <v>118.4</v>
      </c>
      <c r="C697" s="600">
        <v>8.2530638970000005</v>
      </c>
      <c r="D697" s="605">
        <v>0.99924000000000002</v>
      </c>
      <c r="F697" s="123"/>
    </row>
    <row r="698" spans="2:6" x14ac:dyDescent="0.4">
      <c r="B698" s="604">
        <v>118.5</v>
      </c>
      <c r="C698" s="600">
        <v>8.2527965349999999</v>
      </c>
      <c r="D698" s="605">
        <v>0.99924000000000002</v>
      </c>
      <c r="F698" s="123"/>
    </row>
    <row r="699" spans="2:6" x14ac:dyDescent="0.4">
      <c r="B699" s="604">
        <v>118.6</v>
      </c>
      <c r="C699" s="600">
        <v>8.2526628540000004</v>
      </c>
      <c r="D699" s="605">
        <v>0.99924000000000002</v>
      </c>
      <c r="F699" s="123"/>
    </row>
    <row r="700" spans="2:6" x14ac:dyDescent="0.4">
      <c r="B700" s="604">
        <v>118.7</v>
      </c>
      <c r="C700" s="600">
        <v>8.2523954919999998</v>
      </c>
      <c r="D700" s="605">
        <v>0.99924999999999997</v>
      </c>
      <c r="F700" s="123"/>
    </row>
    <row r="701" spans="2:6" x14ac:dyDescent="0.4">
      <c r="B701" s="604">
        <v>118.8</v>
      </c>
      <c r="C701" s="600">
        <v>8.2522618110000003</v>
      </c>
      <c r="D701" s="605">
        <v>0.99924999999999997</v>
      </c>
      <c r="F701" s="123"/>
    </row>
    <row r="702" spans="2:6" x14ac:dyDescent="0.4">
      <c r="B702" s="604">
        <v>118.9</v>
      </c>
      <c r="C702" s="600">
        <v>8.2519944489999997</v>
      </c>
      <c r="D702" s="605">
        <v>0.99924999999999997</v>
      </c>
      <c r="F702" s="123"/>
    </row>
    <row r="703" spans="2:6" x14ac:dyDescent="0.4">
      <c r="B703" s="604">
        <v>119</v>
      </c>
      <c r="C703" s="600">
        <v>8.2518607680000002</v>
      </c>
      <c r="D703" s="605">
        <v>0.99926000000000004</v>
      </c>
      <c r="F703" s="123"/>
    </row>
    <row r="704" spans="2:6" x14ac:dyDescent="0.4">
      <c r="B704" s="604">
        <v>119.1</v>
      </c>
      <c r="C704" s="600">
        <v>8.2515934059999996</v>
      </c>
      <c r="D704" s="605">
        <v>0.99926000000000004</v>
      </c>
      <c r="F704" s="123"/>
    </row>
    <row r="705" spans="2:6" x14ac:dyDescent="0.4">
      <c r="B705" s="604">
        <v>119.2</v>
      </c>
      <c r="C705" s="600">
        <v>8.2513260439999989</v>
      </c>
      <c r="D705" s="605">
        <v>0.99926000000000004</v>
      </c>
      <c r="F705" s="123"/>
    </row>
    <row r="706" spans="2:6" x14ac:dyDescent="0.4">
      <c r="B706" s="604">
        <v>119.3</v>
      </c>
      <c r="C706" s="600">
        <v>8.2511923629999995</v>
      </c>
      <c r="D706" s="605">
        <v>0.99926999999999999</v>
      </c>
      <c r="F706" s="123"/>
    </row>
    <row r="707" spans="2:6" x14ac:dyDescent="0.4">
      <c r="B707" s="604">
        <v>119.4</v>
      </c>
      <c r="C707" s="600">
        <v>8.2509250009999988</v>
      </c>
      <c r="D707" s="605">
        <v>0.99926999999999999</v>
      </c>
      <c r="F707" s="123"/>
    </row>
    <row r="708" spans="2:6" x14ac:dyDescent="0.4">
      <c r="B708" s="604">
        <v>119.5</v>
      </c>
      <c r="C708" s="600">
        <v>8.2507913199999994</v>
      </c>
      <c r="D708" s="605">
        <v>0.99926999999999999</v>
      </c>
      <c r="F708" s="123"/>
    </row>
    <row r="709" spans="2:6" x14ac:dyDescent="0.4">
      <c r="B709" s="604">
        <v>119.6</v>
      </c>
      <c r="C709" s="600">
        <v>8.2505239580000005</v>
      </c>
      <c r="D709" s="605">
        <v>0.99927999999999995</v>
      </c>
      <c r="F709" s="123"/>
    </row>
    <row r="710" spans="2:6" x14ac:dyDescent="0.4">
      <c r="B710" s="604">
        <v>119.7</v>
      </c>
      <c r="C710" s="600">
        <v>8.2503902769999993</v>
      </c>
      <c r="D710" s="605">
        <v>0.99927999999999995</v>
      </c>
      <c r="F710" s="123"/>
    </row>
    <row r="711" spans="2:6" x14ac:dyDescent="0.4">
      <c r="B711" s="604">
        <v>119.8</v>
      </c>
      <c r="C711" s="600">
        <v>8.2501229150000004</v>
      </c>
      <c r="D711" s="605">
        <v>0.99929000000000001</v>
      </c>
      <c r="F711" s="123"/>
    </row>
    <row r="712" spans="2:6" x14ac:dyDescent="0.4">
      <c r="B712" s="604">
        <v>119.9</v>
      </c>
      <c r="C712" s="600">
        <v>8.2499892339999992</v>
      </c>
      <c r="D712" s="605">
        <v>0.99929000000000001</v>
      </c>
      <c r="F712" s="123"/>
    </row>
    <row r="713" spans="2:6" x14ac:dyDescent="0.4">
      <c r="B713" s="604">
        <v>120</v>
      </c>
      <c r="C713" s="600">
        <v>8.2497218720000003</v>
      </c>
      <c r="D713" s="605">
        <v>0.99929000000000001</v>
      </c>
      <c r="F713" s="123"/>
    </row>
    <row r="714" spans="2:6" x14ac:dyDescent="0.4">
      <c r="B714" s="604">
        <v>120.1</v>
      </c>
      <c r="C714" s="600">
        <v>8.2495604210500009</v>
      </c>
      <c r="D714" s="605">
        <v>0.99929999999999997</v>
      </c>
      <c r="F714" s="123"/>
    </row>
    <row r="715" spans="2:6" x14ac:dyDescent="0.4">
      <c r="B715" s="604">
        <v>120.2</v>
      </c>
      <c r="C715" s="600">
        <v>8.2492930599500003</v>
      </c>
      <c r="D715" s="605">
        <v>0.99929999999999997</v>
      </c>
      <c r="F715" s="123"/>
    </row>
    <row r="716" spans="2:6" x14ac:dyDescent="0.4">
      <c r="B716" s="604">
        <v>120.3</v>
      </c>
      <c r="C716" s="600">
        <v>8.2491593794</v>
      </c>
      <c r="D716" s="605">
        <v>0.99929999999999997</v>
      </c>
      <c r="F716" s="123"/>
    </row>
    <row r="717" spans="2:6" x14ac:dyDescent="0.4">
      <c r="B717" s="604">
        <v>120.4</v>
      </c>
      <c r="C717" s="600">
        <v>8.2488920183000012</v>
      </c>
      <c r="D717" s="605">
        <v>0.99931000000000003</v>
      </c>
      <c r="F717" s="123"/>
    </row>
    <row r="718" spans="2:6" x14ac:dyDescent="0.4">
      <c r="B718" s="604">
        <v>120.5</v>
      </c>
      <c r="C718" s="600">
        <v>8.2486246572000006</v>
      </c>
      <c r="D718" s="605">
        <v>0.99931000000000003</v>
      </c>
      <c r="F718" s="123"/>
    </row>
    <row r="719" spans="2:6" x14ac:dyDescent="0.4">
      <c r="B719" s="604">
        <v>120.6</v>
      </c>
      <c r="C719" s="600">
        <v>8.2484909766500003</v>
      </c>
      <c r="D719" s="605">
        <v>0.99931000000000003</v>
      </c>
      <c r="F719" s="123"/>
    </row>
    <row r="720" spans="2:6" x14ac:dyDescent="0.4">
      <c r="B720" s="604">
        <v>120.7</v>
      </c>
      <c r="C720" s="600">
        <v>8.2482236155500015</v>
      </c>
      <c r="D720" s="605">
        <v>0.99931999999999999</v>
      </c>
      <c r="F720" s="123"/>
    </row>
    <row r="721" spans="2:6" x14ac:dyDescent="0.4">
      <c r="B721" s="604">
        <v>120.8</v>
      </c>
      <c r="C721" s="600">
        <v>8.2480899350000012</v>
      </c>
      <c r="D721" s="605">
        <v>0.99931999999999999</v>
      </c>
      <c r="F721" s="123"/>
    </row>
    <row r="722" spans="2:6" x14ac:dyDescent="0.4">
      <c r="B722" s="604">
        <v>120.9</v>
      </c>
      <c r="C722" s="600">
        <v>8.2478225739000006</v>
      </c>
      <c r="D722" s="605">
        <v>0.99931999999999999</v>
      </c>
      <c r="F722" s="123"/>
    </row>
    <row r="723" spans="2:6" x14ac:dyDescent="0.4">
      <c r="B723" s="604">
        <v>121</v>
      </c>
      <c r="C723" s="600">
        <v>8.2476888933500003</v>
      </c>
      <c r="D723" s="605">
        <v>0.99933000000000005</v>
      </c>
      <c r="F723" s="123"/>
    </row>
    <row r="724" spans="2:6" x14ac:dyDescent="0.4">
      <c r="B724" s="604">
        <v>121.1</v>
      </c>
      <c r="C724" s="600">
        <v>8.2474215322499997</v>
      </c>
      <c r="D724" s="605">
        <v>0.99933000000000005</v>
      </c>
      <c r="F724" s="123"/>
    </row>
    <row r="725" spans="2:6" x14ac:dyDescent="0.4">
      <c r="B725" s="604">
        <v>121.2</v>
      </c>
      <c r="C725" s="600">
        <v>8.2472878517000012</v>
      </c>
      <c r="D725" s="605">
        <v>0.99934000000000001</v>
      </c>
      <c r="F725" s="123"/>
    </row>
    <row r="726" spans="2:6" x14ac:dyDescent="0.4">
      <c r="B726" s="604">
        <v>121.3</v>
      </c>
      <c r="C726" s="600">
        <v>8.2470204906000006</v>
      </c>
      <c r="D726" s="605">
        <v>0.99934000000000001</v>
      </c>
      <c r="F726" s="123"/>
    </row>
    <row r="727" spans="2:6" x14ac:dyDescent="0.4">
      <c r="B727" s="604">
        <v>121.4</v>
      </c>
      <c r="C727" s="600">
        <v>8.2467531295000001</v>
      </c>
      <c r="D727" s="605">
        <v>0.99934000000000001</v>
      </c>
      <c r="F727" s="123"/>
    </row>
    <row r="728" spans="2:6" x14ac:dyDescent="0.4">
      <c r="B728" s="604">
        <v>121.5</v>
      </c>
      <c r="C728" s="600">
        <v>8.2466194489499998</v>
      </c>
      <c r="D728" s="605">
        <v>0.99934999999999996</v>
      </c>
      <c r="F728" s="123"/>
    </row>
    <row r="729" spans="2:6" x14ac:dyDescent="0.4">
      <c r="B729" s="604">
        <v>121.6</v>
      </c>
      <c r="C729" s="600">
        <v>8.246352087850001</v>
      </c>
      <c r="D729" s="605">
        <v>0.99934999999999996</v>
      </c>
      <c r="F729" s="123"/>
    </row>
    <row r="730" spans="2:6" x14ac:dyDescent="0.4">
      <c r="B730" s="604">
        <v>121.7</v>
      </c>
      <c r="C730" s="600">
        <v>8.2462184073000007</v>
      </c>
      <c r="D730" s="605">
        <v>0.99934999999999996</v>
      </c>
      <c r="F730" s="123"/>
    </row>
    <row r="731" spans="2:6" x14ac:dyDescent="0.4">
      <c r="B731" s="604">
        <v>121.8</v>
      </c>
      <c r="C731" s="600">
        <v>8.2459510462000001</v>
      </c>
      <c r="D731" s="605">
        <v>0.99936000000000003</v>
      </c>
      <c r="F731" s="123"/>
    </row>
    <row r="732" spans="2:6" x14ac:dyDescent="0.4">
      <c r="B732" s="604">
        <v>121.9</v>
      </c>
      <c r="C732" s="600">
        <v>8.2458173656499998</v>
      </c>
      <c r="D732" s="605">
        <v>0.99936000000000003</v>
      </c>
      <c r="F732" s="123"/>
    </row>
    <row r="733" spans="2:6" x14ac:dyDescent="0.4">
      <c r="B733" s="604">
        <v>122</v>
      </c>
      <c r="C733" s="600">
        <v>8.245550004550001</v>
      </c>
      <c r="D733" s="605">
        <v>0.99936000000000003</v>
      </c>
      <c r="F733" s="123"/>
    </row>
    <row r="734" spans="2:6" x14ac:dyDescent="0.4">
      <c r="B734" s="604">
        <v>122.1</v>
      </c>
      <c r="C734" s="600">
        <v>8.2452826434500004</v>
      </c>
      <c r="D734" s="605">
        <v>0.99936999999999998</v>
      </c>
      <c r="F734" s="123"/>
    </row>
    <row r="735" spans="2:6" x14ac:dyDescent="0.4">
      <c r="B735" s="604">
        <v>122.2</v>
      </c>
      <c r="C735" s="600">
        <v>8.2451489629000001</v>
      </c>
      <c r="D735" s="605">
        <v>0.99936999999999998</v>
      </c>
      <c r="F735" s="123"/>
    </row>
    <row r="736" spans="2:6" x14ac:dyDescent="0.4">
      <c r="B736" s="604">
        <v>122.3</v>
      </c>
      <c r="C736" s="600">
        <v>8.2448816018000013</v>
      </c>
      <c r="D736" s="605">
        <v>0.99938000000000005</v>
      </c>
      <c r="F736" s="123"/>
    </row>
    <row r="737" spans="2:6" x14ac:dyDescent="0.4">
      <c r="B737" s="604">
        <v>122.4</v>
      </c>
      <c r="C737" s="600">
        <v>8.244747921250001</v>
      </c>
      <c r="D737" s="605">
        <v>0.99938000000000005</v>
      </c>
      <c r="F737" s="123"/>
    </row>
    <row r="738" spans="2:6" x14ac:dyDescent="0.4">
      <c r="B738" s="604">
        <v>122.5</v>
      </c>
      <c r="C738" s="600">
        <v>8.2444805601500004</v>
      </c>
      <c r="D738" s="605">
        <v>0.99938000000000005</v>
      </c>
      <c r="F738" s="123"/>
    </row>
    <row r="739" spans="2:6" x14ac:dyDescent="0.4">
      <c r="B739" s="604">
        <v>122.6</v>
      </c>
      <c r="C739" s="600">
        <v>8.2443468796000001</v>
      </c>
      <c r="D739" s="605">
        <v>0.99939</v>
      </c>
      <c r="F739" s="123"/>
    </row>
    <row r="740" spans="2:6" x14ac:dyDescent="0.4">
      <c r="B740" s="604">
        <v>122.7</v>
      </c>
      <c r="C740" s="600">
        <v>8.2440795185000013</v>
      </c>
      <c r="D740" s="605">
        <v>0.99939</v>
      </c>
      <c r="F740" s="123"/>
    </row>
    <row r="741" spans="2:6" x14ac:dyDescent="0.4">
      <c r="B741" s="604">
        <v>122.8</v>
      </c>
      <c r="C741" s="600">
        <v>8.2438121574000007</v>
      </c>
      <c r="D741" s="605">
        <v>0.99939999999999996</v>
      </c>
      <c r="F741" s="123"/>
    </row>
    <row r="742" spans="2:6" x14ac:dyDescent="0.4">
      <c r="B742" s="604">
        <v>122.9</v>
      </c>
      <c r="C742" s="600">
        <v>8.2436784768500004</v>
      </c>
      <c r="D742" s="605">
        <v>0.99939999999999996</v>
      </c>
      <c r="F742" s="123"/>
    </row>
    <row r="743" spans="2:6" x14ac:dyDescent="0.4">
      <c r="B743" s="604">
        <v>123</v>
      </c>
      <c r="C743" s="600">
        <v>8.2434111157499999</v>
      </c>
      <c r="D743" s="605">
        <v>0.99939999999999996</v>
      </c>
      <c r="F743" s="123"/>
    </row>
    <row r="744" spans="2:6" x14ac:dyDescent="0.4">
      <c r="B744" s="604">
        <v>123.1</v>
      </c>
      <c r="C744" s="600">
        <v>8.2432774352000013</v>
      </c>
      <c r="D744" s="605">
        <v>0.99941000000000002</v>
      </c>
      <c r="F744" s="123"/>
    </row>
    <row r="745" spans="2:6" x14ac:dyDescent="0.4">
      <c r="B745" s="604">
        <v>123.2</v>
      </c>
      <c r="C745" s="600">
        <v>8.2430100741000008</v>
      </c>
      <c r="D745" s="605">
        <v>0.99941000000000002</v>
      </c>
      <c r="F745" s="123"/>
    </row>
    <row r="746" spans="2:6" x14ac:dyDescent="0.4">
      <c r="B746" s="604">
        <v>123.3</v>
      </c>
      <c r="C746" s="600">
        <v>8.2428763935500005</v>
      </c>
      <c r="D746" s="605">
        <v>0.99941000000000002</v>
      </c>
      <c r="F746" s="123"/>
    </row>
    <row r="747" spans="2:6" x14ac:dyDescent="0.4">
      <c r="B747" s="604">
        <v>123.4</v>
      </c>
      <c r="C747" s="600">
        <v>8.2426090324499999</v>
      </c>
      <c r="D747" s="605">
        <v>0.99941999999999998</v>
      </c>
      <c r="F747" s="123"/>
    </row>
    <row r="748" spans="2:6" x14ac:dyDescent="0.4">
      <c r="B748" s="604">
        <v>123.5</v>
      </c>
      <c r="C748" s="600">
        <v>8.2423416713499993</v>
      </c>
      <c r="D748" s="605">
        <v>0.99941999999999998</v>
      </c>
      <c r="F748" s="123"/>
    </row>
    <row r="749" spans="2:6" x14ac:dyDescent="0.4">
      <c r="B749" s="604">
        <v>123.6</v>
      </c>
      <c r="C749" s="600">
        <v>8.2422079908000008</v>
      </c>
      <c r="D749" s="605">
        <v>0.99943000000000004</v>
      </c>
      <c r="F749" s="123"/>
    </row>
    <row r="750" spans="2:6" x14ac:dyDescent="0.4">
      <c r="B750" s="604">
        <v>123.7</v>
      </c>
      <c r="C750" s="600">
        <v>8.2419406297000002</v>
      </c>
      <c r="D750" s="605">
        <v>0.99943000000000004</v>
      </c>
      <c r="F750" s="123"/>
    </row>
    <row r="751" spans="2:6" x14ac:dyDescent="0.4">
      <c r="B751" s="604">
        <v>123.8</v>
      </c>
      <c r="C751" s="600">
        <v>8.2418069491499999</v>
      </c>
      <c r="D751" s="605">
        <v>0.99943000000000004</v>
      </c>
      <c r="F751" s="123"/>
    </row>
    <row r="752" spans="2:6" x14ac:dyDescent="0.4">
      <c r="B752" s="604">
        <v>123.9</v>
      </c>
      <c r="C752" s="600">
        <v>8.2415395880500011</v>
      </c>
      <c r="D752" s="605">
        <v>0.99944</v>
      </c>
      <c r="F752" s="123"/>
    </row>
    <row r="753" spans="2:6" x14ac:dyDescent="0.4">
      <c r="B753" s="604">
        <v>124</v>
      </c>
      <c r="C753" s="600">
        <v>8.2412722269500005</v>
      </c>
      <c r="D753" s="605">
        <v>0.99944</v>
      </c>
      <c r="F753" s="123"/>
    </row>
    <row r="754" spans="2:6" x14ac:dyDescent="0.4">
      <c r="B754" s="604">
        <v>124.1</v>
      </c>
      <c r="C754" s="600">
        <v>8.2411385464000002</v>
      </c>
      <c r="D754" s="605">
        <v>0.99944999999999995</v>
      </c>
      <c r="F754" s="123"/>
    </row>
    <row r="755" spans="2:6" x14ac:dyDescent="0.4">
      <c r="B755" s="604">
        <v>124.2</v>
      </c>
      <c r="C755" s="600">
        <v>8.2408711853000014</v>
      </c>
      <c r="D755" s="605">
        <v>0.99944999999999995</v>
      </c>
      <c r="F755" s="123"/>
    </row>
    <row r="756" spans="2:6" x14ac:dyDescent="0.4">
      <c r="B756" s="604">
        <v>124.3</v>
      </c>
      <c r="C756" s="600">
        <v>8.2407375047500011</v>
      </c>
      <c r="D756" s="605">
        <v>0.99944999999999995</v>
      </c>
      <c r="F756" s="123"/>
    </row>
    <row r="757" spans="2:6" x14ac:dyDescent="0.4">
      <c r="B757" s="604">
        <v>124.4</v>
      </c>
      <c r="C757" s="600">
        <v>8.2404701436500005</v>
      </c>
      <c r="D757" s="605">
        <v>0.99946000000000002</v>
      </c>
      <c r="F757" s="123"/>
    </row>
    <row r="758" spans="2:6" x14ac:dyDescent="0.4">
      <c r="B758" s="604">
        <v>124.5</v>
      </c>
      <c r="C758" s="600">
        <v>8.2402027825499999</v>
      </c>
      <c r="D758" s="605">
        <v>0.99946000000000002</v>
      </c>
      <c r="F758" s="123"/>
    </row>
    <row r="759" spans="2:6" x14ac:dyDescent="0.4">
      <c r="B759" s="604">
        <v>124.6</v>
      </c>
      <c r="C759" s="600">
        <v>8.2400691020000014</v>
      </c>
      <c r="D759" s="605">
        <v>0.99946999999999997</v>
      </c>
      <c r="F759" s="123"/>
    </row>
    <row r="760" spans="2:6" x14ac:dyDescent="0.4">
      <c r="B760" s="604">
        <v>124.7</v>
      </c>
      <c r="C760" s="600">
        <v>8.2398017409000008</v>
      </c>
      <c r="D760" s="605">
        <v>0.99946999999999997</v>
      </c>
      <c r="F760" s="123"/>
    </row>
    <row r="761" spans="2:6" x14ac:dyDescent="0.4">
      <c r="B761" s="604">
        <v>124.8</v>
      </c>
      <c r="C761" s="600">
        <v>8.2396680603500005</v>
      </c>
      <c r="D761" s="605">
        <v>0.99946999999999997</v>
      </c>
      <c r="F761" s="123"/>
    </row>
    <row r="762" spans="2:6" x14ac:dyDescent="0.4">
      <c r="B762" s="604">
        <v>124.9</v>
      </c>
      <c r="C762" s="600">
        <v>8.23940069925</v>
      </c>
      <c r="D762" s="605">
        <v>0.99948000000000004</v>
      </c>
      <c r="F762" s="123"/>
    </row>
    <row r="763" spans="2:6" x14ac:dyDescent="0.4">
      <c r="B763" s="604">
        <v>125</v>
      </c>
      <c r="C763" s="600">
        <v>8.2391333381500012</v>
      </c>
      <c r="D763" s="605">
        <v>0.99948000000000004</v>
      </c>
      <c r="F763" s="123"/>
    </row>
    <row r="764" spans="2:6" x14ac:dyDescent="0.4">
      <c r="B764" s="604">
        <v>125.1</v>
      </c>
      <c r="C764" s="600">
        <v>8.2389996576000009</v>
      </c>
      <c r="D764" s="605">
        <v>0.99948999999999999</v>
      </c>
      <c r="F764" s="123"/>
    </row>
    <row r="765" spans="2:6" x14ac:dyDescent="0.4">
      <c r="B765" s="604">
        <v>125.2</v>
      </c>
      <c r="C765" s="600">
        <v>8.2387322965000003</v>
      </c>
      <c r="D765" s="605">
        <v>0.99948999999999999</v>
      </c>
      <c r="F765" s="123"/>
    </row>
    <row r="766" spans="2:6" x14ac:dyDescent="0.4">
      <c r="B766" s="604">
        <v>125.3</v>
      </c>
      <c r="C766" s="600">
        <v>8.23859861595</v>
      </c>
      <c r="D766" s="605">
        <v>0.99950000000000006</v>
      </c>
      <c r="F766" s="123"/>
    </row>
    <row r="767" spans="2:6" x14ac:dyDescent="0.4">
      <c r="B767" s="604">
        <v>125.4</v>
      </c>
      <c r="C767" s="600">
        <v>8.2383312548500012</v>
      </c>
      <c r="D767" s="605">
        <v>0.99950000000000006</v>
      </c>
      <c r="F767" s="123"/>
    </row>
    <row r="768" spans="2:6" x14ac:dyDescent="0.4">
      <c r="B768" s="604">
        <v>125.5</v>
      </c>
      <c r="C768" s="600">
        <v>8.2380638937500006</v>
      </c>
      <c r="D768" s="605">
        <v>0.99950000000000006</v>
      </c>
      <c r="F768" s="123"/>
    </row>
    <row r="769" spans="2:6" x14ac:dyDescent="0.4">
      <c r="B769" s="604">
        <v>125.6</v>
      </c>
      <c r="C769" s="600">
        <v>8.2379302132000003</v>
      </c>
      <c r="D769" s="605">
        <v>0.99951000000000001</v>
      </c>
      <c r="F769" s="123"/>
    </row>
    <row r="770" spans="2:6" x14ac:dyDescent="0.4">
      <c r="B770" s="604">
        <v>125.7</v>
      </c>
      <c r="C770" s="600">
        <v>8.2376628520999997</v>
      </c>
      <c r="D770" s="605">
        <v>0.99951000000000001</v>
      </c>
      <c r="F770" s="123"/>
    </row>
    <row r="771" spans="2:6" x14ac:dyDescent="0.4">
      <c r="B771" s="604">
        <v>125.8</v>
      </c>
      <c r="C771" s="600">
        <v>8.2375291715500012</v>
      </c>
      <c r="D771" s="605">
        <v>0.99951999999999996</v>
      </c>
      <c r="F771" s="123"/>
    </row>
    <row r="772" spans="2:6" x14ac:dyDescent="0.4">
      <c r="B772" s="604">
        <v>125.9</v>
      </c>
      <c r="C772" s="600">
        <v>8.2372618104500006</v>
      </c>
      <c r="D772" s="605">
        <v>0.99951999999999996</v>
      </c>
      <c r="F772" s="123"/>
    </row>
    <row r="773" spans="2:6" x14ac:dyDescent="0.4">
      <c r="B773" s="604">
        <v>126</v>
      </c>
      <c r="C773" s="600">
        <v>8.23699444935</v>
      </c>
      <c r="D773" s="605">
        <v>0.99951999999999996</v>
      </c>
      <c r="F773" s="123"/>
    </row>
    <row r="774" spans="2:6" x14ac:dyDescent="0.4">
      <c r="B774" s="604">
        <v>126.1</v>
      </c>
      <c r="C774" s="600">
        <v>8.2368607687999997</v>
      </c>
      <c r="D774" s="605">
        <v>0.99953000000000003</v>
      </c>
      <c r="F774" s="123"/>
    </row>
    <row r="775" spans="2:6" x14ac:dyDescent="0.4">
      <c r="B775" s="604">
        <v>126.2</v>
      </c>
      <c r="C775" s="600">
        <v>8.2365934077000009</v>
      </c>
      <c r="D775" s="605">
        <v>0.99953000000000003</v>
      </c>
      <c r="F775" s="123"/>
    </row>
    <row r="776" spans="2:6" x14ac:dyDescent="0.4">
      <c r="B776" s="604">
        <v>126.3</v>
      </c>
      <c r="C776" s="600">
        <v>8.2363260466000003</v>
      </c>
      <c r="D776" s="605">
        <v>0.99953999999999998</v>
      </c>
      <c r="F776" s="123"/>
    </row>
    <row r="777" spans="2:6" x14ac:dyDescent="0.4">
      <c r="B777" s="604">
        <v>126.4</v>
      </c>
      <c r="C777" s="600">
        <v>8.23619236605</v>
      </c>
      <c r="D777" s="605">
        <v>0.99953999999999998</v>
      </c>
      <c r="F777" s="123"/>
    </row>
    <row r="778" spans="2:6" x14ac:dyDescent="0.4">
      <c r="B778" s="604">
        <v>126.5</v>
      </c>
      <c r="C778" s="600">
        <v>8.2359250049500012</v>
      </c>
      <c r="D778" s="605">
        <v>0.99955000000000005</v>
      </c>
      <c r="F778" s="123"/>
    </row>
    <row r="779" spans="2:6" x14ac:dyDescent="0.4">
      <c r="B779" s="604">
        <v>126.6</v>
      </c>
      <c r="C779" s="600">
        <v>8.2357913244000009</v>
      </c>
      <c r="D779" s="605">
        <v>0.99955000000000005</v>
      </c>
      <c r="F779" s="123"/>
    </row>
    <row r="780" spans="2:6" x14ac:dyDescent="0.4">
      <c r="B780" s="604">
        <v>126.7</v>
      </c>
      <c r="C780" s="600">
        <v>8.2355239633000004</v>
      </c>
      <c r="D780" s="605">
        <v>0.99955000000000005</v>
      </c>
      <c r="F780" s="123"/>
    </row>
    <row r="781" spans="2:6" x14ac:dyDescent="0.4">
      <c r="B781" s="604">
        <v>126.8</v>
      </c>
      <c r="C781" s="600">
        <v>8.2352566021999998</v>
      </c>
      <c r="D781" s="605">
        <v>0.99956</v>
      </c>
      <c r="F781" s="123"/>
    </row>
    <row r="782" spans="2:6" x14ac:dyDescent="0.4">
      <c r="B782" s="604">
        <v>126.9</v>
      </c>
      <c r="C782" s="600">
        <v>8.2351229216500013</v>
      </c>
      <c r="D782" s="605">
        <v>0.99956</v>
      </c>
      <c r="F782" s="123"/>
    </row>
    <row r="783" spans="2:6" x14ac:dyDescent="0.4">
      <c r="B783" s="604">
        <v>127</v>
      </c>
      <c r="C783" s="600">
        <v>8.2348555605500007</v>
      </c>
      <c r="D783" s="605">
        <v>0.99956999999999996</v>
      </c>
      <c r="F783" s="123"/>
    </row>
    <row r="784" spans="2:6" x14ac:dyDescent="0.4">
      <c r="B784" s="604">
        <v>127.1</v>
      </c>
      <c r="C784" s="600">
        <v>8.2345881994500001</v>
      </c>
      <c r="D784" s="605">
        <v>0.99956999999999996</v>
      </c>
      <c r="F784" s="123"/>
    </row>
    <row r="785" spans="2:6" x14ac:dyDescent="0.4">
      <c r="B785" s="604">
        <v>127.2</v>
      </c>
      <c r="C785" s="600">
        <v>8.2344545188999998</v>
      </c>
      <c r="D785" s="605">
        <v>0.99958000000000002</v>
      </c>
      <c r="F785" s="123"/>
    </row>
    <row r="786" spans="2:6" x14ac:dyDescent="0.4">
      <c r="B786" s="604">
        <v>127.3</v>
      </c>
      <c r="C786" s="600">
        <v>8.2341871577999992</v>
      </c>
      <c r="D786" s="605">
        <v>0.99958000000000002</v>
      </c>
      <c r="F786" s="123"/>
    </row>
    <row r="787" spans="2:6" x14ac:dyDescent="0.4">
      <c r="B787" s="604">
        <v>127.4</v>
      </c>
      <c r="C787" s="600">
        <v>8.2339197967000004</v>
      </c>
      <c r="D787" s="605">
        <v>0.99958000000000002</v>
      </c>
      <c r="F787" s="123"/>
    </row>
    <row r="788" spans="2:6" x14ac:dyDescent="0.4">
      <c r="B788" s="604">
        <v>127.5</v>
      </c>
      <c r="C788" s="600">
        <v>8.2337861161500019</v>
      </c>
      <c r="D788" s="605">
        <v>0.99958999999999998</v>
      </c>
      <c r="F788" s="123"/>
    </row>
    <row r="789" spans="2:6" x14ac:dyDescent="0.4">
      <c r="B789" s="604">
        <v>127.6</v>
      </c>
      <c r="C789" s="600">
        <v>8.2335187550500013</v>
      </c>
      <c r="D789" s="605">
        <v>0.99958999999999998</v>
      </c>
      <c r="F789" s="123"/>
    </row>
    <row r="790" spans="2:6" x14ac:dyDescent="0.4">
      <c r="B790" s="604">
        <v>127.7</v>
      </c>
      <c r="C790" s="600">
        <v>8.233385074500001</v>
      </c>
      <c r="D790" s="605">
        <v>0.99960000000000004</v>
      </c>
      <c r="F790" s="123"/>
    </row>
    <row r="791" spans="2:6" x14ac:dyDescent="0.4">
      <c r="B791" s="604">
        <v>127.8</v>
      </c>
      <c r="C791" s="600">
        <v>8.2331177134000004</v>
      </c>
      <c r="D791" s="605">
        <v>0.99960000000000004</v>
      </c>
      <c r="F791" s="123"/>
    </row>
    <row r="792" spans="2:6" x14ac:dyDescent="0.4">
      <c r="B792" s="604">
        <v>127.9</v>
      </c>
      <c r="C792" s="600">
        <v>8.2328503522999998</v>
      </c>
      <c r="D792" s="605">
        <v>0.99961</v>
      </c>
      <c r="F792" s="123"/>
    </row>
    <row r="793" spans="2:6" x14ac:dyDescent="0.4">
      <c r="B793" s="604">
        <v>128</v>
      </c>
      <c r="C793" s="600">
        <v>8.2327166717500013</v>
      </c>
      <c r="D793" s="605">
        <v>0.99961</v>
      </c>
      <c r="F793" s="123"/>
    </row>
    <row r="794" spans="2:6" x14ac:dyDescent="0.4">
      <c r="B794" s="604">
        <v>128.1</v>
      </c>
      <c r="C794" s="600">
        <v>8.2324493106500007</v>
      </c>
      <c r="D794" s="605">
        <v>0.99961999999999995</v>
      </c>
      <c r="F794" s="123"/>
    </row>
    <row r="795" spans="2:6" x14ac:dyDescent="0.4">
      <c r="B795" s="604">
        <v>128.19999999999999</v>
      </c>
      <c r="C795" s="600">
        <v>8.2321819495500002</v>
      </c>
      <c r="D795" s="605">
        <v>0.99961999999999995</v>
      </c>
      <c r="F795" s="123"/>
    </row>
    <row r="796" spans="2:6" x14ac:dyDescent="0.4">
      <c r="B796" s="604">
        <v>128.30000000000001</v>
      </c>
      <c r="C796" s="600">
        <v>8.2320482689999999</v>
      </c>
      <c r="D796" s="605">
        <v>0.99963000000000002</v>
      </c>
      <c r="F796" s="123"/>
    </row>
    <row r="797" spans="2:6" x14ac:dyDescent="0.4">
      <c r="B797" s="604">
        <v>128.4</v>
      </c>
      <c r="C797" s="600">
        <v>8.2317809079000011</v>
      </c>
      <c r="D797" s="605">
        <v>0.99963000000000002</v>
      </c>
      <c r="F797" s="123"/>
    </row>
    <row r="798" spans="2:6" x14ac:dyDescent="0.4">
      <c r="B798" s="604">
        <v>128.5</v>
      </c>
      <c r="C798" s="600">
        <v>8.2315135468000005</v>
      </c>
      <c r="D798" s="605">
        <v>0.99963000000000002</v>
      </c>
      <c r="F798" s="123"/>
    </row>
    <row r="799" spans="2:6" x14ac:dyDescent="0.4">
      <c r="B799" s="604">
        <v>128.6</v>
      </c>
      <c r="C799" s="600">
        <v>8.2313798662500002</v>
      </c>
      <c r="D799" s="605">
        <v>0.99963999999999997</v>
      </c>
      <c r="F799" s="123"/>
    </row>
    <row r="800" spans="2:6" x14ac:dyDescent="0.4">
      <c r="B800" s="604">
        <v>128.69999999999999</v>
      </c>
      <c r="C800" s="600">
        <v>8.2311125051500014</v>
      </c>
      <c r="D800" s="605">
        <v>0.99963999999999997</v>
      </c>
      <c r="F800" s="123"/>
    </row>
    <row r="801" spans="2:6" x14ac:dyDescent="0.4">
      <c r="B801" s="604">
        <v>128.80000000000001</v>
      </c>
      <c r="C801" s="600">
        <v>8.2308451440500008</v>
      </c>
      <c r="D801" s="605">
        <v>0.99965000000000004</v>
      </c>
      <c r="F801" s="123"/>
    </row>
    <row r="802" spans="2:6" x14ac:dyDescent="0.4">
      <c r="B802" s="604">
        <v>128.9</v>
      </c>
      <c r="C802" s="600">
        <v>8.2307114635000005</v>
      </c>
      <c r="D802" s="605">
        <v>0.99965000000000004</v>
      </c>
      <c r="F802" s="123"/>
    </row>
    <row r="803" spans="2:6" x14ac:dyDescent="0.4">
      <c r="B803" s="604">
        <v>129</v>
      </c>
      <c r="C803" s="600">
        <v>8.2304441023999999</v>
      </c>
      <c r="D803" s="605">
        <v>0.99965999999999999</v>
      </c>
      <c r="F803" s="123"/>
    </row>
    <row r="804" spans="2:6" x14ac:dyDescent="0.4">
      <c r="B804" s="604">
        <v>129.1</v>
      </c>
      <c r="C804" s="600">
        <v>8.2303104218500014</v>
      </c>
      <c r="D804" s="605">
        <v>0.99965999999999999</v>
      </c>
      <c r="F804" s="123"/>
    </row>
    <row r="805" spans="2:6" x14ac:dyDescent="0.4">
      <c r="B805" s="604">
        <v>129.19999999999999</v>
      </c>
      <c r="C805" s="600">
        <v>8.2300430607500008</v>
      </c>
      <c r="D805" s="605">
        <v>0.99966999999999995</v>
      </c>
      <c r="F805" s="123"/>
    </row>
    <row r="806" spans="2:6" x14ac:dyDescent="0.4">
      <c r="B806" s="604">
        <v>129.30000000000001</v>
      </c>
      <c r="C806" s="600">
        <v>8.2297756996500002</v>
      </c>
      <c r="D806" s="605">
        <v>0.99966999999999995</v>
      </c>
      <c r="F806" s="123"/>
    </row>
    <row r="807" spans="2:6" x14ac:dyDescent="0.4">
      <c r="B807" s="604">
        <v>129.4</v>
      </c>
      <c r="C807" s="600">
        <v>8.2296420190999999</v>
      </c>
      <c r="D807" s="605">
        <v>0.99968000000000001</v>
      </c>
      <c r="F807" s="123"/>
    </row>
    <row r="808" spans="2:6" x14ac:dyDescent="0.4">
      <c r="B808" s="604">
        <v>129.5</v>
      </c>
      <c r="C808" s="600">
        <v>8.2293746580000011</v>
      </c>
      <c r="D808" s="605">
        <v>0.99968000000000001</v>
      </c>
      <c r="F808" s="123"/>
    </row>
    <row r="809" spans="2:6" x14ac:dyDescent="0.4">
      <c r="B809" s="604">
        <v>129.6</v>
      </c>
      <c r="C809" s="600">
        <v>8.2291072969000005</v>
      </c>
      <c r="D809" s="605">
        <v>0.99968000000000001</v>
      </c>
      <c r="F809" s="123"/>
    </row>
    <row r="810" spans="2:6" x14ac:dyDescent="0.4">
      <c r="B810" s="604">
        <v>129.69999999999999</v>
      </c>
      <c r="C810" s="600">
        <v>8.2289736163500002</v>
      </c>
      <c r="D810" s="605">
        <v>0.99968999999999997</v>
      </c>
      <c r="F810" s="123"/>
    </row>
    <row r="811" spans="2:6" x14ac:dyDescent="0.4">
      <c r="B811" s="604">
        <v>129.80000000000001</v>
      </c>
      <c r="C811" s="600">
        <v>8.2287062552499997</v>
      </c>
      <c r="D811" s="605">
        <v>0.99968999999999997</v>
      </c>
      <c r="F811" s="123"/>
    </row>
    <row r="812" spans="2:6" x14ac:dyDescent="0.4">
      <c r="B812" s="604">
        <v>129.9</v>
      </c>
      <c r="C812" s="600">
        <v>8.2284388941500008</v>
      </c>
      <c r="D812" s="605">
        <v>0.99970000000000003</v>
      </c>
      <c r="F812" s="123"/>
    </row>
    <row r="813" spans="2:6" x14ac:dyDescent="0.4">
      <c r="B813" s="604">
        <v>130</v>
      </c>
      <c r="C813" s="600">
        <v>8.2283052136000006</v>
      </c>
      <c r="D813" s="605">
        <v>0.99970000000000003</v>
      </c>
      <c r="F813" s="123"/>
    </row>
    <row r="814" spans="2:6" x14ac:dyDescent="0.4">
      <c r="B814" s="604">
        <v>130.1</v>
      </c>
      <c r="C814" s="600">
        <v>8.2280378525</v>
      </c>
      <c r="D814" s="605">
        <v>0.99970999999999999</v>
      </c>
      <c r="F814" s="123"/>
    </row>
    <row r="815" spans="2:6" x14ac:dyDescent="0.4">
      <c r="B815" s="604">
        <v>130.19999999999999</v>
      </c>
      <c r="C815" s="600">
        <v>8.2277704914000012</v>
      </c>
      <c r="D815" s="605">
        <v>0.99970999999999999</v>
      </c>
      <c r="F815" s="123"/>
    </row>
    <row r="816" spans="2:6" x14ac:dyDescent="0.4">
      <c r="B816" s="604">
        <v>130.30000000000001</v>
      </c>
      <c r="C816" s="600">
        <v>8.2276368108500009</v>
      </c>
      <c r="D816" s="605">
        <v>0.99972000000000005</v>
      </c>
      <c r="F816" s="123"/>
    </row>
    <row r="817" spans="2:6" x14ac:dyDescent="0.4">
      <c r="B817" s="604">
        <v>130.4</v>
      </c>
      <c r="C817" s="600">
        <v>8.2273694497500003</v>
      </c>
      <c r="D817" s="605">
        <v>0.99972000000000005</v>
      </c>
      <c r="F817" s="123"/>
    </row>
    <row r="818" spans="2:6" x14ac:dyDescent="0.4">
      <c r="B818" s="604">
        <v>130.5</v>
      </c>
      <c r="C818" s="600">
        <v>8.2271020886499997</v>
      </c>
      <c r="D818" s="605">
        <v>0.99973000000000001</v>
      </c>
      <c r="F818" s="123"/>
    </row>
    <row r="819" spans="2:6" x14ac:dyDescent="0.4">
      <c r="B819" s="604">
        <v>130.6</v>
      </c>
      <c r="C819" s="600">
        <v>8.2269684081000012</v>
      </c>
      <c r="D819" s="605">
        <v>0.99973000000000001</v>
      </c>
      <c r="F819" s="123"/>
    </row>
    <row r="820" spans="2:6" x14ac:dyDescent="0.4">
      <c r="B820" s="604">
        <v>130.69999999999999</v>
      </c>
      <c r="C820" s="600">
        <v>8.2267010470000006</v>
      </c>
      <c r="D820" s="605">
        <v>0.99973999999999996</v>
      </c>
      <c r="F820" s="123"/>
    </row>
    <row r="821" spans="2:6" x14ac:dyDescent="0.4">
      <c r="B821" s="604">
        <v>130.80000000000001</v>
      </c>
      <c r="C821" s="600">
        <v>8.2264336859</v>
      </c>
      <c r="D821" s="605">
        <v>0.99973999999999996</v>
      </c>
      <c r="F821" s="123"/>
    </row>
    <row r="822" spans="2:6" x14ac:dyDescent="0.4">
      <c r="B822" s="604">
        <v>130.9</v>
      </c>
      <c r="C822" s="600">
        <v>8.2263000053499997</v>
      </c>
      <c r="D822" s="605">
        <v>0.99975000000000003</v>
      </c>
      <c r="F822" s="123"/>
    </row>
    <row r="823" spans="2:6" x14ac:dyDescent="0.4">
      <c r="B823" s="604">
        <v>131</v>
      </c>
      <c r="C823" s="600">
        <v>8.2260326442500009</v>
      </c>
      <c r="D823" s="605">
        <v>0.99975000000000003</v>
      </c>
      <c r="F823" s="123"/>
    </row>
    <row r="824" spans="2:6" x14ac:dyDescent="0.4">
      <c r="B824" s="604">
        <v>131.1</v>
      </c>
      <c r="C824" s="600">
        <v>8.2257652831500003</v>
      </c>
      <c r="D824" s="605">
        <v>0.99975999999999998</v>
      </c>
      <c r="F824" s="123"/>
    </row>
    <row r="825" spans="2:6" x14ac:dyDescent="0.4">
      <c r="B825" s="604">
        <v>131.19999999999999</v>
      </c>
      <c r="C825" s="600">
        <v>8.2254979220499997</v>
      </c>
      <c r="D825" s="605">
        <v>0.99975999999999998</v>
      </c>
      <c r="F825" s="123"/>
    </row>
    <row r="826" spans="2:6" x14ac:dyDescent="0.4">
      <c r="B826" s="604">
        <v>131.30000000000001</v>
      </c>
      <c r="C826" s="600">
        <v>8.2253642415000012</v>
      </c>
      <c r="D826" s="605">
        <v>0.99977000000000005</v>
      </c>
      <c r="F826" s="123"/>
    </row>
    <row r="827" spans="2:6" x14ac:dyDescent="0.4">
      <c r="B827" s="604">
        <v>131.4</v>
      </c>
      <c r="C827" s="600">
        <v>8.2250968804000006</v>
      </c>
      <c r="D827" s="605">
        <v>0.99977000000000005</v>
      </c>
      <c r="F827" s="123"/>
    </row>
    <row r="828" spans="2:6" x14ac:dyDescent="0.4">
      <c r="B828" s="604">
        <v>131.5</v>
      </c>
      <c r="C828" s="600">
        <v>8.2248295193000018</v>
      </c>
      <c r="D828" s="605">
        <v>0.99977000000000005</v>
      </c>
      <c r="F828" s="123"/>
    </row>
    <row r="829" spans="2:6" x14ac:dyDescent="0.4">
      <c r="B829" s="604">
        <v>131.6</v>
      </c>
      <c r="C829" s="600">
        <v>8.2246958387499998</v>
      </c>
      <c r="D829" s="605">
        <v>0.99978</v>
      </c>
      <c r="F829" s="123"/>
    </row>
    <row r="830" spans="2:6" x14ac:dyDescent="0.4">
      <c r="B830" s="604">
        <v>131.69999999999999</v>
      </c>
      <c r="C830" s="600">
        <v>8.224428477650001</v>
      </c>
      <c r="D830" s="605">
        <v>0.99978</v>
      </c>
      <c r="F830" s="123"/>
    </row>
    <row r="831" spans="2:6" x14ac:dyDescent="0.4">
      <c r="B831" s="604">
        <v>131.80000000000001</v>
      </c>
      <c r="C831" s="600">
        <v>8.2241611165500004</v>
      </c>
      <c r="D831" s="605">
        <v>0.99978999999999996</v>
      </c>
      <c r="F831" s="123"/>
    </row>
    <row r="832" spans="2:6" x14ac:dyDescent="0.4">
      <c r="B832" s="604">
        <v>131.9</v>
      </c>
      <c r="C832" s="600">
        <v>8.2240274360000019</v>
      </c>
      <c r="D832" s="605">
        <v>0.99978999999999996</v>
      </c>
      <c r="F832" s="123"/>
    </row>
    <row r="833" spans="2:6" x14ac:dyDescent="0.4">
      <c r="B833" s="604">
        <v>132</v>
      </c>
      <c r="C833" s="600">
        <v>8.2237600749000013</v>
      </c>
      <c r="D833" s="605">
        <v>0.99980000000000002</v>
      </c>
      <c r="F833" s="123"/>
    </row>
    <row r="834" spans="2:6" x14ac:dyDescent="0.4">
      <c r="B834" s="604">
        <v>132.1</v>
      </c>
      <c r="C834" s="600">
        <v>8.2234927138000007</v>
      </c>
      <c r="D834" s="605">
        <v>0.99980000000000002</v>
      </c>
      <c r="F834" s="123"/>
    </row>
    <row r="835" spans="2:6" x14ac:dyDescent="0.4">
      <c r="B835" s="604">
        <v>132.19999999999999</v>
      </c>
      <c r="C835" s="600">
        <v>8.2233590332500004</v>
      </c>
      <c r="D835" s="605">
        <v>0.99980999999999998</v>
      </c>
      <c r="F835" s="123"/>
    </row>
    <row r="836" spans="2:6" x14ac:dyDescent="0.4">
      <c r="B836" s="604">
        <v>132.30000000000001</v>
      </c>
      <c r="C836" s="600">
        <v>8.2230916721499998</v>
      </c>
      <c r="D836" s="605">
        <v>0.99980999999999998</v>
      </c>
      <c r="F836" s="123"/>
    </row>
    <row r="837" spans="2:6" x14ac:dyDescent="0.4">
      <c r="B837" s="604">
        <v>132.4</v>
      </c>
      <c r="C837" s="600">
        <v>8.222824311050001</v>
      </c>
      <c r="D837" s="605">
        <v>0.99982000000000004</v>
      </c>
      <c r="F837" s="123"/>
    </row>
    <row r="838" spans="2:6" x14ac:dyDescent="0.4">
      <c r="B838" s="604">
        <v>132.5</v>
      </c>
      <c r="C838" s="600">
        <v>8.2225569499500004</v>
      </c>
      <c r="D838" s="605">
        <v>0.99982000000000004</v>
      </c>
      <c r="F838" s="123"/>
    </row>
    <row r="839" spans="2:6" x14ac:dyDescent="0.4">
      <c r="B839" s="604">
        <v>132.6</v>
      </c>
      <c r="C839" s="600">
        <v>8.2224232694000001</v>
      </c>
      <c r="D839" s="605">
        <v>0.99983</v>
      </c>
      <c r="F839" s="123"/>
    </row>
    <row r="840" spans="2:6" x14ac:dyDescent="0.4">
      <c r="B840" s="604">
        <v>132.69999999999999</v>
      </c>
      <c r="C840" s="600">
        <v>8.2221559083000013</v>
      </c>
      <c r="D840" s="605">
        <v>0.99983</v>
      </c>
      <c r="F840" s="123"/>
    </row>
    <row r="841" spans="2:6" x14ac:dyDescent="0.4">
      <c r="B841" s="604">
        <v>132.80000000000001</v>
      </c>
      <c r="C841" s="600">
        <v>8.2218885472000007</v>
      </c>
      <c r="D841" s="605">
        <v>0.99983999999999995</v>
      </c>
      <c r="F841" s="123"/>
    </row>
    <row r="842" spans="2:6" x14ac:dyDescent="0.4">
      <c r="B842" s="604">
        <v>132.9</v>
      </c>
      <c r="C842" s="600">
        <v>8.2217548666500004</v>
      </c>
      <c r="D842" s="605">
        <v>0.99983999999999995</v>
      </c>
      <c r="F842" s="123"/>
    </row>
    <row r="843" spans="2:6" x14ac:dyDescent="0.4">
      <c r="B843" s="604">
        <v>133</v>
      </c>
      <c r="C843" s="600">
        <v>8.2214875055499999</v>
      </c>
      <c r="D843" s="605">
        <v>0.99985000000000002</v>
      </c>
      <c r="F843" s="123"/>
    </row>
    <row r="844" spans="2:6" x14ac:dyDescent="0.4">
      <c r="B844" s="604">
        <v>133.1</v>
      </c>
      <c r="C844" s="600">
        <v>8.221220144450001</v>
      </c>
      <c r="D844" s="605">
        <v>0.99985000000000002</v>
      </c>
      <c r="F844" s="123"/>
    </row>
    <row r="845" spans="2:6" x14ac:dyDescent="0.4">
      <c r="B845" s="604">
        <v>133.19999999999999</v>
      </c>
      <c r="C845" s="600">
        <v>8.2210864639000008</v>
      </c>
      <c r="D845" s="605">
        <v>0.99985999999999997</v>
      </c>
      <c r="F845" s="123"/>
    </row>
    <row r="846" spans="2:6" x14ac:dyDescent="0.4">
      <c r="B846" s="604">
        <v>133.30000000000001</v>
      </c>
      <c r="C846" s="600">
        <v>8.2208191028000002</v>
      </c>
      <c r="D846" s="605">
        <v>0.99985999999999997</v>
      </c>
      <c r="F846" s="123"/>
    </row>
    <row r="847" spans="2:6" x14ac:dyDescent="0.4">
      <c r="B847" s="604">
        <v>133.4</v>
      </c>
      <c r="C847" s="600">
        <v>8.2205517417000014</v>
      </c>
      <c r="D847" s="605">
        <v>0.99987000000000004</v>
      </c>
      <c r="F847" s="123"/>
    </row>
    <row r="848" spans="2:6" x14ac:dyDescent="0.4">
      <c r="B848" s="604">
        <v>133.5</v>
      </c>
      <c r="C848" s="600">
        <v>8.2202843806000008</v>
      </c>
      <c r="D848" s="605">
        <v>0.99987000000000004</v>
      </c>
      <c r="F848" s="123"/>
    </row>
    <row r="849" spans="2:6" x14ac:dyDescent="0.4">
      <c r="B849" s="604">
        <v>133.6</v>
      </c>
      <c r="C849" s="600">
        <v>8.2201507000500005</v>
      </c>
      <c r="D849" s="605">
        <v>0.99987999999999999</v>
      </c>
      <c r="F849" s="123"/>
    </row>
    <row r="850" spans="2:6" x14ac:dyDescent="0.4">
      <c r="B850" s="604">
        <v>133.69999999999999</v>
      </c>
      <c r="C850" s="600">
        <v>8.2198833389499999</v>
      </c>
      <c r="D850" s="605">
        <v>0.99987999999999999</v>
      </c>
      <c r="F850" s="123"/>
    </row>
    <row r="851" spans="2:6" x14ac:dyDescent="0.4">
      <c r="B851" s="604">
        <v>133.80000000000001</v>
      </c>
      <c r="C851" s="600">
        <v>8.2196159778500011</v>
      </c>
      <c r="D851" s="605">
        <v>0.99988999999999995</v>
      </c>
      <c r="F851" s="123"/>
    </row>
    <row r="852" spans="2:6" x14ac:dyDescent="0.4">
      <c r="B852" s="604">
        <v>133.9</v>
      </c>
      <c r="C852" s="600">
        <v>8.2194822973000008</v>
      </c>
      <c r="D852" s="605">
        <v>0.99988999999999995</v>
      </c>
      <c r="F852" s="123"/>
    </row>
    <row r="853" spans="2:6" x14ac:dyDescent="0.4">
      <c r="B853" s="604">
        <v>134</v>
      </c>
      <c r="C853" s="600">
        <v>8.2192149362000002</v>
      </c>
      <c r="D853" s="605">
        <v>0.99990000000000001</v>
      </c>
      <c r="F853" s="123"/>
    </row>
    <row r="854" spans="2:6" x14ac:dyDescent="0.4">
      <c r="B854" s="604">
        <v>134.1</v>
      </c>
      <c r="C854" s="600">
        <v>8.2189475750999996</v>
      </c>
      <c r="D854" s="605">
        <v>0.99990000000000001</v>
      </c>
      <c r="F854" s="123"/>
    </row>
    <row r="855" spans="2:6" x14ac:dyDescent="0.4">
      <c r="B855" s="604">
        <v>134.19999999999999</v>
      </c>
      <c r="C855" s="600">
        <v>8.2186802140000008</v>
      </c>
      <c r="D855" s="605">
        <v>0.99990999999999997</v>
      </c>
      <c r="F855" s="123"/>
    </row>
    <row r="856" spans="2:6" x14ac:dyDescent="0.4">
      <c r="B856" s="604">
        <v>134.30000000000001</v>
      </c>
      <c r="C856" s="600">
        <v>8.2185465334500005</v>
      </c>
      <c r="D856" s="605">
        <v>0.99992000000000003</v>
      </c>
      <c r="F856" s="123"/>
    </row>
    <row r="857" spans="2:6" x14ac:dyDescent="0.4">
      <c r="B857" s="604">
        <v>134.4</v>
      </c>
      <c r="C857" s="600">
        <v>8.2182791723499999</v>
      </c>
      <c r="D857" s="605">
        <v>0.99992000000000003</v>
      </c>
      <c r="F857" s="123"/>
    </row>
    <row r="858" spans="2:6" x14ac:dyDescent="0.4">
      <c r="B858" s="604">
        <v>134.5</v>
      </c>
      <c r="C858" s="600">
        <v>8.2180118112500011</v>
      </c>
      <c r="D858" s="605">
        <v>0.99992999999999999</v>
      </c>
      <c r="F858" s="123"/>
    </row>
    <row r="859" spans="2:6" x14ac:dyDescent="0.4">
      <c r="B859" s="604">
        <v>134.6</v>
      </c>
      <c r="C859" s="600">
        <v>8.2178781307000008</v>
      </c>
      <c r="D859" s="605">
        <v>0.99992999999999999</v>
      </c>
      <c r="F859" s="123"/>
    </row>
    <row r="860" spans="2:6" x14ac:dyDescent="0.4">
      <c r="B860" s="604">
        <v>134.69999999999999</v>
      </c>
      <c r="C860" s="600">
        <v>8.2176107696000003</v>
      </c>
      <c r="D860" s="605">
        <v>0.99994000000000005</v>
      </c>
      <c r="F860" s="123"/>
    </row>
    <row r="861" spans="2:6" x14ac:dyDescent="0.4">
      <c r="B861" s="604">
        <v>134.80000000000001</v>
      </c>
      <c r="C861" s="600">
        <v>8.2173434084999997</v>
      </c>
      <c r="D861" s="605">
        <v>0.99994000000000005</v>
      </c>
      <c r="F861" s="123"/>
    </row>
    <row r="862" spans="2:6" x14ac:dyDescent="0.4">
      <c r="B862" s="604">
        <v>134.9</v>
      </c>
      <c r="C862" s="600">
        <v>8.2170760474000009</v>
      </c>
      <c r="D862" s="605">
        <v>0.99995000000000001</v>
      </c>
      <c r="F862" s="123"/>
    </row>
    <row r="863" spans="2:6" x14ac:dyDescent="0.4">
      <c r="B863" s="604">
        <v>135</v>
      </c>
      <c r="C863" s="600">
        <v>8.2169423668500006</v>
      </c>
      <c r="D863" s="605">
        <v>0.99995000000000001</v>
      </c>
      <c r="F863" s="123"/>
    </row>
    <row r="864" spans="2:6" x14ac:dyDescent="0.4">
      <c r="B864" s="604">
        <v>135.1</v>
      </c>
      <c r="C864" s="600">
        <v>8.2166750057500018</v>
      </c>
      <c r="D864" s="605">
        <v>0.99995999999999996</v>
      </c>
      <c r="F864" s="123"/>
    </row>
    <row r="865" spans="2:6" x14ac:dyDescent="0.4">
      <c r="B865" s="604">
        <v>135.19999999999999</v>
      </c>
      <c r="C865" s="600">
        <v>8.2164076446500012</v>
      </c>
      <c r="D865" s="605">
        <v>0.99995999999999996</v>
      </c>
      <c r="F865" s="123"/>
    </row>
    <row r="866" spans="2:6" x14ac:dyDescent="0.4">
      <c r="B866" s="604">
        <v>135.30000000000001</v>
      </c>
      <c r="C866" s="600">
        <v>8.2162739641000009</v>
      </c>
      <c r="D866" s="605">
        <v>0.99997000000000003</v>
      </c>
      <c r="F866" s="123"/>
    </row>
    <row r="867" spans="2:6" x14ac:dyDescent="0.4">
      <c r="B867" s="604">
        <v>135.4</v>
      </c>
      <c r="C867" s="600">
        <v>8.2160066030000003</v>
      </c>
      <c r="D867" s="605">
        <v>0.99997000000000003</v>
      </c>
      <c r="F867" s="123"/>
    </row>
    <row r="868" spans="2:6" x14ac:dyDescent="0.4">
      <c r="B868" s="604">
        <v>135.5</v>
      </c>
      <c r="C868" s="600">
        <v>8.2157392418999997</v>
      </c>
      <c r="D868" s="605">
        <v>0.99997999999999998</v>
      </c>
      <c r="F868" s="123"/>
    </row>
    <row r="869" spans="2:6" x14ac:dyDescent="0.4">
      <c r="B869" s="604">
        <v>135.6</v>
      </c>
      <c r="C869" s="600">
        <v>8.2154718808000009</v>
      </c>
      <c r="D869" s="605">
        <v>0.99997999999999998</v>
      </c>
      <c r="F869" s="123"/>
    </row>
    <row r="870" spans="2:6" x14ac:dyDescent="0.4">
      <c r="B870" s="604">
        <v>135.69999999999999</v>
      </c>
      <c r="C870" s="600">
        <v>8.2153382002500006</v>
      </c>
      <c r="D870" s="605">
        <v>0.99999000000000005</v>
      </c>
      <c r="F870" s="123"/>
    </row>
    <row r="871" spans="2:6" x14ac:dyDescent="0.4">
      <c r="B871" s="604">
        <v>135.80000000000001</v>
      </c>
      <c r="C871" s="600">
        <v>8.2150708391500018</v>
      </c>
      <c r="D871" s="605">
        <v>0.99999000000000005</v>
      </c>
      <c r="F871" s="123"/>
    </row>
    <row r="872" spans="2:6" x14ac:dyDescent="0.4">
      <c r="B872" s="604">
        <v>135.9</v>
      </c>
      <c r="C872" s="600">
        <v>8.2148034780500012</v>
      </c>
      <c r="D872" s="605">
        <v>1</v>
      </c>
      <c r="F872" s="123"/>
    </row>
    <row r="873" spans="2:6" x14ac:dyDescent="0.4">
      <c r="B873" s="604">
        <v>136</v>
      </c>
      <c r="C873" s="600">
        <v>8.2145361169500006</v>
      </c>
      <c r="D873" s="605">
        <v>1</v>
      </c>
      <c r="F873" s="123"/>
    </row>
    <row r="874" spans="2:6" x14ac:dyDescent="0.4">
      <c r="B874" s="604">
        <v>136.1</v>
      </c>
      <c r="C874" s="600">
        <v>8.2144024364000003</v>
      </c>
      <c r="D874" s="605">
        <v>1</v>
      </c>
      <c r="F874" s="123"/>
    </row>
    <row r="875" spans="2:6" x14ac:dyDescent="0.4">
      <c r="B875" s="604">
        <v>136.19999999999999</v>
      </c>
      <c r="C875" s="600">
        <v>8.2141350752999998</v>
      </c>
      <c r="D875" s="605">
        <v>1</v>
      </c>
      <c r="F875" s="123"/>
    </row>
    <row r="876" spans="2:6" x14ac:dyDescent="0.4">
      <c r="B876" s="604">
        <v>136.30000000000001</v>
      </c>
      <c r="C876" s="600">
        <v>8.2138677142000009</v>
      </c>
      <c r="D876" s="605">
        <v>1</v>
      </c>
      <c r="F876" s="123"/>
    </row>
    <row r="877" spans="2:6" x14ac:dyDescent="0.4">
      <c r="B877" s="604">
        <v>136.4</v>
      </c>
      <c r="C877" s="600">
        <v>8.2136003531000004</v>
      </c>
      <c r="D877" s="605">
        <v>1</v>
      </c>
      <c r="F877" s="123"/>
    </row>
    <row r="878" spans="2:6" x14ac:dyDescent="0.4">
      <c r="B878" s="604">
        <v>136.5</v>
      </c>
      <c r="C878" s="600">
        <v>8.2134666725500001</v>
      </c>
      <c r="D878" s="605">
        <v>1</v>
      </c>
      <c r="F878" s="123"/>
    </row>
    <row r="879" spans="2:6" x14ac:dyDescent="0.4">
      <c r="B879" s="604">
        <v>136.6</v>
      </c>
      <c r="C879" s="600">
        <v>8.2131993114500013</v>
      </c>
      <c r="D879" s="605">
        <v>1</v>
      </c>
      <c r="F879" s="123"/>
    </row>
    <row r="880" spans="2:6" x14ac:dyDescent="0.4">
      <c r="B880" s="604">
        <v>136.69999999999999</v>
      </c>
      <c r="C880" s="600">
        <v>8.2129319503500007</v>
      </c>
      <c r="D880" s="605">
        <v>1</v>
      </c>
      <c r="F880" s="123"/>
    </row>
    <row r="881" spans="2:6" x14ac:dyDescent="0.4">
      <c r="B881" s="604">
        <v>136.80000000000001</v>
      </c>
      <c r="C881" s="600">
        <v>8.2126645892500001</v>
      </c>
      <c r="D881" s="605">
        <v>1</v>
      </c>
      <c r="F881" s="123"/>
    </row>
    <row r="882" spans="2:6" x14ac:dyDescent="0.4">
      <c r="B882" s="604">
        <v>136.9</v>
      </c>
      <c r="C882" s="600">
        <v>8.2125309086999998</v>
      </c>
      <c r="D882" s="605">
        <v>1.0001</v>
      </c>
      <c r="F882" s="123"/>
    </row>
    <row r="883" spans="2:6" x14ac:dyDescent="0.4">
      <c r="B883" s="604">
        <v>137</v>
      </c>
      <c r="C883" s="600">
        <v>8.212263547600001</v>
      </c>
      <c r="D883" s="605">
        <v>1.0001</v>
      </c>
      <c r="F883" s="123"/>
    </row>
    <row r="884" spans="2:6" x14ac:dyDescent="0.4">
      <c r="B884" s="604">
        <v>137.1</v>
      </c>
      <c r="C884" s="600">
        <v>8.2119961865000004</v>
      </c>
      <c r="D884" s="605">
        <v>1.0001</v>
      </c>
      <c r="F884" s="123"/>
    </row>
    <row r="885" spans="2:6" x14ac:dyDescent="0.4">
      <c r="B885" s="604">
        <v>137.19999999999999</v>
      </c>
      <c r="C885" s="600">
        <v>8.2117288253999998</v>
      </c>
      <c r="D885" s="605">
        <v>1.0001</v>
      </c>
      <c r="F885" s="123"/>
    </row>
    <row r="886" spans="2:6" x14ac:dyDescent="0.4">
      <c r="B886" s="604">
        <v>137.30000000000001</v>
      </c>
      <c r="C886" s="600">
        <v>8.2115951448500013</v>
      </c>
      <c r="D886" s="605">
        <v>1.0001</v>
      </c>
      <c r="F886" s="123"/>
    </row>
    <row r="887" spans="2:6" x14ac:dyDescent="0.4">
      <c r="B887" s="604">
        <v>137.4</v>
      </c>
      <c r="C887" s="600">
        <v>8.2113277837500007</v>
      </c>
      <c r="D887" s="605">
        <v>1.0001</v>
      </c>
      <c r="F887" s="123"/>
    </row>
    <row r="888" spans="2:6" x14ac:dyDescent="0.4">
      <c r="B888" s="604">
        <v>137.5</v>
      </c>
      <c r="C888" s="600">
        <v>8.2110604226500001</v>
      </c>
      <c r="D888" s="605">
        <v>1.0001</v>
      </c>
      <c r="F888" s="123"/>
    </row>
    <row r="889" spans="2:6" x14ac:dyDescent="0.4">
      <c r="B889" s="604">
        <v>137.6</v>
      </c>
      <c r="C889" s="600">
        <v>8.2107930615500013</v>
      </c>
      <c r="D889" s="605">
        <v>1.0001</v>
      </c>
      <c r="F889" s="123"/>
    </row>
    <row r="890" spans="2:6" x14ac:dyDescent="0.4">
      <c r="B890" s="604">
        <v>137.69999999999999</v>
      </c>
      <c r="C890" s="600">
        <v>8.210659381000001</v>
      </c>
      <c r="D890" s="605">
        <v>1.0001</v>
      </c>
      <c r="F890" s="123"/>
    </row>
    <row r="891" spans="2:6" x14ac:dyDescent="0.4">
      <c r="B891" s="604">
        <v>137.80000000000001</v>
      </c>
      <c r="C891" s="600">
        <v>8.2103920199000004</v>
      </c>
      <c r="D891" s="605">
        <v>1.0001</v>
      </c>
      <c r="F891" s="123"/>
    </row>
    <row r="892" spans="2:6" x14ac:dyDescent="0.4">
      <c r="B892" s="604">
        <v>137.9</v>
      </c>
      <c r="C892" s="600">
        <v>8.2101246587999999</v>
      </c>
      <c r="D892" s="605">
        <v>1.0001</v>
      </c>
      <c r="F892" s="123"/>
    </row>
    <row r="893" spans="2:6" x14ac:dyDescent="0.4">
      <c r="B893" s="604">
        <v>138</v>
      </c>
      <c r="C893" s="600">
        <v>8.2098572977000011</v>
      </c>
      <c r="D893" s="605">
        <v>1.0001</v>
      </c>
      <c r="F893" s="123"/>
    </row>
    <row r="894" spans="2:6" x14ac:dyDescent="0.4">
      <c r="B894" s="604">
        <v>138.1</v>
      </c>
      <c r="C894" s="600">
        <v>8.2097236171500008</v>
      </c>
      <c r="D894" s="605">
        <v>1.0001</v>
      </c>
      <c r="F894" s="123"/>
    </row>
    <row r="895" spans="2:6" x14ac:dyDescent="0.4">
      <c r="B895" s="604">
        <v>138.19999999999999</v>
      </c>
      <c r="C895" s="600">
        <v>8.2094562560500002</v>
      </c>
      <c r="D895" s="605">
        <v>1.0001</v>
      </c>
      <c r="F895" s="123"/>
    </row>
    <row r="896" spans="2:6" x14ac:dyDescent="0.4">
      <c r="B896" s="604">
        <v>138.30000000000001</v>
      </c>
      <c r="C896" s="600">
        <v>8.2091888949499996</v>
      </c>
      <c r="D896" s="605">
        <v>1.0001</v>
      </c>
      <c r="F896" s="123"/>
    </row>
    <row r="897" spans="2:6" x14ac:dyDescent="0.4">
      <c r="B897" s="604">
        <v>138.4</v>
      </c>
      <c r="C897" s="600">
        <v>8.2089215338500008</v>
      </c>
      <c r="D897" s="605">
        <v>1.0001</v>
      </c>
      <c r="F897" s="123"/>
    </row>
    <row r="898" spans="2:6" x14ac:dyDescent="0.4">
      <c r="B898" s="604">
        <v>138.5</v>
      </c>
      <c r="C898" s="600">
        <v>8.2087878533000005</v>
      </c>
      <c r="D898" s="605">
        <v>1.0001</v>
      </c>
      <c r="F898" s="123"/>
    </row>
    <row r="899" spans="2:6" x14ac:dyDescent="0.4">
      <c r="B899" s="604">
        <v>138.6</v>
      </c>
      <c r="C899" s="600">
        <v>8.2085204922000017</v>
      </c>
      <c r="D899" s="605">
        <v>1.0001</v>
      </c>
      <c r="F899" s="123"/>
    </row>
    <row r="900" spans="2:6" x14ac:dyDescent="0.4">
      <c r="B900" s="604">
        <v>138.69999999999999</v>
      </c>
      <c r="C900" s="600">
        <v>8.2082531311000011</v>
      </c>
      <c r="D900" s="605">
        <v>1.0002</v>
      </c>
      <c r="F900" s="123"/>
    </row>
    <row r="901" spans="2:6" x14ac:dyDescent="0.4">
      <c r="B901" s="604">
        <v>138.80000000000001</v>
      </c>
      <c r="C901" s="600">
        <v>8.2079857700000005</v>
      </c>
      <c r="D901" s="605">
        <v>1.0002</v>
      </c>
      <c r="F901" s="123"/>
    </row>
    <row r="902" spans="2:6" x14ac:dyDescent="0.4">
      <c r="B902" s="604">
        <v>138.9</v>
      </c>
      <c r="C902" s="600">
        <v>8.2077184089000017</v>
      </c>
      <c r="D902" s="605">
        <v>1.0002</v>
      </c>
      <c r="F902" s="123"/>
    </row>
    <row r="903" spans="2:6" x14ac:dyDescent="0.4">
      <c r="B903" s="604">
        <v>139</v>
      </c>
      <c r="C903" s="600">
        <v>8.2075847283499996</v>
      </c>
      <c r="D903" s="605">
        <v>1.0002</v>
      </c>
      <c r="F903" s="123"/>
    </row>
    <row r="904" spans="2:6" x14ac:dyDescent="0.4">
      <c r="B904" s="604">
        <v>139.1</v>
      </c>
      <c r="C904" s="600">
        <v>8.2073173672500008</v>
      </c>
      <c r="D904" s="605">
        <v>1.0002</v>
      </c>
      <c r="F904" s="123"/>
    </row>
    <row r="905" spans="2:6" x14ac:dyDescent="0.4">
      <c r="B905" s="604">
        <v>139.19999999999999</v>
      </c>
      <c r="C905" s="600">
        <v>8.2070500061500002</v>
      </c>
      <c r="D905" s="605">
        <v>1.0002</v>
      </c>
      <c r="F905" s="123"/>
    </row>
    <row r="906" spans="2:6" x14ac:dyDescent="0.4">
      <c r="B906" s="604">
        <v>139.30000000000001</v>
      </c>
      <c r="C906" s="600">
        <v>8.2067826450499997</v>
      </c>
      <c r="D906" s="605">
        <v>1.0002</v>
      </c>
      <c r="F906" s="123"/>
    </row>
    <row r="907" spans="2:6" x14ac:dyDescent="0.4">
      <c r="B907" s="604">
        <v>139.4</v>
      </c>
      <c r="C907" s="600">
        <v>8.2066489645000011</v>
      </c>
      <c r="D907" s="605">
        <v>1.0002</v>
      </c>
      <c r="F907" s="123"/>
    </row>
    <row r="908" spans="2:6" x14ac:dyDescent="0.4">
      <c r="B908" s="604">
        <v>139.5</v>
      </c>
      <c r="C908" s="600">
        <v>8.2063816034000006</v>
      </c>
      <c r="D908" s="605">
        <v>1.0002</v>
      </c>
      <c r="F908" s="123"/>
    </row>
    <row r="909" spans="2:6" x14ac:dyDescent="0.4">
      <c r="B909" s="604">
        <v>139.6</v>
      </c>
      <c r="C909" s="600">
        <v>8.2061142423000017</v>
      </c>
      <c r="D909" s="605">
        <v>1.0002</v>
      </c>
      <c r="F909" s="123"/>
    </row>
    <row r="910" spans="2:6" x14ac:dyDescent="0.4">
      <c r="B910" s="604">
        <v>139.69999999999999</v>
      </c>
      <c r="C910" s="600">
        <v>8.2058468812000012</v>
      </c>
      <c r="D910" s="605">
        <v>1.0002</v>
      </c>
      <c r="F910" s="123"/>
    </row>
    <row r="911" spans="2:6" x14ac:dyDescent="0.4">
      <c r="B911" s="604">
        <v>139.80000000000001</v>
      </c>
      <c r="C911" s="600">
        <v>8.2057132006500009</v>
      </c>
      <c r="D911" s="605">
        <v>1.0002</v>
      </c>
      <c r="F911" s="123"/>
    </row>
    <row r="912" spans="2:6" x14ac:dyDescent="0.4">
      <c r="B912" s="604">
        <v>139.9</v>
      </c>
      <c r="C912" s="600">
        <v>8.2054458395500003</v>
      </c>
      <c r="D912" s="605">
        <v>1.0002</v>
      </c>
      <c r="F912" s="123"/>
    </row>
    <row r="913" spans="2:6" x14ac:dyDescent="0.4">
      <c r="B913" s="604">
        <v>140</v>
      </c>
      <c r="C913" s="600">
        <v>8.2051784784499997</v>
      </c>
      <c r="D913" s="605">
        <v>1.0002</v>
      </c>
      <c r="F913" s="123"/>
    </row>
    <row r="914" spans="2:6" x14ac:dyDescent="0.4">
      <c r="B914" s="604">
        <v>140.1</v>
      </c>
      <c r="C914" s="600">
        <v>8.2049111173500009</v>
      </c>
      <c r="D914" s="605">
        <v>1.0002</v>
      </c>
      <c r="F914" s="123"/>
    </row>
    <row r="915" spans="2:6" x14ac:dyDescent="0.4">
      <c r="B915" s="604">
        <v>140.19999999999999</v>
      </c>
      <c r="C915" s="600">
        <v>8.2046437562500003</v>
      </c>
      <c r="D915" s="605">
        <v>1.0002</v>
      </c>
      <c r="F915" s="123"/>
    </row>
    <row r="916" spans="2:6" x14ac:dyDescent="0.4">
      <c r="B916" s="604">
        <v>140.30000000000001</v>
      </c>
      <c r="C916" s="600">
        <v>8.2045100757</v>
      </c>
      <c r="D916" s="605">
        <v>1.0002</v>
      </c>
      <c r="F916" s="123"/>
    </row>
    <row r="917" spans="2:6" x14ac:dyDescent="0.4">
      <c r="B917" s="604">
        <v>140.4</v>
      </c>
      <c r="C917" s="600">
        <v>8.2042427146000012</v>
      </c>
      <c r="D917" s="605">
        <v>1.0003</v>
      </c>
      <c r="F917" s="123"/>
    </row>
    <row r="918" spans="2:6" x14ac:dyDescent="0.4">
      <c r="B918" s="604">
        <v>140.5</v>
      </c>
      <c r="C918" s="600">
        <v>8.2039753535000006</v>
      </c>
      <c r="D918" s="605">
        <v>1.0003</v>
      </c>
      <c r="F918" s="123"/>
    </row>
    <row r="919" spans="2:6" x14ac:dyDescent="0.4">
      <c r="B919" s="604">
        <v>140.6</v>
      </c>
      <c r="C919" s="600">
        <v>8.2037079924</v>
      </c>
      <c r="D919" s="605">
        <v>1.0003</v>
      </c>
      <c r="F919" s="123"/>
    </row>
    <row r="920" spans="2:6" x14ac:dyDescent="0.4">
      <c r="B920" s="604">
        <v>140.69999999999999</v>
      </c>
      <c r="C920" s="600">
        <v>8.2034406313000012</v>
      </c>
      <c r="D920" s="605">
        <v>1.0003</v>
      </c>
      <c r="F920" s="123"/>
    </row>
    <row r="921" spans="2:6" x14ac:dyDescent="0.4">
      <c r="B921" s="604">
        <v>140.80000000000001</v>
      </c>
      <c r="C921" s="600">
        <v>8.2033069507500009</v>
      </c>
      <c r="D921" s="605">
        <v>1.0003</v>
      </c>
      <c r="F921" s="123"/>
    </row>
    <row r="922" spans="2:6" x14ac:dyDescent="0.4">
      <c r="B922" s="604">
        <v>140.9</v>
      </c>
      <c r="C922" s="600">
        <v>8.2030395896500004</v>
      </c>
      <c r="D922" s="605">
        <v>1.0003</v>
      </c>
      <c r="F922" s="123"/>
    </row>
    <row r="923" spans="2:6" x14ac:dyDescent="0.4">
      <c r="B923" s="604">
        <v>141</v>
      </c>
      <c r="C923" s="600">
        <v>8.2027722285499998</v>
      </c>
      <c r="D923" s="605">
        <v>1.0003</v>
      </c>
      <c r="F923" s="123"/>
    </row>
    <row r="924" spans="2:6" x14ac:dyDescent="0.4">
      <c r="B924" s="604">
        <v>141.1</v>
      </c>
      <c r="C924" s="600">
        <v>8.202504867450001</v>
      </c>
      <c r="D924" s="605">
        <v>1.0003</v>
      </c>
      <c r="F924" s="123"/>
    </row>
    <row r="925" spans="2:6" x14ac:dyDescent="0.4">
      <c r="B925" s="604">
        <v>141.19999999999999</v>
      </c>
      <c r="C925" s="600">
        <v>8.2022375063500004</v>
      </c>
      <c r="D925" s="605">
        <v>1.0003</v>
      </c>
      <c r="F925" s="123"/>
    </row>
    <row r="926" spans="2:6" x14ac:dyDescent="0.4">
      <c r="B926" s="604">
        <v>141.30000000000001</v>
      </c>
      <c r="C926" s="600">
        <v>8.2021038258000001</v>
      </c>
      <c r="D926" s="605">
        <v>1.0003</v>
      </c>
      <c r="F926" s="123"/>
    </row>
    <row r="927" spans="2:6" x14ac:dyDescent="0.4">
      <c r="B927" s="604">
        <v>141.4</v>
      </c>
      <c r="C927" s="600">
        <v>8.2018364647000013</v>
      </c>
      <c r="D927" s="605">
        <v>1.0003</v>
      </c>
      <c r="F927" s="123"/>
    </row>
    <row r="928" spans="2:6" x14ac:dyDescent="0.4">
      <c r="B928" s="604">
        <v>141.5</v>
      </c>
      <c r="C928" s="600">
        <v>8.2015691036000007</v>
      </c>
      <c r="D928" s="605">
        <v>1.0003</v>
      </c>
      <c r="F928" s="123"/>
    </row>
    <row r="929" spans="2:6" x14ac:dyDescent="0.4">
      <c r="B929" s="604">
        <v>141.6</v>
      </c>
      <c r="C929" s="600">
        <v>8.2013017425000001</v>
      </c>
      <c r="D929" s="605">
        <v>1.0003</v>
      </c>
      <c r="F929" s="123"/>
    </row>
    <row r="930" spans="2:6" x14ac:dyDescent="0.4">
      <c r="B930" s="604">
        <v>141.69999999999999</v>
      </c>
      <c r="C930" s="600">
        <v>8.2010343814000013</v>
      </c>
      <c r="D930" s="605">
        <v>1.0003</v>
      </c>
      <c r="F930" s="123"/>
    </row>
    <row r="931" spans="2:6" x14ac:dyDescent="0.4">
      <c r="B931" s="604">
        <v>141.80000000000001</v>
      </c>
      <c r="C931" s="600">
        <v>8.200900700850001</v>
      </c>
      <c r="D931" s="605">
        <v>1.0003</v>
      </c>
      <c r="F931" s="123"/>
    </row>
    <row r="932" spans="2:6" x14ac:dyDescent="0.4">
      <c r="B932" s="604">
        <v>141.9</v>
      </c>
      <c r="C932" s="600">
        <v>8.2006333397500004</v>
      </c>
      <c r="D932" s="605">
        <v>1.0003</v>
      </c>
      <c r="F932" s="123"/>
    </row>
    <row r="933" spans="2:6" x14ac:dyDescent="0.4">
      <c r="B933" s="604">
        <v>142</v>
      </c>
      <c r="C933" s="600">
        <v>8.2003659786500016</v>
      </c>
      <c r="D933" s="605">
        <v>1.0003</v>
      </c>
      <c r="F933" s="123"/>
    </row>
    <row r="934" spans="2:6" x14ac:dyDescent="0.4">
      <c r="B934" s="604">
        <v>142.1</v>
      </c>
      <c r="C934" s="600">
        <v>8.200098617550001</v>
      </c>
      <c r="D934" s="605">
        <v>1.0004</v>
      </c>
      <c r="F934" s="123"/>
    </row>
    <row r="935" spans="2:6" x14ac:dyDescent="0.4">
      <c r="B935" s="604">
        <v>142.19999999999999</v>
      </c>
      <c r="C935" s="600">
        <v>8.1998312564500004</v>
      </c>
      <c r="D935" s="605">
        <v>1.0004</v>
      </c>
      <c r="F935" s="123"/>
    </row>
    <row r="936" spans="2:6" x14ac:dyDescent="0.4">
      <c r="B936" s="604">
        <v>142.30000000000001</v>
      </c>
      <c r="C936" s="600">
        <v>8.1996975759000001</v>
      </c>
      <c r="D936" s="605">
        <v>1.0004</v>
      </c>
      <c r="F936" s="123"/>
    </row>
    <row r="937" spans="2:6" x14ac:dyDescent="0.4">
      <c r="B937" s="604">
        <v>142.4</v>
      </c>
      <c r="C937" s="600">
        <v>8.1994302147999996</v>
      </c>
      <c r="D937" s="605">
        <v>1.0004</v>
      </c>
      <c r="F937" s="123"/>
    </row>
    <row r="938" spans="2:6" x14ac:dyDescent="0.4">
      <c r="B938" s="604">
        <v>142.5</v>
      </c>
      <c r="C938" s="600">
        <v>8.1991628537000008</v>
      </c>
      <c r="D938" s="605">
        <v>1.0004</v>
      </c>
      <c r="F938" s="123"/>
    </row>
    <row r="939" spans="2:6" x14ac:dyDescent="0.4">
      <c r="B939" s="604">
        <v>142.6</v>
      </c>
      <c r="C939" s="600">
        <v>8.1988954926000002</v>
      </c>
      <c r="D939" s="605">
        <v>1.0004</v>
      </c>
      <c r="F939" s="123"/>
    </row>
    <row r="940" spans="2:6" x14ac:dyDescent="0.4">
      <c r="B940" s="604">
        <v>142.69999999999999</v>
      </c>
      <c r="C940" s="600">
        <v>8.1986281314999996</v>
      </c>
      <c r="D940" s="605">
        <v>1.0004</v>
      </c>
      <c r="F940" s="123"/>
    </row>
    <row r="941" spans="2:6" x14ac:dyDescent="0.4">
      <c r="B941" s="604">
        <v>142.80000000000001</v>
      </c>
      <c r="C941" s="600">
        <v>8.1984944509500011</v>
      </c>
      <c r="D941" s="605">
        <v>1.0004</v>
      </c>
      <c r="F941" s="123"/>
    </row>
    <row r="942" spans="2:6" x14ac:dyDescent="0.4">
      <c r="B942" s="604">
        <v>142.9</v>
      </c>
      <c r="C942" s="600">
        <v>8.1982270898500005</v>
      </c>
      <c r="D942" s="605">
        <v>1.0004</v>
      </c>
      <c r="F942" s="123"/>
    </row>
    <row r="943" spans="2:6" x14ac:dyDescent="0.4">
      <c r="B943" s="604">
        <v>143</v>
      </c>
      <c r="C943" s="600">
        <v>8.1979597287500017</v>
      </c>
      <c r="D943" s="605">
        <v>1.0004</v>
      </c>
      <c r="F943" s="123"/>
    </row>
    <row r="944" spans="2:6" x14ac:dyDescent="0.4">
      <c r="B944" s="604">
        <v>143.1</v>
      </c>
      <c r="C944" s="600">
        <v>8.1976923676500011</v>
      </c>
      <c r="D944" s="605">
        <v>1.0004</v>
      </c>
      <c r="F944" s="123"/>
    </row>
    <row r="945" spans="2:6" x14ac:dyDescent="0.4">
      <c r="B945" s="604">
        <v>143.19999999999999</v>
      </c>
      <c r="C945" s="600">
        <v>8.1974250065500005</v>
      </c>
      <c r="D945" s="605">
        <v>1.0004</v>
      </c>
      <c r="F945" s="123"/>
    </row>
    <row r="946" spans="2:6" x14ac:dyDescent="0.4">
      <c r="B946" s="604">
        <v>143.30000000000001</v>
      </c>
      <c r="C946" s="600">
        <v>8.1971576454500017</v>
      </c>
      <c r="D946" s="605">
        <v>1.0004</v>
      </c>
      <c r="F946" s="123"/>
    </row>
    <row r="947" spans="2:6" x14ac:dyDescent="0.4">
      <c r="B947" s="604">
        <v>143.4</v>
      </c>
      <c r="C947" s="600">
        <v>8.1970239648999996</v>
      </c>
      <c r="D947" s="605">
        <v>1.0004</v>
      </c>
      <c r="F947" s="123"/>
    </row>
    <row r="948" spans="2:6" x14ac:dyDescent="0.4">
      <c r="B948" s="604">
        <v>143.5</v>
      </c>
      <c r="C948" s="600">
        <v>8.1967566038000008</v>
      </c>
      <c r="D948" s="605">
        <v>1.0004</v>
      </c>
      <c r="F948" s="123"/>
    </row>
    <row r="949" spans="2:6" x14ac:dyDescent="0.4">
      <c r="B949" s="604">
        <v>143.6</v>
      </c>
      <c r="C949" s="600">
        <v>8.1964892427000002</v>
      </c>
      <c r="D949" s="605">
        <v>1.0004</v>
      </c>
      <c r="F949" s="123"/>
    </row>
    <row r="950" spans="2:6" x14ac:dyDescent="0.4">
      <c r="B950" s="604">
        <v>143.69999999999999</v>
      </c>
      <c r="C950" s="600">
        <v>8.1962218815999996</v>
      </c>
      <c r="D950" s="605">
        <v>1.0004</v>
      </c>
      <c r="F950" s="123"/>
    </row>
    <row r="951" spans="2:6" x14ac:dyDescent="0.4">
      <c r="B951" s="604">
        <v>143.80000000000001</v>
      </c>
      <c r="C951" s="600">
        <v>8.1959545205000008</v>
      </c>
      <c r="D951" s="605">
        <v>1.0004999999999999</v>
      </c>
      <c r="F951" s="123"/>
    </row>
    <row r="952" spans="2:6" x14ac:dyDescent="0.4">
      <c r="B952" s="604">
        <v>143.9</v>
      </c>
      <c r="C952" s="600">
        <v>8.1956871594000003</v>
      </c>
      <c r="D952" s="605">
        <v>1.0004999999999999</v>
      </c>
      <c r="F952" s="123"/>
    </row>
    <row r="953" spans="2:6" x14ac:dyDescent="0.4">
      <c r="B953" s="604">
        <v>144</v>
      </c>
      <c r="C953" s="600">
        <v>8.19555347885</v>
      </c>
      <c r="D953" s="605">
        <v>1.0004999999999999</v>
      </c>
      <c r="F953" s="123"/>
    </row>
    <row r="954" spans="2:6" x14ac:dyDescent="0.4">
      <c r="B954" s="604">
        <v>144.1</v>
      </c>
      <c r="C954" s="600">
        <v>8.1952861177500012</v>
      </c>
      <c r="D954" s="605">
        <v>1.0004999999999999</v>
      </c>
      <c r="F954" s="123"/>
    </row>
    <row r="955" spans="2:6" x14ac:dyDescent="0.4">
      <c r="B955" s="604">
        <v>144.19999999999999</v>
      </c>
      <c r="C955" s="600">
        <v>8.1950187566500006</v>
      </c>
      <c r="D955" s="605">
        <v>1.0004999999999999</v>
      </c>
      <c r="F955" s="123"/>
    </row>
    <row r="956" spans="2:6" x14ac:dyDescent="0.4">
      <c r="B956" s="604">
        <v>144.30000000000001</v>
      </c>
      <c r="C956" s="600">
        <v>8.19475139555</v>
      </c>
      <c r="D956" s="605">
        <v>1.0004999999999999</v>
      </c>
      <c r="F956" s="123"/>
    </row>
    <row r="957" spans="2:6" x14ac:dyDescent="0.4">
      <c r="B957" s="604">
        <v>144.4</v>
      </c>
      <c r="C957" s="600">
        <v>8.1944840344500012</v>
      </c>
      <c r="D957" s="605">
        <v>1.0004999999999999</v>
      </c>
      <c r="F957" s="123"/>
    </row>
    <row r="958" spans="2:6" x14ac:dyDescent="0.4">
      <c r="B958" s="604">
        <v>144.5</v>
      </c>
      <c r="C958" s="600">
        <v>8.1943503539000009</v>
      </c>
      <c r="D958" s="605">
        <v>1.0004999999999999</v>
      </c>
      <c r="F958" s="123"/>
    </row>
    <row r="959" spans="2:6" x14ac:dyDescent="0.4">
      <c r="B959" s="604">
        <v>144.6</v>
      </c>
      <c r="C959" s="600">
        <v>8.1940829928000003</v>
      </c>
      <c r="D959" s="605">
        <v>1.0004999999999999</v>
      </c>
      <c r="F959" s="123"/>
    </row>
    <row r="960" spans="2:6" x14ac:dyDescent="0.4">
      <c r="B960" s="604">
        <v>144.69999999999999</v>
      </c>
      <c r="C960" s="600">
        <v>8.1938156316999997</v>
      </c>
      <c r="D960" s="605">
        <v>1.0004999999999999</v>
      </c>
      <c r="F960" s="123"/>
    </row>
    <row r="961" spans="2:6" x14ac:dyDescent="0.4">
      <c r="B961" s="604">
        <v>144.80000000000001</v>
      </c>
      <c r="C961" s="600">
        <v>8.1935482706000009</v>
      </c>
      <c r="D961" s="605">
        <v>1.0004999999999999</v>
      </c>
      <c r="F961" s="123"/>
    </row>
    <row r="962" spans="2:6" x14ac:dyDescent="0.4">
      <c r="B962" s="604">
        <v>144.9</v>
      </c>
      <c r="C962" s="600">
        <v>8.1932809095000003</v>
      </c>
      <c r="D962" s="605">
        <v>1.0004999999999999</v>
      </c>
      <c r="F962" s="123"/>
    </row>
    <row r="963" spans="2:6" x14ac:dyDescent="0.4">
      <c r="B963" s="604">
        <v>145</v>
      </c>
      <c r="C963" s="600">
        <v>8.1930135483999997</v>
      </c>
      <c r="D963" s="605">
        <v>1.0004999999999999</v>
      </c>
      <c r="F963" s="123"/>
    </row>
    <row r="964" spans="2:6" x14ac:dyDescent="0.4">
      <c r="B964" s="604">
        <v>145.1</v>
      </c>
      <c r="C964" s="600">
        <v>8.1927461873000009</v>
      </c>
      <c r="D964" s="605">
        <v>1.0004999999999999</v>
      </c>
      <c r="F964" s="123"/>
    </row>
    <row r="965" spans="2:6" x14ac:dyDescent="0.4">
      <c r="B965" s="604">
        <v>145.19999999999999</v>
      </c>
      <c r="C965" s="600">
        <v>8.1926125067500006</v>
      </c>
      <c r="D965" s="605">
        <v>1.0004999999999999</v>
      </c>
      <c r="F965" s="123"/>
    </row>
    <row r="966" spans="2:6" x14ac:dyDescent="0.4">
      <c r="B966" s="604">
        <v>145.30000000000001</v>
      </c>
      <c r="C966" s="600">
        <v>8.19234514565</v>
      </c>
      <c r="D966" s="605">
        <v>1.0005999999999999</v>
      </c>
      <c r="F966" s="123"/>
    </row>
    <row r="967" spans="2:6" x14ac:dyDescent="0.4">
      <c r="B967" s="604">
        <v>145.4</v>
      </c>
      <c r="C967" s="600">
        <v>8.1920777845500012</v>
      </c>
      <c r="D967" s="605">
        <v>1.0005999999999999</v>
      </c>
      <c r="F967" s="123"/>
    </row>
    <row r="968" spans="2:6" x14ac:dyDescent="0.4">
      <c r="B968" s="604">
        <v>145.5</v>
      </c>
      <c r="C968" s="600">
        <v>8.1918104234500007</v>
      </c>
      <c r="D968" s="605">
        <v>1.0005999999999999</v>
      </c>
      <c r="F968" s="123"/>
    </row>
    <row r="969" spans="2:6" x14ac:dyDescent="0.4">
      <c r="B969" s="604">
        <v>145.6</v>
      </c>
      <c r="C969" s="600">
        <v>8.1915430623500001</v>
      </c>
      <c r="D969" s="605">
        <v>1.0005999999999999</v>
      </c>
      <c r="F969" s="123"/>
    </row>
    <row r="970" spans="2:6" x14ac:dyDescent="0.4">
      <c r="B970" s="604">
        <v>145.69999999999999</v>
      </c>
      <c r="C970" s="600">
        <v>8.1912757012499995</v>
      </c>
      <c r="D970" s="605">
        <v>1.0005999999999999</v>
      </c>
      <c r="F970" s="123"/>
    </row>
    <row r="971" spans="2:6" x14ac:dyDescent="0.4">
      <c r="B971" s="604">
        <v>145.80000000000001</v>
      </c>
      <c r="C971" s="600">
        <v>8.191142020700001</v>
      </c>
      <c r="D971" s="605">
        <v>1.0005999999999999</v>
      </c>
      <c r="F971" s="123"/>
    </row>
    <row r="972" spans="2:6" x14ac:dyDescent="0.4">
      <c r="B972" s="604">
        <v>145.9</v>
      </c>
      <c r="C972" s="600">
        <v>8.1908746596000004</v>
      </c>
      <c r="D972" s="605">
        <v>1.0005999999999999</v>
      </c>
      <c r="F972" s="123"/>
    </row>
    <row r="973" spans="2:6" x14ac:dyDescent="0.4">
      <c r="B973" s="604">
        <v>146</v>
      </c>
      <c r="C973" s="600">
        <v>8.1906072985000016</v>
      </c>
      <c r="D973" s="605">
        <v>1.0005999999999999</v>
      </c>
      <c r="F973" s="123"/>
    </row>
    <row r="974" spans="2:6" x14ac:dyDescent="0.4">
      <c r="B974" s="604">
        <v>146.1</v>
      </c>
      <c r="C974" s="600">
        <v>8.190339937400001</v>
      </c>
      <c r="D974" s="605">
        <v>1.0005999999999999</v>
      </c>
      <c r="F974" s="123"/>
    </row>
    <row r="975" spans="2:6" x14ac:dyDescent="0.4">
      <c r="B975" s="604">
        <v>146.19999999999999</v>
      </c>
      <c r="C975" s="600">
        <v>8.1900725763000004</v>
      </c>
      <c r="D975" s="605">
        <v>1.0005999999999999</v>
      </c>
      <c r="F975" s="123"/>
    </row>
    <row r="976" spans="2:6" x14ac:dyDescent="0.4">
      <c r="B976" s="604">
        <v>146.30000000000001</v>
      </c>
      <c r="C976" s="600">
        <v>8.1898052152000016</v>
      </c>
      <c r="D976" s="605">
        <v>1.0005999999999999</v>
      </c>
      <c r="F976" s="123"/>
    </row>
    <row r="977" spans="2:6" x14ac:dyDescent="0.4">
      <c r="B977" s="604">
        <v>146.4</v>
      </c>
      <c r="C977" s="600">
        <v>8.189537854100001</v>
      </c>
      <c r="D977" s="605">
        <v>1.0005999999999999</v>
      </c>
      <c r="F977" s="123"/>
    </row>
    <row r="978" spans="2:6" x14ac:dyDescent="0.4">
      <c r="B978" s="604">
        <v>146.5</v>
      </c>
      <c r="C978" s="600">
        <v>8.1894041735500007</v>
      </c>
      <c r="D978" s="605">
        <v>1.0005999999999999</v>
      </c>
      <c r="F978" s="123"/>
    </row>
    <row r="979" spans="2:6" x14ac:dyDescent="0.4">
      <c r="B979" s="604">
        <v>146.6</v>
      </c>
      <c r="C979" s="600">
        <v>8.1891368124500001</v>
      </c>
      <c r="D979" s="605">
        <v>1.0005999999999999</v>
      </c>
      <c r="F979" s="123"/>
    </row>
    <row r="980" spans="2:6" x14ac:dyDescent="0.4">
      <c r="B980" s="604">
        <v>146.69999999999999</v>
      </c>
      <c r="C980" s="600">
        <v>8.1888694513499996</v>
      </c>
      <c r="D980" s="605">
        <v>1.0005999999999999</v>
      </c>
      <c r="F980" s="123"/>
    </row>
    <row r="981" spans="2:6" x14ac:dyDescent="0.4">
      <c r="B981" s="604">
        <v>146.80000000000001</v>
      </c>
      <c r="C981" s="600">
        <v>8.1886020902500007</v>
      </c>
      <c r="D981" s="605">
        <v>1.0005999999999999</v>
      </c>
      <c r="F981" s="123"/>
    </row>
    <row r="982" spans="2:6" x14ac:dyDescent="0.4">
      <c r="B982" s="604">
        <v>146.9</v>
      </c>
      <c r="C982" s="600">
        <v>8.1883347291500002</v>
      </c>
      <c r="D982" s="605">
        <v>1.0006999999999999</v>
      </c>
      <c r="F982" s="123"/>
    </row>
    <row r="983" spans="2:6" x14ac:dyDescent="0.4">
      <c r="B983" s="604">
        <v>147</v>
      </c>
      <c r="C983" s="600">
        <v>8.1880673680499996</v>
      </c>
      <c r="D983" s="605">
        <v>1.0006999999999999</v>
      </c>
      <c r="F983" s="123"/>
    </row>
    <row r="984" spans="2:6" x14ac:dyDescent="0.4">
      <c r="B984" s="604">
        <v>147.1</v>
      </c>
      <c r="C984" s="600">
        <v>8.1878000069500008</v>
      </c>
      <c r="D984" s="605">
        <v>1.0006999999999999</v>
      </c>
      <c r="F984" s="123"/>
    </row>
    <row r="985" spans="2:6" x14ac:dyDescent="0.4">
      <c r="B985" s="604">
        <v>147.19999999999999</v>
      </c>
      <c r="C985" s="600">
        <v>8.1876663264000005</v>
      </c>
      <c r="D985" s="605">
        <v>1.0006999999999999</v>
      </c>
      <c r="F985" s="123"/>
    </row>
    <row r="986" spans="2:6" x14ac:dyDescent="0.4">
      <c r="B986" s="604">
        <v>147.30000000000001</v>
      </c>
      <c r="C986" s="600">
        <v>8.1873989653000017</v>
      </c>
      <c r="D986" s="605">
        <v>1.0006999999999999</v>
      </c>
      <c r="F986" s="123"/>
    </row>
    <row r="987" spans="2:6" x14ac:dyDescent="0.4">
      <c r="B987" s="604">
        <v>147.4</v>
      </c>
      <c r="C987" s="600">
        <v>8.1871316042000011</v>
      </c>
      <c r="D987" s="605">
        <v>1.0006999999999999</v>
      </c>
      <c r="F987" s="123"/>
    </row>
    <row r="988" spans="2:6" x14ac:dyDescent="0.4">
      <c r="B988" s="604">
        <v>147.5</v>
      </c>
      <c r="C988" s="600">
        <v>8.1868642431000005</v>
      </c>
      <c r="D988" s="605">
        <v>1.0006999999999999</v>
      </c>
      <c r="F988" s="123"/>
    </row>
    <row r="989" spans="2:6" x14ac:dyDescent="0.4">
      <c r="B989" s="604">
        <v>147.6</v>
      </c>
      <c r="C989" s="600">
        <v>8.1865968820000017</v>
      </c>
      <c r="D989" s="605">
        <v>1.0006999999999999</v>
      </c>
      <c r="F989" s="123"/>
    </row>
    <row r="990" spans="2:6" x14ac:dyDescent="0.4">
      <c r="B990" s="604">
        <v>147.69999999999999</v>
      </c>
      <c r="C990" s="600">
        <v>8.1863295209000011</v>
      </c>
      <c r="D990" s="605">
        <v>1.0006999999999999</v>
      </c>
      <c r="F990" s="123"/>
    </row>
    <row r="991" spans="2:6" x14ac:dyDescent="0.4">
      <c r="B991" s="604">
        <v>147.80000000000001</v>
      </c>
      <c r="C991" s="600">
        <v>8.1860621598000005</v>
      </c>
      <c r="D991" s="605">
        <v>1.0006999999999999</v>
      </c>
      <c r="F991" s="123"/>
    </row>
    <row r="992" spans="2:6" x14ac:dyDescent="0.4">
      <c r="B992" s="604">
        <v>147.9</v>
      </c>
      <c r="C992" s="600">
        <v>8.1857947986999999</v>
      </c>
      <c r="D992" s="605">
        <v>1.0006999999999999</v>
      </c>
      <c r="F992" s="123"/>
    </row>
    <row r="993" spans="2:6" x14ac:dyDescent="0.4">
      <c r="B993" s="604">
        <v>148</v>
      </c>
      <c r="C993" s="600">
        <v>8.1856611181499996</v>
      </c>
      <c r="D993" s="605">
        <v>1.0006999999999999</v>
      </c>
      <c r="F993" s="123"/>
    </row>
    <row r="994" spans="2:6" x14ac:dyDescent="0.4">
      <c r="B994" s="604">
        <v>148.1</v>
      </c>
      <c r="C994" s="600">
        <v>8.1853937570500008</v>
      </c>
      <c r="D994" s="605">
        <v>1.0006999999999999</v>
      </c>
      <c r="F994" s="123"/>
    </row>
    <row r="995" spans="2:6" x14ac:dyDescent="0.4">
      <c r="B995" s="604">
        <v>148.19999999999999</v>
      </c>
      <c r="C995" s="600">
        <v>8.1851263959500002</v>
      </c>
      <c r="D995" s="605">
        <v>1.0006999999999999</v>
      </c>
      <c r="F995" s="123"/>
    </row>
    <row r="996" spans="2:6" x14ac:dyDescent="0.4">
      <c r="B996" s="604">
        <v>148.30000000000001</v>
      </c>
      <c r="C996" s="600">
        <v>8.1848590348499997</v>
      </c>
      <c r="D996" s="605">
        <v>1.0006999999999999</v>
      </c>
      <c r="F996" s="123"/>
    </row>
    <row r="997" spans="2:6" x14ac:dyDescent="0.4">
      <c r="B997" s="604">
        <v>148.4</v>
      </c>
      <c r="C997" s="600">
        <v>8.1845916737500009</v>
      </c>
      <c r="D997" s="605">
        <v>1.0007999999999999</v>
      </c>
      <c r="F997" s="123"/>
    </row>
    <row r="998" spans="2:6" x14ac:dyDescent="0.4">
      <c r="B998" s="604">
        <v>148.5</v>
      </c>
      <c r="C998" s="600">
        <v>8.1843243126500003</v>
      </c>
      <c r="D998" s="605">
        <v>1.0007999999999999</v>
      </c>
      <c r="F998" s="123"/>
    </row>
    <row r="999" spans="2:6" x14ac:dyDescent="0.4">
      <c r="B999" s="604">
        <v>148.6</v>
      </c>
      <c r="C999" s="600">
        <v>8.1840569515499997</v>
      </c>
      <c r="D999" s="605">
        <v>1.0007999999999999</v>
      </c>
      <c r="F999" s="123"/>
    </row>
    <row r="1000" spans="2:6" x14ac:dyDescent="0.4">
      <c r="B1000" s="604">
        <v>148.69999999999999</v>
      </c>
      <c r="C1000" s="600">
        <v>8.1837895904500009</v>
      </c>
      <c r="D1000" s="605">
        <v>1.0007999999999999</v>
      </c>
      <c r="F1000" s="123"/>
    </row>
    <row r="1001" spans="2:6" x14ac:dyDescent="0.4">
      <c r="B1001" s="604">
        <v>148.80000000000001</v>
      </c>
      <c r="C1001" s="600">
        <v>8.1836559099000006</v>
      </c>
      <c r="D1001" s="605">
        <v>1.0007999999999999</v>
      </c>
      <c r="F1001" s="123"/>
    </row>
    <row r="1002" spans="2:6" x14ac:dyDescent="0.4">
      <c r="B1002" s="604">
        <v>148.9</v>
      </c>
      <c r="C1002" s="600">
        <v>8.1833885488</v>
      </c>
      <c r="D1002" s="605">
        <v>1.0007999999999999</v>
      </c>
      <c r="F1002" s="123"/>
    </row>
    <row r="1003" spans="2:6" x14ac:dyDescent="0.4">
      <c r="B1003" s="604">
        <v>149</v>
      </c>
      <c r="C1003" s="600">
        <v>8.1831211877000012</v>
      </c>
      <c r="D1003" s="605">
        <v>1.0007999999999999</v>
      </c>
      <c r="F1003" s="123"/>
    </row>
    <row r="1004" spans="2:6" x14ac:dyDescent="0.4">
      <c r="B1004" s="604">
        <v>149.1</v>
      </c>
      <c r="C1004" s="600">
        <v>8.1828538266000006</v>
      </c>
      <c r="D1004" s="605">
        <v>1.0007999999999999</v>
      </c>
      <c r="F1004" s="123"/>
    </row>
    <row r="1005" spans="2:6" x14ac:dyDescent="0.4">
      <c r="B1005" s="604">
        <v>149.19999999999999</v>
      </c>
      <c r="C1005" s="600">
        <v>8.1825864655</v>
      </c>
      <c r="D1005" s="605">
        <v>1.0007999999999999</v>
      </c>
      <c r="F1005" s="123"/>
    </row>
    <row r="1006" spans="2:6" x14ac:dyDescent="0.4">
      <c r="B1006" s="604">
        <v>149.30000000000001</v>
      </c>
      <c r="C1006" s="600">
        <v>8.1823191044000012</v>
      </c>
      <c r="D1006" s="605">
        <v>1.0007999999999999</v>
      </c>
      <c r="F1006" s="123"/>
    </row>
    <row r="1007" spans="2:6" x14ac:dyDescent="0.4">
      <c r="B1007" s="604">
        <v>149.4</v>
      </c>
      <c r="C1007" s="600">
        <v>8.1820517433000006</v>
      </c>
      <c r="D1007" s="605">
        <v>1.0007999999999999</v>
      </c>
      <c r="F1007" s="123"/>
    </row>
    <row r="1008" spans="2:6" x14ac:dyDescent="0.4">
      <c r="B1008" s="604">
        <v>149.5</v>
      </c>
      <c r="C1008" s="600">
        <v>8.1817843822</v>
      </c>
      <c r="D1008" s="605">
        <v>1.0007999999999999</v>
      </c>
      <c r="F1008" s="123"/>
    </row>
    <row r="1009" spans="1:6" x14ac:dyDescent="0.4">
      <c r="B1009" s="604">
        <v>149.6</v>
      </c>
      <c r="C1009" s="600">
        <v>8.1815170210999995</v>
      </c>
      <c r="D1009" s="605">
        <v>1.0007999999999999</v>
      </c>
      <c r="F1009" s="123"/>
    </row>
    <row r="1010" spans="1:6" x14ac:dyDescent="0.4">
      <c r="B1010" s="604">
        <v>149.69999999999999</v>
      </c>
      <c r="C1010" s="600">
        <v>8.1813833405500009</v>
      </c>
      <c r="D1010" s="605">
        <v>1.0007999999999999</v>
      </c>
      <c r="F1010" s="123"/>
    </row>
    <row r="1011" spans="1:6" x14ac:dyDescent="0.4">
      <c r="B1011" s="604">
        <v>149.80000000000001</v>
      </c>
      <c r="C1011" s="600">
        <v>8.1811159794500004</v>
      </c>
      <c r="D1011" s="605">
        <v>1.0007999999999999</v>
      </c>
      <c r="F1011" s="123"/>
    </row>
    <row r="1012" spans="1:6" x14ac:dyDescent="0.4">
      <c r="B1012" s="604">
        <v>149.9</v>
      </c>
      <c r="C1012" s="600">
        <v>8.1808486183500015</v>
      </c>
      <c r="D1012" s="605">
        <v>1.0008999999999999</v>
      </c>
      <c r="F1012" s="123"/>
    </row>
    <row r="1013" spans="1:6" ht="16" thickBot="1" x14ac:dyDescent="0.45">
      <c r="B1013" s="606">
        <v>150</v>
      </c>
      <c r="C1013" s="601">
        <v>8.180581257250001</v>
      </c>
      <c r="D1013" s="607">
        <v>1.0008999999999999</v>
      </c>
      <c r="F1013" s="123"/>
    </row>
    <row r="1014" spans="1:6" x14ac:dyDescent="0.4">
      <c r="F1014" s="123"/>
    </row>
    <row r="1015" spans="1:6" x14ac:dyDescent="0.4">
      <c r="A1015" s="123"/>
      <c r="B1015" s="123"/>
      <c r="C1015" s="123"/>
      <c r="D1015" s="123"/>
      <c r="E1015" s="123"/>
      <c r="F1015" s="123"/>
    </row>
  </sheetData>
  <sheetProtection algorithmName="SHA-512" hashValue="S2g+pYYFyop+2OMppvhJzOp7VB14ILoDB/ji3mtD2+E6Cgy/GB3U4lf4oNK1SGUP70sncQoT9XpC183YiRYnJw==" saltValue="AJgmmhRfSXT/FLKwh9dnaA==" spinCount="100000" sheet="1" selectLockedCells="1"/>
  <mergeCells count="8">
    <mergeCell ref="B10:D10"/>
    <mergeCell ref="B11:D11"/>
    <mergeCell ref="B2:D2"/>
    <mergeCell ref="C3:D3"/>
    <mergeCell ref="C4:D4"/>
    <mergeCell ref="C5:D5"/>
    <mergeCell ref="C6:D6"/>
    <mergeCell ref="C7:D7"/>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E34"/>
  <sheetViews>
    <sheetView showGridLines="0" workbookViewId="0">
      <selection activeCell="C16" sqref="C16"/>
    </sheetView>
  </sheetViews>
  <sheetFormatPr defaultColWidth="9.08984375" defaultRowHeight="15.5" x14ac:dyDescent="0.4"/>
  <cols>
    <col min="1" max="1" width="3.08984375" style="51" customWidth="1"/>
    <col min="2" max="2" width="28.6328125" style="51" bestFit="1" customWidth="1"/>
    <col min="3" max="3" width="47.90625" style="51" bestFit="1" customWidth="1"/>
    <col min="4" max="4" width="9.08984375" style="51"/>
    <col min="5" max="5" width="3.36328125" style="51" customWidth="1"/>
    <col min="6" max="16384" width="9.08984375" style="51"/>
  </cols>
  <sheetData>
    <row r="1" spans="2:5" ht="16" thickBot="1" x14ac:dyDescent="0.45">
      <c r="E1" s="381"/>
    </row>
    <row r="2" spans="2:5" ht="16" thickBot="1" x14ac:dyDescent="0.45">
      <c r="B2" s="71" t="s">
        <v>12</v>
      </c>
      <c r="C2" s="72"/>
      <c r="E2" s="381"/>
    </row>
    <row r="3" spans="2:5" x14ac:dyDescent="0.4">
      <c r="B3" s="61" t="s">
        <v>601</v>
      </c>
      <c r="C3" s="23" t="str">
        <f>"Consumer Water Heater, UEF"</f>
        <v>Consumer Water Heater, UEF</v>
      </c>
      <c r="E3" s="381"/>
    </row>
    <row r="4" spans="2:5" x14ac:dyDescent="0.4">
      <c r="B4" s="69" t="s">
        <v>15</v>
      </c>
      <c r="C4" s="944" t="str">
        <f>INDEX(B12:B55,COUNTA(B12:B55),1)</f>
        <v>v1.3</v>
      </c>
      <c r="E4" s="381"/>
    </row>
    <row r="5" spans="2:5" x14ac:dyDescent="0.4">
      <c r="B5" s="68" t="s">
        <v>602</v>
      </c>
      <c r="C5" s="22">
        <f>IF(MAX(B12:C97)=0,"No Revisions Dates Entered",MAX(C12:C97))</f>
        <v>43643</v>
      </c>
      <c r="E5" s="381"/>
    </row>
    <row r="6" spans="2:5" x14ac:dyDescent="0.4">
      <c r="B6" s="68" t="s">
        <v>14</v>
      </c>
      <c r="C6" s="608" t="str">
        <f ca="1">MID(CELL("filename",A1), FIND("]", CELL("filename", A1))+ 1, 255)</f>
        <v>Version Control</v>
      </c>
      <c r="E6" s="381"/>
    </row>
    <row r="7" spans="2:5" ht="16" thickBot="1" x14ac:dyDescent="0.45">
      <c r="B7" s="70" t="s">
        <v>13</v>
      </c>
      <c r="C7" s="609" t="str">
        <f ca="1">MID(CELL("FILENAME",F15),FIND("[",CELL("FILENAME",F15))+1,FIND("]",CELL("FILENAME",F15))-FIND("[",CELL("FILENAME",F15))-1)</f>
        <v>Consumer Water Heater, UEF - v1.3.xlsx</v>
      </c>
      <c r="D7" s="63"/>
      <c r="E7" s="381"/>
    </row>
    <row r="8" spans="2:5" x14ac:dyDescent="0.4">
      <c r="E8" s="381"/>
    </row>
    <row r="9" spans="2:5" ht="16" thickBot="1" x14ac:dyDescent="0.45">
      <c r="E9" s="381"/>
    </row>
    <row r="10" spans="2:5" ht="16" thickBot="1" x14ac:dyDescent="0.45">
      <c r="B10" s="71" t="s">
        <v>48</v>
      </c>
      <c r="C10" s="464"/>
      <c r="E10" s="381"/>
    </row>
    <row r="11" spans="2:5" x14ac:dyDescent="0.4">
      <c r="B11" s="24" t="s">
        <v>49</v>
      </c>
      <c r="C11" s="25" t="s">
        <v>50</v>
      </c>
      <c r="E11" s="381"/>
    </row>
    <row r="12" spans="2:5" x14ac:dyDescent="0.4">
      <c r="B12" s="465" t="s">
        <v>624</v>
      </c>
      <c r="C12" s="466">
        <v>42471</v>
      </c>
      <c r="E12" s="381"/>
    </row>
    <row r="13" spans="2:5" x14ac:dyDescent="0.4">
      <c r="B13" s="467" t="s">
        <v>626</v>
      </c>
      <c r="C13" s="468">
        <v>42922</v>
      </c>
      <c r="E13" s="381"/>
    </row>
    <row r="14" spans="2:5" x14ac:dyDescent="0.4">
      <c r="B14" s="467" t="s">
        <v>635</v>
      </c>
      <c r="C14" s="468">
        <v>43572</v>
      </c>
      <c r="E14" s="381"/>
    </row>
    <row r="15" spans="2:5" x14ac:dyDescent="0.4">
      <c r="B15" s="467" t="s">
        <v>636</v>
      </c>
      <c r="C15" s="468">
        <v>43643</v>
      </c>
      <c r="E15" s="381"/>
    </row>
    <row r="16" spans="2:5" x14ac:dyDescent="0.4">
      <c r="B16" s="467"/>
      <c r="C16" s="468"/>
      <c r="E16" s="381"/>
    </row>
    <row r="17" spans="2:5" x14ac:dyDescent="0.4">
      <c r="B17" s="467"/>
      <c r="C17" s="468"/>
      <c r="E17" s="381"/>
    </row>
    <row r="18" spans="2:5" x14ac:dyDescent="0.4">
      <c r="B18" s="465"/>
      <c r="C18" s="468"/>
      <c r="E18" s="381"/>
    </row>
    <row r="19" spans="2:5" x14ac:dyDescent="0.4">
      <c r="B19" s="465"/>
      <c r="C19" s="469"/>
      <c r="E19" s="381"/>
    </row>
    <row r="20" spans="2:5" x14ac:dyDescent="0.4">
      <c r="B20" s="467"/>
      <c r="C20" s="469"/>
      <c r="E20" s="381"/>
    </row>
    <row r="21" spans="2:5" x14ac:dyDescent="0.4">
      <c r="B21" s="465"/>
      <c r="C21" s="469"/>
      <c r="E21" s="381"/>
    </row>
    <row r="22" spans="2:5" x14ac:dyDescent="0.4">
      <c r="B22" s="470"/>
      <c r="C22" s="469"/>
      <c r="E22" s="381"/>
    </row>
    <row r="23" spans="2:5" x14ac:dyDescent="0.4">
      <c r="B23" s="470"/>
      <c r="C23" s="469"/>
      <c r="E23" s="381"/>
    </row>
    <row r="24" spans="2:5" x14ac:dyDescent="0.4">
      <c r="B24" s="470"/>
      <c r="C24" s="469"/>
      <c r="E24" s="381"/>
    </row>
    <row r="25" spans="2:5" x14ac:dyDescent="0.4">
      <c r="B25" s="470"/>
      <c r="C25" s="469"/>
      <c r="E25" s="381"/>
    </row>
    <row r="26" spans="2:5" x14ac:dyDescent="0.4">
      <c r="B26" s="470"/>
      <c r="C26" s="469"/>
      <c r="E26" s="381"/>
    </row>
    <row r="27" spans="2:5" x14ac:dyDescent="0.4">
      <c r="B27" s="470"/>
      <c r="C27" s="469"/>
      <c r="E27" s="381"/>
    </row>
    <row r="28" spans="2:5" x14ac:dyDescent="0.4">
      <c r="B28" s="470"/>
      <c r="C28" s="469"/>
      <c r="E28" s="381"/>
    </row>
    <row r="29" spans="2:5" x14ac:dyDescent="0.4">
      <c r="B29" s="470"/>
      <c r="C29" s="469"/>
      <c r="E29" s="381"/>
    </row>
    <row r="30" spans="2:5" x14ac:dyDescent="0.4">
      <c r="B30" s="470"/>
      <c r="C30" s="469"/>
      <c r="E30" s="381"/>
    </row>
    <row r="31" spans="2:5" x14ac:dyDescent="0.4">
      <c r="B31" s="470"/>
      <c r="C31" s="469"/>
      <c r="E31" s="381"/>
    </row>
    <row r="32" spans="2:5" ht="16" thickBot="1" x14ac:dyDescent="0.45">
      <c r="B32" s="471"/>
      <c r="C32" s="472"/>
      <c r="E32" s="381"/>
    </row>
    <row r="33" spans="1:5" x14ac:dyDescent="0.4">
      <c r="E33" s="381"/>
    </row>
    <row r="34" spans="1:5" x14ac:dyDescent="0.4">
      <c r="A34" s="123"/>
      <c r="B34" s="123"/>
      <c r="C34" s="123"/>
      <c r="D34" s="123"/>
      <c r="E34" s="381"/>
    </row>
  </sheetData>
  <sheetProtection algorithmName="SHA-512" hashValue="OtFhyYqtZ03CLsb8/hzetYGX/yREzl9G3Fmb6rw4sKMHgycqKjZlMiXjEPE8cs/QHFZO0Xp2VyiugNhfn99ylA==" saltValue="D4uORub+9PwRStKZCLNLbg==" spinCount="100000" sheet="1" selectLockedCell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70C0"/>
  </sheetPr>
  <dimension ref="A1:L49"/>
  <sheetViews>
    <sheetView showGridLines="0" zoomScale="80" zoomScaleNormal="80" workbookViewId="0">
      <selection activeCell="C15" sqref="C15"/>
    </sheetView>
  </sheetViews>
  <sheetFormatPr defaultColWidth="9.08984375" defaultRowHeight="15.5" x14ac:dyDescent="0.4"/>
  <cols>
    <col min="1" max="1" width="3" style="51" customWidth="1"/>
    <col min="2" max="2" width="51.08984375" style="51" bestFit="1" customWidth="1"/>
    <col min="3" max="3" width="47.90625" style="51" bestFit="1" customWidth="1"/>
    <col min="4" max="4" width="9.08984375" style="51"/>
    <col min="5" max="5" width="50.453125" style="51" customWidth="1"/>
    <col min="6" max="6" width="25.453125" style="51" bestFit="1" customWidth="1"/>
    <col min="7" max="7" width="25.36328125" style="51" customWidth="1"/>
    <col min="8" max="8" width="21" style="51" customWidth="1"/>
    <col min="9" max="9" width="9.08984375" style="51"/>
    <col min="10" max="10" width="3.54296875" style="51" customWidth="1"/>
    <col min="11" max="11" width="9.08984375" style="51"/>
    <col min="12" max="12" width="18.36328125" style="51" customWidth="1"/>
    <col min="13" max="13" width="10.6328125" style="51" customWidth="1"/>
    <col min="14" max="16384" width="9.08984375" style="51"/>
  </cols>
  <sheetData>
    <row r="1" spans="2:12" ht="16" thickBot="1" x14ac:dyDescent="0.45">
      <c r="J1" s="125"/>
    </row>
    <row r="2" spans="2:12" ht="16" thickBot="1" x14ac:dyDescent="0.45">
      <c r="B2" s="951" t="s">
        <v>12</v>
      </c>
      <c r="C2" s="952"/>
      <c r="E2" s="382" t="s">
        <v>51</v>
      </c>
      <c r="J2" s="125"/>
    </row>
    <row r="3" spans="2:12" x14ac:dyDescent="0.4">
      <c r="B3" s="58" t="str">
        <f>'Version Control'!B3</f>
        <v>Test Report Template Name:</v>
      </c>
      <c r="C3" s="31" t="str">
        <f>'Version Control'!C3</f>
        <v>Consumer Water Heater, UEF</v>
      </c>
      <c r="J3" s="125"/>
    </row>
    <row r="4" spans="2:12" x14ac:dyDescent="0.4">
      <c r="B4" s="58" t="str">
        <f>'Version Control'!B4</f>
        <v>Version Number:</v>
      </c>
      <c r="C4" s="31" t="str">
        <f>'Version Control'!C4</f>
        <v>v1.3</v>
      </c>
      <c r="G4" s="383"/>
      <c r="J4" s="125"/>
    </row>
    <row r="5" spans="2:12" x14ac:dyDescent="0.4">
      <c r="B5" s="58" t="str">
        <f>'Version Control'!B5</f>
        <v xml:space="preserve">Latest Template Revision: </v>
      </c>
      <c r="C5" s="682">
        <f>'Version Control'!C5</f>
        <v>43643</v>
      </c>
      <c r="J5" s="125"/>
    </row>
    <row r="6" spans="2:12" x14ac:dyDescent="0.4">
      <c r="B6" s="58" t="str">
        <f>'Version Control'!B6</f>
        <v>Tab Name:</v>
      </c>
      <c r="C6" s="31" t="str">
        <f ca="1">MID(CELL("filename",A1), FIND("]", CELL("filename", A1))+ 1, 255)</f>
        <v>General Info &amp; Test Results</v>
      </c>
      <c r="J6" s="125"/>
    </row>
    <row r="7" spans="2:12" ht="16" thickBot="1" x14ac:dyDescent="0.45">
      <c r="B7" s="683" t="str">
        <f>'Version Control'!B7</f>
        <v>File Name:</v>
      </c>
      <c r="C7" s="684" t="str">
        <f ca="1">'Version Control'!C7</f>
        <v>Consumer Water Heater, UEF - v1.3.xlsx</v>
      </c>
      <c r="J7" s="125"/>
    </row>
    <row r="8" spans="2:12" x14ac:dyDescent="0.4">
      <c r="G8" s="75"/>
      <c r="H8" s="75"/>
      <c r="J8" s="125"/>
    </row>
    <row r="9" spans="2:12" ht="16" thickBot="1" x14ac:dyDescent="0.45">
      <c r="J9" s="125"/>
    </row>
    <row r="10" spans="2:12" ht="16" thickBot="1" x14ac:dyDescent="0.45">
      <c r="B10" s="951" t="s">
        <v>52</v>
      </c>
      <c r="C10" s="952"/>
      <c r="E10" s="979" t="s">
        <v>368</v>
      </c>
      <c r="F10" s="980"/>
      <c r="G10" s="981"/>
      <c r="J10" s="125"/>
    </row>
    <row r="11" spans="2:12" x14ac:dyDescent="0.4">
      <c r="B11" s="29" t="s">
        <v>53</v>
      </c>
      <c r="C11" s="781"/>
      <c r="E11" s="691" t="s">
        <v>54</v>
      </c>
      <c r="F11" s="690" t="s">
        <v>192</v>
      </c>
      <c r="G11" s="692" t="s">
        <v>56</v>
      </c>
      <c r="J11" s="125"/>
    </row>
    <row r="12" spans="2:12" ht="16" thickBot="1" x14ac:dyDescent="0.45">
      <c r="B12" s="30" t="s">
        <v>380</v>
      </c>
      <c r="C12" s="782"/>
      <c r="E12" s="656" t="s">
        <v>367</v>
      </c>
      <c r="F12" s="385" t="str">
        <f>IF(C19="","",C19)</f>
        <v/>
      </c>
      <c r="G12" s="693"/>
      <c r="J12" s="125"/>
    </row>
    <row r="13" spans="2:12" ht="18.75" customHeight="1" thickBot="1" x14ac:dyDescent="0.45">
      <c r="B13" s="27"/>
      <c r="E13" s="639" t="s">
        <v>148</v>
      </c>
      <c r="F13" s="385" t="str">
        <f>IF(F12="","",IF(OR(F12='Drop-Downs'!B12,F12='Drop-Downs'!B16,F12='Drop-Downs'!B18),"Instantaneous","Storage"))</f>
        <v/>
      </c>
      <c r="G13" s="694"/>
      <c r="J13" s="125"/>
    </row>
    <row r="14" spans="2:12" ht="16" thickBot="1" x14ac:dyDescent="0.45">
      <c r="B14" s="951" t="s">
        <v>59</v>
      </c>
      <c r="C14" s="952"/>
      <c r="E14" s="652" t="s">
        <v>385</v>
      </c>
      <c r="F14" s="385" t="str">
        <f>IF(OR(C32="",C33=""),"",IF(C32=0,"Instantaneous",IF(IF(F15="Electric",C32/(C33*3.412142),C32/C33)&gt;1/4000,"Storage","Instantaneous")))</f>
        <v/>
      </c>
      <c r="G14" s="694"/>
      <c r="J14" s="125"/>
    </row>
    <row r="15" spans="2:12" ht="18" customHeight="1" x14ac:dyDescent="0.4">
      <c r="B15" s="687" t="s">
        <v>60</v>
      </c>
      <c r="C15" s="783"/>
      <c r="E15" s="639" t="s">
        <v>152</v>
      </c>
      <c r="F15" s="385" t="str">
        <f>IF(F12="","",
IF(OR(F12='Drop-Downs'!B15,F12='Drop-Downs'!B16,F12='Drop-Downs'!B17),IF(C24="N/A","Check Inputs",C24),
IF(OR(F12='Drop-Downs'!B18,F12='Drop-Downs'!B19),"Oil","Electric")))</f>
        <v/>
      </c>
      <c r="G15" s="694"/>
      <c r="J15" s="125"/>
      <c r="L15" s="386"/>
    </row>
    <row r="16" spans="2:12" ht="18" customHeight="1" x14ac:dyDescent="0.4">
      <c r="B16" s="53" t="s">
        <v>61</v>
      </c>
      <c r="C16" s="760"/>
      <c r="E16" s="667" t="s">
        <v>57</v>
      </c>
      <c r="F16" s="789" t="str">
        <f>IF(F13="Instantaneous",0,IF('Storage Tank Volume'!E20="","",'Storage Tank Volume'!E20))</f>
        <v/>
      </c>
      <c r="G16" s="695" t="s">
        <v>58</v>
      </c>
      <c r="J16" s="125"/>
    </row>
    <row r="17" spans="2:10" x14ac:dyDescent="0.4">
      <c r="B17" s="53" t="s">
        <v>62</v>
      </c>
      <c r="C17" s="760"/>
      <c r="E17" s="667" t="str">
        <f>IF(C19="","Delivery Capacity",IF(F13="Storage","First-Hour Rating, Fhr","Max GPM Rating"))</f>
        <v>Delivery Capacity</v>
      </c>
      <c r="F17" s="789" t="str">
        <f>IF(F13="Storage",IF('1st-Hr Rating Test'!E27="","",'1st-Hr Rating Test'!E27),IF('Max GPM Test'!E39="","",'Max GPM Test'!E39))</f>
        <v/>
      </c>
      <c r="G17" s="695" t="str">
        <f>IF(C19="","",IF(F13="Storage","gal","GPM"))</f>
        <v/>
      </c>
      <c r="J17" s="125"/>
    </row>
    <row r="18" spans="2:10" x14ac:dyDescent="0.4">
      <c r="B18" s="53" t="s">
        <v>64</v>
      </c>
      <c r="C18" s="760"/>
      <c r="E18" s="639" t="s">
        <v>78</v>
      </c>
      <c r="F18" s="789" t="str">
        <f>IF(F13="Storage",IF('1st-Hr Rating Test'!C29="","",'1st-Hr Rating Test'!C29),IF('Max GPM Test'!C41="","",'Max GPM Test'!C41))</f>
        <v/>
      </c>
      <c r="G18" s="694"/>
      <c r="J18" s="125"/>
    </row>
    <row r="19" spans="2:10" ht="16.5" x14ac:dyDescent="0.45">
      <c r="B19" s="53" t="s">
        <v>313</v>
      </c>
      <c r="C19" s="760"/>
      <c r="E19" s="652" t="s">
        <v>576</v>
      </c>
      <c r="F19" s="790" t="str">
        <f>IF('24-Hr Simulated Use Test'!E119="","",'24-Hr Simulated Use Test'!E119)</f>
        <v/>
      </c>
      <c r="G19" s="694" t="s">
        <v>258</v>
      </c>
      <c r="J19" s="125"/>
    </row>
    <row r="20" spans="2:10" x14ac:dyDescent="0.4">
      <c r="B20" s="144" t="s">
        <v>363</v>
      </c>
      <c r="C20" s="784"/>
      <c r="E20" s="647" t="s">
        <v>369</v>
      </c>
      <c r="F20" s="926" t="str">
        <f>IF('24-Hr Simulated Use Test'!E157="","",'24-Hr Simulated Use Test'!E157)</f>
        <v/>
      </c>
      <c r="G20" s="696"/>
      <c r="J20" s="125"/>
    </row>
    <row r="21" spans="2:10" ht="16.5" customHeight="1" x14ac:dyDescent="0.4">
      <c r="B21" s="53" t="s">
        <v>66</v>
      </c>
      <c r="C21" s="760" t="s">
        <v>81</v>
      </c>
      <c r="E21" s="697" t="s">
        <v>228</v>
      </c>
      <c r="F21" s="791" t="str">
        <f>IF('24-Hr Simulated Use Test'!D159="","",'24-Hr Simulated Use Test'!D159)</f>
        <v/>
      </c>
      <c r="G21" s="696" t="s">
        <v>259</v>
      </c>
      <c r="J21" s="125"/>
    </row>
    <row r="22" spans="2:10" ht="16.5" customHeight="1" x14ac:dyDescent="0.4">
      <c r="B22" s="145" t="s">
        <v>68</v>
      </c>
      <c r="C22" s="180" t="s">
        <v>81</v>
      </c>
      <c r="E22" s="697" t="s">
        <v>578</v>
      </c>
      <c r="F22" s="791" t="str">
        <f>IF('24-Hr Simulated Use Test'!D160="","",'24-Hr Simulated Use Test'!D160)</f>
        <v/>
      </c>
      <c r="G22" s="694" t="s">
        <v>260</v>
      </c>
      <c r="J22" s="125"/>
    </row>
    <row r="23" spans="2:10" ht="17.25" customHeight="1" thickBot="1" x14ac:dyDescent="0.45">
      <c r="B23" s="688" t="s">
        <v>69</v>
      </c>
      <c r="C23" s="760"/>
      <c r="E23" s="698" t="s">
        <v>579</v>
      </c>
      <c r="F23" s="792" t="str">
        <f>IF('24-Hr Simulated Use Test'!D161="","",'24-Hr Simulated Use Test'!D161)</f>
        <v/>
      </c>
      <c r="G23" s="699" t="s">
        <v>259</v>
      </c>
      <c r="J23" s="125"/>
    </row>
    <row r="24" spans="2:10" ht="15.75" customHeight="1" x14ac:dyDescent="0.4">
      <c r="B24" s="688" t="s">
        <v>384</v>
      </c>
      <c r="C24" s="784"/>
      <c r="J24" s="125"/>
    </row>
    <row r="25" spans="2:10" x14ac:dyDescent="0.4">
      <c r="B25" s="688" t="s">
        <v>387</v>
      </c>
      <c r="C25" s="760"/>
      <c r="J25" s="125"/>
    </row>
    <row r="26" spans="2:10" ht="16" thickBot="1" x14ac:dyDescent="0.45">
      <c r="B26" s="688" t="s">
        <v>388</v>
      </c>
      <c r="C26" s="760"/>
      <c r="E26" s="388" t="s">
        <v>63</v>
      </c>
      <c r="J26" s="125"/>
    </row>
    <row r="27" spans="2:10" ht="16" thickBot="1" x14ac:dyDescent="0.45">
      <c r="B27" s="688" t="s">
        <v>217</v>
      </c>
      <c r="C27" s="760"/>
      <c r="E27" s="45" t="s">
        <v>65</v>
      </c>
      <c r="F27" s="47"/>
      <c r="G27" s="47"/>
      <c r="H27" s="46"/>
      <c r="J27" s="125"/>
    </row>
    <row r="28" spans="2:10" x14ac:dyDescent="0.4">
      <c r="B28" s="688" t="s">
        <v>222</v>
      </c>
      <c r="C28" s="760"/>
      <c r="E28" s="966" t="s">
        <v>67</v>
      </c>
      <c r="F28" s="967"/>
      <c r="G28" s="967"/>
      <c r="H28" s="968"/>
      <c r="J28" s="125"/>
    </row>
    <row r="29" spans="2:10" x14ac:dyDescent="0.4">
      <c r="B29" s="688" t="s">
        <v>227</v>
      </c>
      <c r="C29" s="760"/>
      <c r="E29" s="969"/>
      <c r="F29" s="970"/>
      <c r="G29" s="970"/>
      <c r="H29" s="971"/>
      <c r="J29" s="125"/>
    </row>
    <row r="30" spans="2:10" ht="16" thickBot="1" x14ac:dyDescent="0.45">
      <c r="B30" s="688" t="s">
        <v>308</v>
      </c>
      <c r="C30" s="760"/>
      <c r="E30" s="972"/>
      <c r="F30" s="973"/>
      <c r="G30" s="973"/>
      <c r="H30" s="974"/>
      <c r="J30" s="125"/>
    </row>
    <row r="31" spans="2:10" ht="16" thickBot="1" x14ac:dyDescent="0.45">
      <c r="B31" s="688" t="s">
        <v>232</v>
      </c>
      <c r="C31" s="760"/>
      <c r="E31" s="975" t="s">
        <v>70</v>
      </c>
      <c r="F31" s="976"/>
      <c r="G31" s="700" t="s">
        <v>50</v>
      </c>
      <c r="H31" s="701" t="s">
        <v>71</v>
      </c>
      <c r="J31" s="125"/>
    </row>
    <row r="32" spans="2:10" x14ac:dyDescent="0.4">
      <c r="B32" s="688" t="s">
        <v>362</v>
      </c>
      <c r="C32" s="760"/>
      <c r="E32" s="977" t="s">
        <v>72</v>
      </c>
      <c r="F32" s="978"/>
      <c r="G32" s="685" t="str">
        <f>'Report Sign-Off Block'!D14</f>
        <v>[MM/DD/YYYY]</v>
      </c>
      <c r="H32" s="793" t="str">
        <f>IF('Report Sign-Off Block'!E14&lt;&gt;0,'Report Sign-Off Block'!E14,"")</f>
        <v>[Test Lab Name]</v>
      </c>
      <c r="J32" s="125"/>
    </row>
    <row r="33" spans="1:10" x14ac:dyDescent="0.4">
      <c r="B33" s="688" t="str">
        <f>IF(F15="","Rated Input",IF(F15="Electric","Rated Input, W","Rated Input, Btu/h"))</f>
        <v>Rated Input</v>
      </c>
      <c r="C33" s="760"/>
      <c r="E33" s="962" t="s">
        <v>74</v>
      </c>
      <c r="F33" s="963"/>
      <c r="G33" s="685" t="str">
        <f>'Report Sign-Off Block'!D15</f>
        <v>[MM/DD/YYYY]</v>
      </c>
      <c r="H33" s="793" t="str">
        <f>IF('Report Sign-Off Block'!E15&lt;&gt;0,'Report Sign-Off Block'!E15,"")</f>
        <v>[Test Lab Name]</v>
      </c>
      <c r="J33" s="125"/>
    </row>
    <row r="34" spans="1:10" x14ac:dyDescent="0.4">
      <c r="B34" s="688" t="str">
        <f>IF(F13="","Rated Delivery Capacity",IF(F13="Storage","Rated First Hour Rating, gal","Rated Max GPM Rating, gpm"))</f>
        <v>Rated Delivery Capacity</v>
      </c>
      <c r="C34" s="760"/>
      <c r="E34" s="962" t="s">
        <v>76</v>
      </c>
      <c r="F34" s="963"/>
      <c r="G34" s="685" t="str">
        <f>'Report Sign-Off Block'!D16</f>
        <v>[MM/DD/YYYY]</v>
      </c>
      <c r="H34" s="793" t="str">
        <f>IF('Report Sign-Off Block'!E16&lt;&gt;0,'Report Sign-Off Block'!E16,"")</f>
        <v>[Test Lab Name]</v>
      </c>
      <c r="J34" s="125"/>
    </row>
    <row r="35" spans="1:10" ht="16" thickBot="1" x14ac:dyDescent="0.45">
      <c r="B35" s="688" t="s">
        <v>370</v>
      </c>
      <c r="C35" s="760"/>
      <c r="E35" s="964" t="s">
        <v>76</v>
      </c>
      <c r="F35" s="965"/>
      <c r="G35" s="686" t="str">
        <f>'Report Sign-Off Block'!D17</f>
        <v>[MM/DD/YYYY]</v>
      </c>
      <c r="H35" s="794" t="str">
        <f>IF('Report Sign-Off Block'!E17&lt;&gt;0,'Report Sign-Off Block'!E17,"")</f>
        <v>[Test Lab Name]</v>
      </c>
      <c r="J35" s="125"/>
    </row>
    <row r="36" spans="1:10" x14ac:dyDescent="0.4">
      <c r="B36" s="639" t="s">
        <v>342</v>
      </c>
      <c r="C36" s="785"/>
      <c r="J36" s="125"/>
    </row>
    <row r="37" spans="1:10" x14ac:dyDescent="0.4">
      <c r="B37" s="639" t="s">
        <v>344</v>
      </c>
      <c r="C37" s="786"/>
      <c r="J37" s="125"/>
    </row>
    <row r="38" spans="1:10" ht="15.75" customHeight="1" x14ac:dyDescent="0.4">
      <c r="B38" s="639" t="s">
        <v>343</v>
      </c>
      <c r="C38" s="787"/>
      <c r="J38" s="125"/>
    </row>
    <row r="39" spans="1:10" ht="17" thickBot="1" x14ac:dyDescent="0.45">
      <c r="B39" s="689" t="s">
        <v>295</v>
      </c>
      <c r="C39" s="782"/>
      <c r="J39" s="125"/>
    </row>
    <row r="40" spans="1:10" ht="16" thickBot="1" x14ac:dyDescent="0.45">
      <c r="B40" s="143"/>
      <c r="C40" s="146"/>
      <c r="J40" s="125"/>
    </row>
    <row r="41" spans="1:10" ht="16" thickBot="1" x14ac:dyDescent="0.45">
      <c r="B41" s="951" t="s">
        <v>73</v>
      </c>
      <c r="C41" s="952"/>
      <c r="J41" s="125"/>
    </row>
    <row r="42" spans="1:10" x14ac:dyDescent="0.4">
      <c r="B42" s="177" t="s">
        <v>75</v>
      </c>
      <c r="C42" s="178" t="s">
        <v>81</v>
      </c>
      <c r="D42" s="26"/>
      <c r="J42" s="123"/>
    </row>
    <row r="43" spans="1:10" x14ac:dyDescent="0.4">
      <c r="B43" s="28" t="s">
        <v>77</v>
      </c>
      <c r="C43" s="180" t="s">
        <v>81</v>
      </c>
      <c r="E43" s="82"/>
      <c r="F43" s="82"/>
      <c r="G43" s="82"/>
      <c r="J43" s="123"/>
    </row>
    <row r="44" spans="1:10" ht="16" thickBot="1" x14ac:dyDescent="0.45">
      <c r="A44" s="63"/>
      <c r="B44" s="209" t="s">
        <v>202</v>
      </c>
      <c r="C44" s="788"/>
      <c r="D44" s="63"/>
      <c r="E44" s="221"/>
      <c r="F44" s="221"/>
      <c r="G44" s="221"/>
      <c r="H44" s="63"/>
      <c r="I44" s="63"/>
      <c r="J44" s="123"/>
    </row>
    <row r="45" spans="1:10" x14ac:dyDescent="0.4">
      <c r="J45" s="123"/>
    </row>
    <row r="46" spans="1:10" x14ac:dyDescent="0.4">
      <c r="A46" s="123"/>
      <c r="B46" s="123"/>
      <c r="C46" s="123"/>
      <c r="D46" s="123"/>
      <c r="E46" s="123"/>
      <c r="F46" s="123"/>
      <c r="G46" s="123"/>
      <c r="H46" s="123"/>
      <c r="I46" s="123"/>
      <c r="J46" s="123"/>
    </row>
    <row r="49" spans="4:4" x14ac:dyDescent="0.4">
      <c r="D49" s="27"/>
    </row>
  </sheetData>
  <sheetProtection algorithmName="SHA-512" hashValue="0grURO3Dmio1JDDk3dQ4OKY6U7SSAzsuLNtKR1pSwnMjxLvkJ9il2lSn4PIVrIqpDrw00Ws0qRWc97+UEnYmcw==" saltValue="u1LRAQ2PPoBvGkpe9JZenQ==" spinCount="100000" sheet="1" selectLockedCells="1"/>
  <mergeCells count="11">
    <mergeCell ref="B41:C41"/>
    <mergeCell ref="E34:F34"/>
    <mergeCell ref="E35:F35"/>
    <mergeCell ref="B2:C2"/>
    <mergeCell ref="E28:H30"/>
    <mergeCell ref="E31:F31"/>
    <mergeCell ref="E32:F32"/>
    <mergeCell ref="E33:F33"/>
    <mergeCell ref="E10:G10"/>
    <mergeCell ref="B14:C14"/>
    <mergeCell ref="B10:C10"/>
  </mergeCells>
  <dataValidations count="10">
    <dataValidation type="list" allowBlank="1" showInputMessage="1" showErrorMessage="1" sqref="C20" xr:uid="{00000000-0002-0000-0100-000000000000}">
      <formula1>DD_ConsumerVScommercial</formula1>
    </dataValidation>
    <dataValidation type="list" allowBlank="1" showInputMessage="1" showErrorMessage="1" sqref="C23" xr:uid="{00000000-0002-0000-0100-000001000000}">
      <formula1>DD_ConditionReceived</formula1>
    </dataValidation>
    <dataValidation type="list" allowBlank="1" showInputMessage="1" showErrorMessage="1" sqref="C27" xr:uid="{00000000-0002-0000-0100-000002000000}">
      <formula1>DD_VentingOptions</formula1>
    </dataValidation>
    <dataValidation type="list" allowBlank="1" showInputMessage="1" showErrorMessage="1" sqref="C28" xr:uid="{00000000-0002-0000-0100-000003000000}">
      <formula1>DD_IgnitionOptions</formula1>
    </dataValidation>
    <dataValidation type="list" allowBlank="1" showInputMessage="1" showErrorMessage="1" sqref="C29" xr:uid="{00000000-0002-0000-0100-000004000000}">
      <formula1>DD_condensing</formula1>
    </dataValidation>
    <dataValidation type="list" allowBlank="1" showInputMessage="1" showErrorMessage="1" sqref="C30" xr:uid="{00000000-0002-0000-0100-000005000000}">
      <formula1>DD_NOxEmissions</formula1>
    </dataValidation>
    <dataValidation type="list" allowBlank="1" showInputMessage="1" showErrorMessage="1" sqref="C24" xr:uid="{00000000-0002-0000-0100-000006000000}">
      <formula1>DD_GasType</formula1>
    </dataValidation>
    <dataValidation type="list" allowBlank="1" showInputMessage="1" showErrorMessage="1" sqref="C31 C25:C26" xr:uid="{00000000-0002-0000-0100-000007000000}">
      <formula1>DD_YesNo</formula1>
    </dataValidation>
    <dataValidation type="list" allowBlank="1" showInputMessage="1" showErrorMessage="1" sqref="C44" xr:uid="{00000000-0002-0000-0100-000008000000}">
      <formula1>DD_DrawPatterns</formula1>
    </dataValidation>
    <dataValidation type="list" allowBlank="1" showInputMessage="1" showErrorMessage="1" sqref="C19" xr:uid="{00000000-0002-0000-0100-000009000000}">
      <formula1>DD_WHtype</formula1>
    </dataValidation>
  </dataValidations>
  <hyperlinks>
    <hyperlink ref="E2" location="Instructions!A1" display="Back to Instructions tab" xr:uid="{00000000-0004-0000-0100-000000000000}"/>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70C0"/>
  </sheetPr>
  <dimension ref="A1:T87"/>
  <sheetViews>
    <sheetView showGridLines="0" zoomScale="80" zoomScaleNormal="80" workbookViewId="0">
      <selection activeCell="B13" sqref="B13"/>
    </sheetView>
  </sheetViews>
  <sheetFormatPr defaultColWidth="9.08984375" defaultRowHeight="15.5" x14ac:dyDescent="0.4"/>
  <cols>
    <col min="1" max="1" width="3" style="51" customWidth="1"/>
    <col min="2" max="2" width="34.90625" style="51" customWidth="1"/>
    <col min="3" max="3" width="38.90625" style="51" customWidth="1"/>
    <col min="4" max="4" width="29.08984375" style="51" customWidth="1"/>
    <col min="5" max="5" width="32.36328125" style="51" customWidth="1"/>
    <col min="6" max="6" width="25.54296875" style="51" customWidth="1"/>
    <col min="7" max="7" width="3.90625" style="51" customWidth="1"/>
    <col min="8" max="8" width="10.90625" style="51" customWidth="1"/>
    <col min="9" max="9" width="35.08984375" style="51" customWidth="1"/>
    <col min="10" max="10" width="35.54296875" style="51" customWidth="1"/>
    <col min="11" max="11" width="20" style="51" bestFit="1" customWidth="1"/>
    <col min="12" max="12" width="3.90625" style="51" customWidth="1"/>
    <col min="13" max="13" width="8.453125" style="51" customWidth="1"/>
    <col min="14" max="14" width="13.6328125" style="51" bestFit="1" customWidth="1"/>
    <col min="15" max="15" width="13.6328125" style="51" customWidth="1"/>
    <col min="16" max="16" width="18.6328125" style="51" customWidth="1"/>
    <col min="17" max="17" width="18.90625" style="51" customWidth="1"/>
    <col min="18" max="18" width="11.6328125" style="51" customWidth="1"/>
    <col min="19" max="19" width="5" style="51" customWidth="1"/>
    <col min="20" max="20" width="3.6328125" style="51" customWidth="1"/>
    <col min="21" max="22" width="9.08984375" style="51" customWidth="1"/>
    <col min="23" max="16384" width="9.08984375" style="51"/>
  </cols>
  <sheetData>
    <row r="1" spans="2:20" ht="16" thickBot="1" x14ac:dyDescent="0.45">
      <c r="J1" s="77"/>
      <c r="T1" s="123"/>
    </row>
    <row r="2" spans="2:20" ht="16" thickBot="1" x14ac:dyDescent="0.45">
      <c r="B2" s="951" t="s">
        <v>12</v>
      </c>
      <c r="C2" s="993"/>
      <c r="D2" s="952"/>
      <c r="F2" s="411" t="s">
        <v>51</v>
      </c>
      <c r="J2" s="77"/>
      <c r="T2" s="123"/>
    </row>
    <row r="3" spans="2:20" x14ac:dyDescent="0.4">
      <c r="B3" s="115" t="str">
        <f>'Version Control'!B3</f>
        <v>Test Report Template Name:</v>
      </c>
      <c r="C3" s="1015" t="str">
        <f>'Version Control'!C3</f>
        <v>Consumer Water Heater, UEF</v>
      </c>
      <c r="D3" s="1016"/>
      <c r="J3" s="77"/>
      <c r="T3" s="123"/>
    </row>
    <row r="4" spans="2:20" x14ac:dyDescent="0.4">
      <c r="B4" s="115" t="str">
        <f>'Version Control'!B4</f>
        <v>Version Number:</v>
      </c>
      <c r="C4" s="1017" t="str">
        <f>'Version Control'!C4</f>
        <v>v1.3</v>
      </c>
      <c r="D4" s="1018"/>
      <c r="J4" s="77"/>
      <c r="T4" s="123"/>
    </row>
    <row r="5" spans="2:20" x14ac:dyDescent="0.4">
      <c r="B5" s="115" t="str">
        <f>'Version Control'!B5</f>
        <v xml:space="preserve">Latest Template Revision: </v>
      </c>
      <c r="C5" s="1019">
        <f>'Version Control'!C5</f>
        <v>43643</v>
      </c>
      <c r="D5" s="1020"/>
      <c r="J5" s="77"/>
      <c r="T5" s="123"/>
    </row>
    <row r="6" spans="2:20" x14ac:dyDescent="0.4">
      <c r="B6" s="115" t="str">
        <f>'Version Control'!B6</f>
        <v>Tab Name:</v>
      </c>
      <c r="C6" s="1017" t="str">
        <f ca="1">MID(CELL("filename",A1), FIND("]", CELL("filename", A1))+ 1, 255)</f>
        <v>Setup &amp; Instrumentation</v>
      </c>
      <c r="D6" s="1018"/>
      <c r="J6" s="77"/>
      <c r="T6" s="123"/>
    </row>
    <row r="7" spans="2:20" ht="16" thickBot="1" x14ac:dyDescent="0.45">
      <c r="B7" s="654" t="str">
        <f>'Version Control'!B7</f>
        <v>File Name:</v>
      </c>
      <c r="C7" s="1013" t="str">
        <f ca="1">'Version Control'!C7</f>
        <v>Consumer Water Heater, UEF - v1.3.xlsx</v>
      </c>
      <c r="D7" s="1014"/>
      <c r="J7" s="77"/>
      <c r="T7" s="123"/>
    </row>
    <row r="8" spans="2:20" x14ac:dyDescent="0.4">
      <c r="J8" s="77"/>
      <c r="T8" s="123"/>
    </row>
    <row r="9" spans="2:20" ht="16" thickBot="1" x14ac:dyDescent="0.45">
      <c r="J9" s="77"/>
      <c r="T9" s="123"/>
    </row>
    <row r="10" spans="2:20" ht="16" thickBot="1" x14ac:dyDescent="0.45">
      <c r="B10" s="951" t="s">
        <v>82</v>
      </c>
      <c r="C10" s="993"/>
      <c r="D10" s="993"/>
      <c r="E10" s="993"/>
      <c r="F10" s="993"/>
      <c r="G10" s="993"/>
      <c r="H10" s="993"/>
      <c r="I10" s="993"/>
      <c r="J10" s="993"/>
      <c r="K10" s="993"/>
      <c r="L10" s="993"/>
      <c r="M10" s="993"/>
      <c r="N10" s="993"/>
      <c r="O10" s="993"/>
      <c r="P10" s="993"/>
      <c r="Q10" s="993"/>
      <c r="R10" s="952"/>
      <c r="T10" s="123"/>
    </row>
    <row r="11" spans="2:20" ht="17.25" customHeight="1" x14ac:dyDescent="0.4">
      <c r="B11" s="1004" t="s">
        <v>55</v>
      </c>
      <c r="C11" s="1006" t="s">
        <v>83</v>
      </c>
      <c r="D11" s="1006" t="s">
        <v>84</v>
      </c>
      <c r="E11" s="1006" t="s">
        <v>85</v>
      </c>
      <c r="F11" s="1006" t="s">
        <v>86</v>
      </c>
      <c r="G11" s="1003" t="s">
        <v>87</v>
      </c>
      <c r="H11" s="1003"/>
      <c r="I11" s="1003"/>
      <c r="J11" s="1003"/>
      <c r="K11" s="1003"/>
      <c r="L11" s="1011" t="s">
        <v>265</v>
      </c>
      <c r="M11" s="1011"/>
      <c r="N11" s="1011"/>
      <c r="O11" s="1011" t="s">
        <v>266</v>
      </c>
      <c r="P11" s="1008" t="s">
        <v>88</v>
      </c>
      <c r="Q11" s="1008" t="s">
        <v>89</v>
      </c>
      <c r="R11" s="991" t="s">
        <v>376</v>
      </c>
      <c r="T11" s="123"/>
    </row>
    <row r="12" spans="2:20" ht="33.75" customHeight="1" thickBot="1" x14ac:dyDescent="0.45">
      <c r="B12" s="1005"/>
      <c r="C12" s="1007"/>
      <c r="D12" s="1007"/>
      <c r="E12" s="1007"/>
      <c r="F12" s="1007"/>
      <c r="G12" s="1010" t="s">
        <v>192</v>
      </c>
      <c r="H12" s="1010"/>
      <c r="I12" s="412" t="s">
        <v>262</v>
      </c>
      <c r="J12" s="412" t="s">
        <v>263</v>
      </c>
      <c r="K12" s="412" t="s">
        <v>261</v>
      </c>
      <c r="L12" s="1012"/>
      <c r="M12" s="1012"/>
      <c r="N12" s="1012"/>
      <c r="O12" s="1012"/>
      <c r="P12" s="1009"/>
      <c r="Q12" s="1009"/>
      <c r="R12" s="992"/>
      <c r="T12" s="123"/>
    </row>
    <row r="13" spans="2:20" ht="17.25" customHeight="1" x14ac:dyDescent="0.4">
      <c r="B13" s="795"/>
      <c r="C13" s="796"/>
      <c r="D13" s="797"/>
      <c r="E13" s="798"/>
      <c r="F13" s="797"/>
      <c r="G13" s="799" t="str">
        <f>IF(B13="","","±")</f>
        <v/>
      </c>
      <c r="H13" s="800"/>
      <c r="I13" s="801" t="str">
        <f>IF(B13="","",IF(B13="Other","",VLOOKUP(B13,Constants!$B$74:$E$88,4,FALSE)))</f>
        <v/>
      </c>
      <c r="J13" s="800"/>
      <c r="K13" s="800"/>
      <c r="L13" s="801" t="str">
        <f>IF(OR(B13="",B13="Other"),"","±")</f>
        <v/>
      </c>
      <c r="M13" s="801" t="str">
        <f>IF(B13="","",IF(B13="Other","",VLOOKUP(B13,Constants!$B$74:$E$88,3,FALSE)))</f>
        <v/>
      </c>
      <c r="N13" s="801" t="str">
        <f>IF(B13="","",IF(B13="Other","",VLOOKUP(B13,Constants!$B$74:$E$88,4,FALSE)))</f>
        <v/>
      </c>
      <c r="O13" s="801" t="str">
        <f>IF(B13="","",IF(B13="Other","",IF(H13="","No",IF(ABS(H13)&gt;M13,"No","Yes"))))</f>
        <v/>
      </c>
      <c r="P13" s="170" t="s">
        <v>81</v>
      </c>
      <c r="Q13" s="210" t="s">
        <v>81</v>
      </c>
      <c r="R13" s="793" t="str">
        <f>IF(OR(Q13="",Q13="[MM/DD/YYYY]",P13="",P13="[MM/DD/YYYY]"),"",IF(AND('General Info &amp; Test Results'!$C$42&gt;=P13,'General Info &amp; Test Results'!$C$43&lt;=Q13,'General Info &amp; Test Results'!$C$43&gt;'General Info &amp; Test Results'!$C$42),"Yes","No"))</f>
        <v/>
      </c>
      <c r="T13" s="123"/>
    </row>
    <row r="14" spans="2:20" x14ac:dyDescent="0.4">
      <c r="B14" s="802"/>
      <c r="C14" s="803"/>
      <c r="D14" s="804"/>
      <c r="E14" s="805"/>
      <c r="F14" s="804"/>
      <c r="G14" s="806" t="str">
        <f t="shared" ref="G14:G52" si="0">IF(B14="","","±")</f>
        <v/>
      </c>
      <c r="H14" s="807"/>
      <c r="I14" s="808" t="str">
        <f>IF(B14="","",IF(B14="Other","",VLOOKUP(B14,Constants!$B$74:$E$88,4,FALSE)))</f>
        <v/>
      </c>
      <c r="J14" s="807"/>
      <c r="K14" s="807"/>
      <c r="L14" s="801" t="str">
        <f>IF(OR(B14="",B14="Other"),"","±")</f>
        <v/>
      </c>
      <c r="M14" s="801" t="str">
        <f>IF(B14="","",IF(B14="Other","",VLOOKUP(B14,Constants!$B$74:$E$88,3,FALSE)))</f>
        <v/>
      </c>
      <c r="N14" s="801" t="str">
        <f>IF(B14="","",IF(B14="Other","",VLOOKUP(B14,Constants!$B$74:$E$88,4,FALSE)))</f>
        <v/>
      </c>
      <c r="O14" s="801" t="str">
        <f t="shared" ref="O14:O52" si="1">IF(B14="","",IF(B14="Other","",IF(H14="","No",IF(ABS(H14)&gt;M14,"No","Yes"))))</f>
        <v/>
      </c>
      <c r="P14" s="33" t="s">
        <v>81</v>
      </c>
      <c r="Q14" s="211" t="s">
        <v>81</v>
      </c>
      <c r="R14" s="793" t="str">
        <f>IF(OR(Q14="",Q14="[MM/DD/YYYY]",P14="",P14="[MM/DD/YYYY]"),"",IF(AND('General Info &amp; Test Results'!$C$42&gt;=P14,'General Info &amp; Test Results'!$C$43&lt;=Q14,'General Info &amp; Test Results'!$C$43&gt;'General Info &amp; Test Results'!$C$42),"Yes","No"))</f>
        <v/>
      </c>
      <c r="T14" s="123"/>
    </row>
    <row r="15" spans="2:20" x14ac:dyDescent="0.4">
      <c r="B15" s="802"/>
      <c r="C15" s="803"/>
      <c r="D15" s="804"/>
      <c r="E15" s="805"/>
      <c r="F15" s="804"/>
      <c r="G15" s="806" t="str">
        <f t="shared" si="0"/>
        <v/>
      </c>
      <c r="H15" s="807"/>
      <c r="I15" s="808" t="str">
        <f>IF(B15="","",IF(B15="Other","",VLOOKUP(B15,Constants!$B$74:$E$88,4,FALSE)))</f>
        <v/>
      </c>
      <c r="J15" s="807"/>
      <c r="K15" s="807"/>
      <c r="L15" s="801" t="str">
        <f t="shared" ref="L15:L52" si="2">IF(OR(B15="",B15="Other"),"","±")</f>
        <v/>
      </c>
      <c r="M15" s="801" t="str">
        <f>IF(B15="","",IF(B15="Other","",VLOOKUP(B15,Constants!$B$74:$E$88,3,FALSE)))</f>
        <v/>
      </c>
      <c r="N15" s="801" t="str">
        <f>IF(B15="","",IF(B15="Other","",VLOOKUP(B15,Constants!$B$74:$E$88,4,FALSE)))</f>
        <v/>
      </c>
      <c r="O15" s="801" t="str">
        <f t="shared" si="1"/>
        <v/>
      </c>
      <c r="P15" s="33" t="s">
        <v>81</v>
      </c>
      <c r="Q15" s="211" t="s">
        <v>81</v>
      </c>
      <c r="R15" s="793" t="str">
        <f>IF(OR(Q15="",Q15="[MM/DD/YYYY]",P15="",P15="[MM/DD/YYYY]"),"",IF(AND('General Info &amp; Test Results'!$C$42&gt;=P15,'General Info &amp; Test Results'!$C$43&lt;=Q15,'General Info &amp; Test Results'!$C$43&gt;'General Info &amp; Test Results'!$C$42),"Yes","No"))</f>
        <v/>
      </c>
      <c r="T15" s="123"/>
    </row>
    <row r="16" spans="2:20" x14ac:dyDescent="0.4">
      <c r="B16" s="802"/>
      <c r="C16" s="803"/>
      <c r="D16" s="804"/>
      <c r="E16" s="805"/>
      <c r="F16" s="804"/>
      <c r="G16" s="806" t="str">
        <f t="shared" si="0"/>
        <v/>
      </c>
      <c r="H16" s="807"/>
      <c r="I16" s="808" t="str">
        <f>IF(B16="","",IF(B16="Other","",VLOOKUP(B16,Constants!$B$74:$E$88,4,FALSE)))</f>
        <v/>
      </c>
      <c r="J16" s="807"/>
      <c r="K16" s="807"/>
      <c r="L16" s="801" t="str">
        <f t="shared" si="2"/>
        <v/>
      </c>
      <c r="M16" s="801" t="str">
        <f>IF(B16="","",IF(B16="Other","",VLOOKUP(B16,Constants!$B$74:$E$88,3,FALSE)))</f>
        <v/>
      </c>
      <c r="N16" s="801" t="str">
        <f>IF(B16="","",IF(B16="Other","",VLOOKUP(B16,Constants!$B$74:$E$88,4,FALSE)))</f>
        <v/>
      </c>
      <c r="O16" s="801" t="str">
        <f t="shared" si="1"/>
        <v/>
      </c>
      <c r="P16" s="33" t="s">
        <v>81</v>
      </c>
      <c r="Q16" s="211" t="s">
        <v>81</v>
      </c>
      <c r="R16" s="793" t="str">
        <f>IF(OR(Q16="",Q16="[MM/DD/YYYY]",P16="",P16="[MM/DD/YYYY]"),"",IF(AND('General Info &amp; Test Results'!$C$42&gt;=P16,'General Info &amp; Test Results'!$C$43&lt;=Q16,'General Info &amp; Test Results'!$C$43&gt;'General Info &amp; Test Results'!$C$42),"Yes","No"))</f>
        <v/>
      </c>
      <c r="T16" s="123"/>
    </row>
    <row r="17" spans="2:20" x14ac:dyDescent="0.4">
      <c r="B17" s="802"/>
      <c r="C17" s="803"/>
      <c r="D17" s="804"/>
      <c r="E17" s="805"/>
      <c r="F17" s="804"/>
      <c r="G17" s="806" t="str">
        <f t="shared" si="0"/>
        <v/>
      </c>
      <c r="H17" s="807"/>
      <c r="I17" s="808" t="str">
        <f>IF(B17="","",IF(B17="Other","",VLOOKUP(B17,Constants!$B$74:$E$88,4,FALSE)))</f>
        <v/>
      </c>
      <c r="J17" s="807"/>
      <c r="K17" s="807"/>
      <c r="L17" s="801" t="str">
        <f t="shared" si="2"/>
        <v/>
      </c>
      <c r="M17" s="801" t="str">
        <f>IF(B17="","",IF(B17="Other","",VLOOKUP(B17,Constants!$B$74:$E$88,3,FALSE)))</f>
        <v/>
      </c>
      <c r="N17" s="801" t="str">
        <f>IF(B17="","",IF(B17="Other","",VLOOKUP(B17,Constants!$B$74:$E$88,4,FALSE)))</f>
        <v/>
      </c>
      <c r="O17" s="801" t="str">
        <f t="shared" si="1"/>
        <v/>
      </c>
      <c r="P17" s="33" t="s">
        <v>81</v>
      </c>
      <c r="Q17" s="211" t="s">
        <v>81</v>
      </c>
      <c r="R17" s="793" t="str">
        <f>IF(OR(Q17="",Q17="[MM/DD/YYYY]",P17="",P17="[MM/DD/YYYY]"),"",IF(AND('General Info &amp; Test Results'!$C$42&gt;=P17,'General Info &amp; Test Results'!$C$43&lt;=Q17,'General Info &amp; Test Results'!$C$43&gt;'General Info &amp; Test Results'!$C$42),"Yes","No"))</f>
        <v/>
      </c>
      <c r="T17" s="123"/>
    </row>
    <row r="18" spans="2:20" x14ac:dyDescent="0.4">
      <c r="B18" s="802"/>
      <c r="C18" s="803"/>
      <c r="D18" s="804"/>
      <c r="E18" s="805"/>
      <c r="F18" s="804"/>
      <c r="G18" s="806" t="str">
        <f t="shared" si="0"/>
        <v/>
      </c>
      <c r="H18" s="807"/>
      <c r="I18" s="808" t="str">
        <f>IF(B18="","",IF(B18="Other","",VLOOKUP(B18,Constants!$B$74:$E$88,4,FALSE)))</f>
        <v/>
      </c>
      <c r="J18" s="807"/>
      <c r="K18" s="807"/>
      <c r="L18" s="801" t="str">
        <f t="shared" si="2"/>
        <v/>
      </c>
      <c r="M18" s="801" t="str">
        <f>IF(B18="","",IF(B18="Other","",VLOOKUP(B18,Constants!$B$74:$E$88,3,FALSE)))</f>
        <v/>
      </c>
      <c r="N18" s="801" t="str">
        <f>IF(B18="","",IF(B18="Other","",VLOOKUP(B18,Constants!$B$74:$E$88,4,FALSE)))</f>
        <v/>
      </c>
      <c r="O18" s="801" t="str">
        <f t="shared" si="1"/>
        <v/>
      </c>
      <c r="P18" s="33" t="s">
        <v>81</v>
      </c>
      <c r="Q18" s="211" t="s">
        <v>81</v>
      </c>
      <c r="R18" s="793" t="str">
        <f>IF(OR(Q18="",Q18="[MM/DD/YYYY]",P18="",P18="[MM/DD/YYYY]"),"",IF(AND('General Info &amp; Test Results'!$C$42&gt;=P18,'General Info &amp; Test Results'!$C$43&lt;=Q18,'General Info &amp; Test Results'!$C$43&gt;'General Info &amp; Test Results'!$C$42),"Yes","No"))</f>
        <v/>
      </c>
      <c r="T18" s="123"/>
    </row>
    <row r="19" spans="2:20" x14ac:dyDescent="0.4">
      <c r="B19" s="802"/>
      <c r="C19" s="803"/>
      <c r="D19" s="804"/>
      <c r="E19" s="805"/>
      <c r="F19" s="804"/>
      <c r="G19" s="806" t="str">
        <f t="shared" si="0"/>
        <v/>
      </c>
      <c r="H19" s="807"/>
      <c r="I19" s="808" t="str">
        <f>IF(B19="","",IF(B19="Other","",VLOOKUP(B19,Constants!$B$74:$E$88,4,FALSE)))</f>
        <v/>
      </c>
      <c r="J19" s="807"/>
      <c r="K19" s="807"/>
      <c r="L19" s="801" t="str">
        <f t="shared" si="2"/>
        <v/>
      </c>
      <c r="M19" s="801" t="str">
        <f>IF(B19="","",IF(B19="Other","",VLOOKUP(B19,Constants!$B$74:$E$88,3,FALSE)))</f>
        <v/>
      </c>
      <c r="N19" s="801" t="str">
        <f>IF(B19="","",IF(B19="Other","",VLOOKUP(B19,Constants!$B$74:$E$88,4,FALSE)))</f>
        <v/>
      </c>
      <c r="O19" s="801" t="str">
        <f t="shared" si="1"/>
        <v/>
      </c>
      <c r="P19" s="33" t="s">
        <v>81</v>
      </c>
      <c r="Q19" s="211" t="s">
        <v>81</v>
      </c>
      <c r="R19" s="793" t="str">
        <f>IF(OR(Q19="",Q19="[MM/DD/YYYY]",P19="",P19="[MM/DD/YYYY]"),"",IF(AND('General Info &amp; Test Results'!$C$42&gt;=P19,'General Info &amp; Test Results'!$C$43&lt;=Q19,'General Info &amp; Test Results'!$C$43&gt;'General Info &amp; Test Results'!$C$42),"Yes","No"))</f>
        <v/>
      </c>
      <c r="T19" s="123"/>
    </row>
    <row r="20" spans="2:20" x14ac:dyDescent="0.4">
      <c r="B20" s="802"/>
      <c r="C20" s="803"/>
      <c r="D20" s="804"/>
      <c r="E20" s="805"/>
      <c r="F20" s="804"/>
      <c r="G20" s="806" t="str">
        <f t="shared" si="0"/>
        <v/>
      </c>
      <c r="H20" s="807"/>
      <c r="I20" s="808" t="str">
        <f>IF(B20="","",IF(B20="Other","",VLOOKUP(B20,Constants!$B$74:$E$88,4,FALSE)))</f>
        <v/>
      </c>
      <c r="J20" s="807"/>
      <c r="K20" s="807"/>
      <c r="L20" s="801" t="str">
        <f t="shared" si="2"/>
        <v/>
      </c>
      <c r="M20" s="801" t="str">
        <f>IF(B20="","",IF(B20="Other","",VLOOKUP(B20,Constants!$B$74:$E$88,3,FALSE)))</f>
        <v/>
      </c>
      <c r="N20" s="801" t="str">
        <f>IF(B20="","",IF(B20="Other","",VLOOKUP(B20,Constants!$B$74:$E$88,4,FALSE)))</f>
        <v/>
      </c>
      <c r="O20" s="801" t="str">
        <f t="shared" si="1"/>
        <v/>
      </c>
      <c r="P20" s="33" t="s">
        <v>81</v>
      </c>
      <c r="Q20" s="211" t="s">
        <v>81</v>
      </c>
      <c r="R20" s="793" t="str">
        <f>IF(OR(Q20="",Q20="[MM/DD/YYYY]",P20="",P20="[MM/DD/YYYY]"),"",IF(AND('General Info &amp; Test Results'!$C$42&gt;=P20,'General Info &amp; Test Results'!$C$43&lt;=Q20,'General Info &amp; Test Results'!$C$43&gt;'General Info &amp; Test Results'!$C$42),"Yes","No"))</f>
        <v/>
      </c>
      <c r="T20" s="123"/>
    </row>
    <row r="21" spans="2:20" x14ac:dyDescent="0.4">
      <c r="B21" s="802"/>
      <c r="C21" s="803"/>
      <c r="D21" s="804"/>
      <c r="E21" s="805"/>
      <c r="F21" s="804"/>
      <c r="G21" s="806" t="str">
        <f t="shared" si="0"/>
        <v/>
      </c>
      <c r="H21" s="807"/>
      <c r="I21" s="808" t="str">
        <f>IF(B21="","",IF(B21="Other","",VLOOKUP(B21,Constants!$B$74:$E$88,4,FALSE)))</f>
        <v/>
      </c>
      <c r="J21" s="807"/>
      <c r="K21" s="807"/>
      <c r="L21" s="801" t="str">
        <f t="shared" si="2"/>
        <v/>
      </c>
      <c r="M21" s="801" t="str">
        <f>IF(B21="","",IF(B21="Other","",VLOOKUP(B21,Constants!$B$74:$E$88,3,FALSE)))</f>
        <v/>
      </c>
      <c r="N21" s="801" t="str">
        <f>IF(B21="","",IF(B21="Other","",VLOOKUP(B21,Constants!$B$74:$E$88,4,FALSE)))</f>
        <v/>
      </c>
      <c r="O21" s="801" t="str">
        <f t="shared" si="1"/>
        <v/>
      </c>
      <c r="P21" s="33" t="s">
        <v>81</v>
      </c>
      <c r="Q21" s="211" t="s">
        <v>81</v>
      </c>
      <c r="R21" s="793" t="str">
        <f>IF(OR(Q21="",Q21="[MM/DD/YYYY]",P21="",P21="[MM/DD/YYYY]"),"",IF(AND('General Info &amp; Test Results'!$C$42&gt;=P21,'General Info &amp; Test Results'!$C$43&lt;=Q21,'General Info &amp; Test Results'!$C$43&gt;'General Info &amp; Test Results'!$C$42),"Yes","No"))</f>
        <v/>
      </c>
      <c r="T21" s="123"/>
    </row>
    <row r="22" spans="2:20" x14ac:dyDescent="0.4">
      <c r="B22" s="802"/>
      <c r="C22" s="803"/>
      <c r="D22" s="804"/>
      <c r="E22" s="805"/>
      <c r="F22" s="804"/>
      <c r="G22" s="806" t="str">
        <f t="shared" si="0"/>
        <v/>
      </c>
      <c r="H22" s="807"/>
      <c r="I22" s="808" t="str">
        <f>IF(B22="","",IF(B22="Other","",VLOOKUP(B22,Constants!$B$74:$E$88,4,FALSE)))</f>
        <v/>
      </c>
      <c r="J22" s="807"/>
      <c r="K22" s="807"/>
      <c r="L22" s="801" t="str">
        <f t="shared" si="2"/>
        <v/>
      </c>
      <c r="M22" s="801" t="str">
        <f>IF(B22="","",IF(B22="Other","",VLOOKUP(B22,Constants!$B$74:$E$88,3,FALSE)))</f>
        <v/>
      </c>
      <c r="N22" s="801" t="str">
        <f>IF(B22="","",IF(B22="Other","",VLOOKUP(B22,Constants!$B$74:$E$88,4,FALSE)))</f>
        <v/>
      </c>
      <c r="O22" s="801" t="str">
        <f t="shared" si="1"/>
        <v/>
      </c>
      <c r="P22" s="33" t="s">
        <v>81</v>
      </c>
      <c r="Q22" s="211" t="s">
        <v>81</v>
      </c>
      <c r="R22" s="793" t="str">
        <f>IF(OR(Q22="",Q22="[MM/DD/YYYY]",P22="",P22="[MM/DD/YYYY]"),"",IF(AND('General Info &amp; Test Results'!$C$42&gt;=P22,'General Info &amp; Test Results'!$C$43&lt;=Q22,'General Info &amp; Test Results'!$C$43&gt;'General Info &amp; Test Results'!$C$42),"Yes","No"))</f>
        <v/>
      </c>
      <c r="T22" s="123"/>
    </row>
    <row r="23" spans="2:20" x14ac:dyDescent="0.4">
      <c r="B23" s="802"/>
      <c r="C23" s="803"/>
      <c r="D23" s="804"/>
      <c r="E23" s="805"/>
      <c r="F23" s="804"/>
      <c r="G23" s="806" t="str">
        <f t="shared" si="0"/>
        <v/>
      </c>
      <c r="H23" s="807"/>
      <c r="I23" s="808" t="str">
        <f>IF(B23="","",IF(B23="Other","",VLOOKUP(B23,Constants!$B$74:$E$88,4,FALSE)))</f>
        <v/>
      </c>
      <c r="J23" s="807"/>
      <c r="K23" s="807"/>
      <c r="L23" s="801" t="str">
        <f t="shared" si="2"/>
        <v/>
      </c>
      <c r="M23" s="801" t="str">
        <f>IF(B23="","",IF(B23="Other","",VLOOKUP(B23,Constants!$B$74:$E$88,3,FALSE)))</f>
        <v/>
      </c>
      <c r="N23" s="801" t="str">
        <f>IF(B23="","",IF(B23="Other","",VLOOKUP(B23,Constants!$B$74:$E$88,4,FALSE)))</f>
        <v/>
      </c>
      <c r="O23" s="801" t="str">
        <f t="shared" si="1"/>
        <v/>
      </c>
      <c r="P23" s="33" t="s">
        <v>81</v>
      </c>
      <c r="Q23" s="211" t="s">
        <v>81</v>
      </c>
      <c r="R23" s="793" t="str">
        <f>IF(OR(Q23="",Q23="[MM/DD/YYYY]",P23="",P23="[MM/DD/YYYY]"),"",IF(AND('General Info &amp; Test Results'!$C$42&gt;=P23,'General Info &amp; Test Results'!$C$43&lt;=Q23,'General Info &amp; Test Results'!$C$43&gt;'General Info &amp; Test Results'!$C$42),"Yes","No"))</f>
        <v/>
      </c>
      <c r="T23" s="123"/>
    </row>
    <row r="24" spans="2:20" x14ac:dyDescent="0.4">
      <c r="B24" s="802"/>
      <c r="C24" s="803"/>
      <c r="D24" s="804"/>
      <c r="E24" s="805"/>
      <c r="F24" s="804"/>
      <c r="G24" s="806" t="str">
        <f t="shared" si="0"/>
        <v/>
      </c>
      <c r="H24" s="807"/>
      <c r="I24" s="808" t="str">
        <f>IF(B24="","",IF(B24="Other","",VLOOKUP(B24,Constants!$B$74:$E$88,4,FALSE)))</f>
        <v/>
      </c>
      <c r="J24" s="807"/>
      <c r="K24" s="807"/>
      <c r="L24" s="801" t="str">
        <f t="shared" si="2"/>
        <v/>
      </c>
      <c r="M24" s="801" t="str">
        <f>IF(B24="","",IF(B24="Other","",VLOOKUP(B24,Constants!$B$74:$E$88,3,FALSE)))</f>
        <v/>
      </c>
      <c r="N24" s="801" t="str">
        <f>IF(B24="","",IF(B24="Other","",VLOOKUP(B24,Constants!$B$74:$E$88,4,FALSE)))</f>
        <v/>
      </c>
      <c r="O24" s="801" t="str">
        <f t="shared" si="1"/>
        <v/>
      </c>
      <c r="P24" s="33" t="s">
        <v>81</v>
      </c>
      <c r="Q24" s="211" t="s">
        <v>81</v>
      </c>
      <c r="R24" s="793" t="str">
        <f>IF(OR(Q24="",Q24="[MM/DD/YYYY]",P24="",P24="[MM/DD/YYYY]"),"",IF(AND('General Info &amp; Test Results'!$C$42&gt;=P24,'General Info &amp; Test Results'!$C$43&lt;=Q24,'General Info &amp; Test Results'!$C$43&gt;'General Info &amp; Test Results'!$C$42),"Yes","No"))</f>
        <v/>
      </c>
      <c r="T24" s="123"/>
    </row>
    <row r="25" spans="2:20" x14ac:dyDescent="0.4">
      <c r="B25" s="802"/>
      <c r="C25" s="803"/>
      <c r="D25" s="804"/>
      <c r="E25" s="805"/>
      <c r="F25" s="804"/>
      <c r="G25" s="806" t="str">
        <f t="shared" si="0"/>
        <v/>
      </c>
      <c r="H25" s="807"/>
      <c r="I25" s="808" t="str">
        <f>IF(B25="","",IF(B25="Other","",VLOOKUP(B25,Constants!$B$74:$E$88,4,FALSE)))</f>
        <v/>
      </c>
      <c r="J25" s="807"/>
      <c r="K25" s="807"/>
      <c r="L25" s="801" t="str">
        <f t="shared" si="2"/>
        <v/>
      </c>
      <c r="M25" s="801" t="str">
        <f>IF(B25="","",IF(B25="Other","",VLOOKUP(B25,Constants!$B$74:$E$88,3,FALSE)))</f>
        <v/>
      </c>
      <c r="N25" s="801" t="str">
        <f>IF(B25="","",IF(B25="Other","",VLOOKUP(B25,Constants!$B$74:$E$88,4,FALSE)))</f>
        <v/>
      </c>
      <c r="O25" s="801" t="str">
        <f t="shared" si="1"/>
        <v/>
      </c>
      <c r="P25" s="33" t="s">
        <v>81</v>
      </c>
      <c r="Q25" s="211" t="s">
        <v>81</v>
      </c>
      <c r="R25" s="793" t="str">
        <f>IF(OR(Q25="",Q25="[MM/DD/YYYY]",P25="",P25="[MM/DD/YYYY]"),"",IF(AND('General Info &amp; Test Results'!$C$42&gt;=P25,'General Info &amp; Test Results'!$C$43&lt;=Q25,'General Info &amp; Test Results'!$C$43&gt;'General Info &amp; Test Results'!$C$42),"Yes","No"))</f>
        <v/>
      </c>
      <c r="T25" s="123"/>
    </row>
    <row r="26" spans="2:20" x14ac:dyDescent="0.4">
      <c r="B26" s="802"/>
      <c r="C26" s="803"/>
      <c r="D26" s="804"/>
      <c r="E26" s="805"/>
      <c r="F26" s="804"/>
      <c r="G26" s="806" t="str">
        <f t="shared" si="0"/>
        <v/>
      </c>
      <c r="H26" s="807"/>
      <c r="I26" s="808" t="str">
        <f>IF(B26="","",IF(B26="Other","",VLOOKUP(B26,Constants!$B$74:$E$88,4,FALSE)))</f>
        <v/>
      </c>
      <c r="J26" s="807"/>
      <c r="K26" s="807"/>
      <c r="L26" s="801" t="str">
        <f t="shared" si="2"/>
        <v/>
      </c>
      <c r="M26" s="801" t="str">
        <f>IF(B26="","",IF(B26="Other","",VLOOKUP(B26,Constants!$B$74:$E$88,3,FALSE)))</f>
        <v/>
      </c>
      <c r="N26" s="801" t="str">
        <f>IF(B26="","",IF(B26="Other","",VLOOKUP(B26,Constants!$B$74:$E$88,4,FALSE)))</f>
        <v/>
      </c>
      <c r="O26" s="801" t="str">
        <f t="shared" si="1"/>
        <v/>
      </c>
      <c r="P26" s="33" t="s">
        <v>81</v>
      </c>
      <c r="Q26" s="211" t="s">
        <v>81</v>
      </c>
      <c r="R26" s="793" t="str">
        <f>IF(OR(Q26="",Q26="[MM/DD/YYYY]",P26="",P26="[MM/DD/YYYY]"),"",IF(AND('General Info &amp; Test Results'!$C$42&gt;=P26,'General Info &amp; Test Results'!$C$43&lt;=Q26,'General Info &amp; Test Results'!$C$43&gt;'General Info &amp; Test Results'!$C$42),"Yes","No"))</f>
        <v/>
      </c>
      <c r="T26" s="123"/>
    </row>
    <row r="27" spans="2:20" x14ac:dyDescent="0.4">
      <c r="B27" s="802"/>
      <c r="C27" s="803"/>
      <c r="D27" s="804"/>
      <c r="E27" s="805"/>
      <c r="F27" s="804"/>
      <c r="G27" s="806" t="str">
        <f t="shared" si="0"/>
        <v/>
      </c>
      <c r="H27" s="807"/>
      <c r="I27" s="808" t="str">
        <f>IF(B27="","",IF(B27="Other","",VLOOKUP(B27,Constants!$B$74:$E$88,4,FALSE)))</f>
        <v/>
      </c>
      <c r="J27" s="807"/>
      <c r="K27" s="807"/>
      <c r="L27" s="801" t="str">
        <f t="shared" si="2"/>
        <v/>
      </c>
      <c r="M27" s="801" t="str">
        <f>IF(B27="","",IF(B27="Other","",VLOOKUP(B27,Constants!$B$74:$E$88,3,FALSE)))</f>
        <v/>
      </c>
      <c r="N27" s="801" t="str">
        <f>IF(B27="","",IF(B27="Other","",VLOOKUP(B27,Constants!$B$74:$E$88,4,FALSE)))</f>
        <v/>
      </c>
      <c r="O27" s="801" t="str">
        <f t="shared" si="1"/>
        <v/>
      </c>
      <c r="P27" s="33" t="s">
        <v>81</v>
      </c>
      <c r="Q27" s="211" t="s">
        <v>81</v>
      </c>
      <c r="R27" s="793" t="str">
        <f>IF(OR(Q27="",Q27="[MM/DD/YYYY]",P27="",P27="[MM/DD/YYYY]"),"",IF(AND('General Info &amp; Test Results'!$C$42&gt;=P27,'General Info &amp; Test Results'!$C$43&lt;=Q27,'General Info &amp; Test Results'!$C$43&gt;'General Info &amp; Test Results'!$C$42),"Yes","No"))</f>
        <v/>
      </c>
      <c r="T27" s="123"/>
    </row>
    <row r="28" spans="2:20" x14ac:dyDescent="0.4">
      <c r="B28" s="802"/>
      <c r="C28" s="803"/>
      <c r="D28" s="804"/>
      <c r="E28" s="805"/>
      <c r="F28" s="804"/>
      <c r="G28" s="806" t="str">
        <f t="shared" si="0"/>
        <v/>
      </c>
      <c r="H28" s="807"/>
      <c r="I28" s="808" t="str">
        <f>IF(B28="","",IF(B28="Other","",VLOOKUP(B28,Constants!$B$74:$E$88,4,FALSE)))</f>
        <v/>
      </c>
      <c r="J28" s="807"/>
      <c r="K28" s="807"/>
      <c r="L28" s="801" t="str">
        <f t="shared" si="2"/>
        <v/>
      </c>
      <c r="M28" s="801" t="str">
        <f>IF(B28="","",IF(B28="Other","",VLOOKUP(B28,Constants!$B$74:$E$88,3,FALSE)))</f>
        <v/>
      </c>
      <c r="N28" s="801" t="str">
        <f>IF(B28="","",IF(B28="Other","",VLOOKUP(B28,Constants!$B$74:$E$88,4,FALSE)))</f>
        <v/>
      </c>
      <c r="O28" s="801" t="str">
        <f t="shared" si="1"/>
        <v/>
      </c>
      <c r="P28" s="33" t="s">
        <v>81</v>
      </c>
      <c r="Q28" s="211" t="s">
        <v>81</v>
      </c>
      <c r="R28" s="793" t="str">
        <f>IF(OR(Q28="",Q28="[MM/DD/YYYY]",P28="",P28="[MM/DD/YYYY]"),"",IF(AND('General Info &amp; Test Results'!$C$42&gt;=P28,'General Info &amp; Test Results'!$C$43&lt;=Q28,'General Info &amp; Test Results'!$C$43&gt;'General Info &amp; Test Results'!$C$42),"Yes","No"))</f>
        <v/>
      </c>
      <c r="T28" s="123"/>
    </row>
    <row r="29" spans="2:20" x14ac:dyDescent="0.4">
      <c r="B29" s="802"/>
      <c r="C29" s="803"/>
      <c r="D29" s="804"/>
      <c r="E29" s="805"/>
      <c r="F29" s="804"/>
      <c r="G29" s="806" t="str">
        <f t="shared" si="0"/>
        <v/>
      </c>
      <c r="H29" s="807"/>
      <c r="I29" s="808" t="str">
        <f>IF(B29="","",IF(B29="Other","",VLOOKUP(B29,Constants!$B$74:$E$88,4,FALSE)))</f>
        <v/>
      </c>
      <c r="J29" s="807"/>
      <c r="K29" s="807"/>
      <c r="L29" s="801" t="str">
        <f t="shared" si="2"/>
        <v/>
      </c>
      <c r="M29" s="801" t="str">
        <f>IF(B29="","",IF(B29="Other","",VLOOKUP(B29,Constants!$B$74:$E$88,3,FALSE)))</f>
        <v/>
      </c>
      <c r="N29" s="801" t="str">
        <f>IF(B29="","",IF(B29="Other","",VLOOKUP(B29,Constants!$B$74:$E$88,4,FALSE)))</f>
        <v/>
      </c>
      <c r="O29" s="801" t="str">
        <f t="shared" si="1"/>
        <v/>
      </c>
      <c r="P29" s="33" t="s">
        <v>81</v>
      </c>
      <c r="Q29" s="211" t="s">
        <v>81</v>
      </c>
      <c r="R29" s="793" t="str">
        <f>IF(OR(Q29="",Q29="[MM/DD/YYYY]",P29="",P29="[MM/DD/YYYY]"),"",IF(AND('General Info &amp; Test Results'!$C$42&gt;=P29,'General Info &amp; Test Results'!$C$43&lt;=Q29,'General Info &amp; Test Results'!$C$43&gt;'General Info &amp; Test Results'!$C$42),"Yes","No"))</f>
        <v/>
      </c>
      <c r="T29" s="123"/>
    </row>
    <row r="30" spans="2:20" x14ac:dyDescent="0.4">
      <c r="B30" s="802"/>
      <c r="C30" s="803"/>
      <c r="D30" s="804"/>
      <c r="E30" s="805"/>
      <c r="F30" s="804"/>
      <c r="G30" s="806" t="str">
        <f t="shared" si="0"/>
        <v/>
      </c>
      <c r="H30" s="807"/>
      <c r="I30" s="808" t="str">
        <f>IF(B30="","",IF(B30="Other","",VLOOKUP(B30,Constants!$B$74:$E$88,4,FALSE)))</f>
        <v/>
      </c>
      <c r="J30" s="807"/>
      <c r="K30" s="807"/>
      <c r="L30" s="801" t="str">
        <f t="shared" si="2"/>
        <v/>
      </c>
      <c r="M30" s="801" t="str">
        <f>IF(B30="","",IF(B30="Other","",VLOOKUP(B30,Constants!$B$74:$E$88,3,FALSE)))</f>
        <v/>
      </c>
      <c r="N30" s="801" t="str">
        <f>IF(B30="","",IF(B30="Other","",VLOOKUP(B30,Constants!$B$74:$E$88,4,FALSE)))</f>
        <v/>
      </c>
      <c r="O30" s="801" t="str">
        <f t="shared" si="1"/>
        <v/>
      </c>
      <c r="P30" s="33" t="s">
        <v>81</v>
      </c>
      <c r="Q30" s="211" t="s">
        <v>81</v>
      </c>
      <c r="R30" s="793" t="str">
        <f>IF(OR(Q30="",Q30="[MM/DD/YYYY]",P30="",P30="[MM/DD/YYYY]"),"",IF(AND('General Info &amp; Test Results'!$C$42&gt;=P30,'General Info &amp; Test Results'!$C$43&lt;=Q30,'General Info &amp; Test Results'!$C$43&gt;'General Info &amp; Test Results'!$C$42),"Yes","No"))</f>
        <v/>
      </c>
      <c r="T30" s="123"/>
    </row>
    <row r="31" spans="2:20" x14ac:dyDescent="0.4">
      <c r="B31" s="802"/>
      <c r="C31" s="803"/>
      <c r="D31" s="804"/>
      <c r="E31" s="805"/>
      <c r="F31" s="804"/>
      <c r="G31" s="806" t="str">
        <f t="shared" si="0"/>
        <v/>
      </c>
      <c r="H31" s="807"/>
      <c r="I31" s="808" t="str">
        <f>IF(B31="","",IF(B31="Other","",VLOOKUP(B31,Constants!$B$74:$E$88,4,FALSE)))</f>
        <v/>
      </c>
      <c r="J31" s="807"/>
      <c r="K31" s="807"/>
      <c r="L31" s="801" t="str">
        <f t="shared" si="2"/>
        <v/>
      </c>
      <c r="M31" s="801" t="str">
        <f>IF(B31="","",IF(B31="Other","",VLOOKUP(B31,Constants!$B$74:$E$88,3,FALSE)))</f>
        <v/>
      </c>
      <c r="N31" s="801" t="str">
        <f>IF(B31="","",IF(B31="Other","",VLOOKUP(B31,Constants!$B$74:$E$88,4,FALSE)))</f>
        <v/>
      </c>
      <c r="O31" s="801" t="str">
        <f t="shared" si="1"/>
        <v/>
      </c>
      <c r="P31" s="33" t="s">
        <v>81</v>
      </c>
      <c r="Q31" s="211" t="s">
        <v>81</v>
      </c>
      <c r="R31" s="793" t="str">
        <f>IF(OR(Q31="",Q31="[MM/DD/YYYY]",P31="",P31="[MM/DD/YYYY]"),"",IF(AND('General Info &amp; Test Results'!$C$42&gt;=P31,'General Info &amp; Test Results'!$C$43&lt;=Q31,'General Info &amp; Test Results'!$C$43&gt;'General Info &amp; Test Results'!$C$42),"Yes","No"))</f>
        <v/>
      </c>
      <c r="T31" s="123"/>
    </row>
    <row r="32" spans="2:20" x14ac:dyDescent="0.4">
      <c r="B32" s="802"/>
      <c r="C32" s="803"/>
      <c r="D32" s="804"/>
      <c r="E32" s="805"/>
      <c r="F32" s="804"/>
      <c r="G32" s="806" t="str">
        <f t="shared" si="0"/>
        <v/>
      </c>
      <c r="H32" s="807"/>
      <c r="I32" s="808" t="str">
        <f>IF(B32="","",IF(B32="Other","",VLOOKUP(B32,Constants!$B$74:$E$88,4,FALSE)))</f>
        <v/>
      </c>
      <c r="J32" s="807"/>
      <c r="K32" s="807"/>
      <c r="L32" s="801" t="str">
        <f t="shared" si="2"/>
        <v/>
      </c>
      <c r="M32" s="801" t="str">
        <f>IF(B32="","",IF(B32="Other","",VLOOKUP(B32,Constants!$B$74:$E$88,3,FALSE)))</f>
        <v/>
      </c>
      <c r="N32" s="801" t="str">
        <f>IF(B32="","",IF(B32="Other","",VLOOKUP(B32,Constants!$B$74:$E$88,4,FALSE)))</f>
        <v/>
      </c>
      <c r="O32" s="801" t="str">
        <f t="shared" si="1"/>
        <v/>
      </c>
      <c r="P32" s="33" t="s">
        <v>81</v>
      </c>
      <c r="Q32" s="211" t="s">
        <v>81</v>
      </c>
      <c r="R32" s="793" t="str">
        <f>IF(OR(Q32="",Q32="[MM/DD/YYYY]",P32="",P32="[MM/DD/YYYY]"),"",IF(AND('General Info &amp; Test Results'!$C$42&gt;=P32,'General Info &amp; Test Results'!$C$43&lt;=Q32,'General Info &amp; Test Results'!$C$43&gt;'General Info &amp; Test Results'!$C$42),"Yes","No"))</f>
        <v/>
      </c>
      <c r="T32" s="123"/>
    </row>
    <row r="33" spans="2:20" x14ac:dyDescent="0.4">
      <c r="B33" s="802"/>
      <c r="C33" s="803"/>
      <c r="D33" s="804"/>
      <c r="E33" s="805"/>
      <c r="F33" s="804"/>
      <c r="G33" s="806" t="str">
        <f t="shared" si="0"/>
        <v/>
      </c>
      <c r="H33" s="807"/>
      <c r="I33" s="808" t="str">
        <f>IF(B33="","",IF(B33="Other","",VLOOKUP(B33,Constants!$B$74:$E$88,4,FALSE)))</f>
        <v/>
      </c>
      <c r="J33" s="807"/>
      <c r="K33" s="807"/>
      <c r="L33" s="801" t="str">
        <f t="shared" si="2"/>
        <v/>
      </c>
      <c r="M33" s="801" t="str">
        <f>IF(B33="","",IF(B33="Other","",VLOOKUP(B33,Constants!$B$74:$E$88,3,FALSE)))</f>
        <v/>
      </c>
      <c r="N33" s="801" t="str">
        <f>IF(B33="","",IF(B33="Other","",VLOOKUP(B33,Constants!$B$74:$E$88,4,FALSE)))</f>
        <v/>
      </c>
      <c r="O33" s="801" t="str">
        <f t="shared" si="1"/>
        <v/>
      </c>
      <c r="P33" s="33" t="s">
        <v>81</v>
      </c>
      <c r="Q33" s="211" t="s">
        <v>81</v>
      </c>
      <c r="R33" s="793" t="str">
        <f>IF(OR(Q33="",Q33="[MM/DD/YYYY]",P33="",P33="[MM/DD/YYYY]"),"",IF(AND('General Info &amp; Test Results'!$C$42&gt;=P33,'General Info &amp; Test Results'!$C$43&lt;=Q33,'General Info &amp; Test Results'!$C$43&gt;'General Info &amp; Test Results'!$C$42),"Yes","No"))</f>
        <v/>
      </c>
      <c r="T33" s="123"/>
    </row>
    <row r="34" spans="2:20" x14ac:dyDescent="0.4">
      <c r="B34" s="802"/>
      <c r="C34" s="803"/>
      <c r="D34" s="804"/>
      <c r="E34" s="805"/>
      <c r="F34" s="804"/>
      <c r="G34" s="806" t="str">
        <f t="shared" si="0"/>
        <v/>
      </c>
      <c r="H34" s="807"/>
      <c r="I34" s="808" t="str">
        <f>IF(B34="","",IF(B34="Other","",VLOOKUP(B34,Constants!$B$74:$E$88,4,FALSE)))</f>
        <v/>
      </c>
      <c r="J34" s="807"/>
      <c r="K34" s="807"/>
      <c r="L34" s="801" t="str">
        <f t="shared" si="2"/>
        <v/>
      </c>
      <c r="M34" s="801" t="str">
        <f>IF(B34="","",IF(B34="Other","",VLOOKUP(B34,Constants!$B$74:$E$88,3,FALSE)))</f>
        <v/>
      </c>
      <c r="N34" s="801" t="str">
        <f>IF(B34="","",IF(B34="Other","",VLOOKUP(B34,Constants!$B$74:$E$88,4,FALSE)))</f>
        <v/>
      </c>
      <c r="O34" s="801" t="str">
        <f t="shared" si="1"/>
        <v/>
      </c>
      <c r="P34" s="33" t="s">
        <v>81</v>
      </c>
      <c r="Q34" s="211" t="s">
        <v>81</v>
      </c>
      <c r="R34" s="793" t="str">
        <f>IF(OR(Q34="",Q34="[MM/DD/YYYY]",P34="",P34="[MM/DD/YYYY]"),"",IF(AND('General Info &amp; Test Results'!$C$42&gt;=P34,'General Info &amp; Test Results'!$C$43&lt;=Q34,'General Info &amp; Test Results'!$C$43&gt;'General Info &amp; Test Results'!$C$42),"Yes","No"))</f>
        <v/>
      </c>
      <c r="T34" s="123"/>
    </row>
    <row r="35" spans="2:20" x14ac:dyDescent="0.4">
      <c r="B35" s="802"/>
      <c r="C35" s="803"/>
      <c r="D35" s="804"/>
      <c r="E35" s="805"/>
      <c r="F35" s="804"/>
      <c r="G35" s="806" t="str">
        <f t="shared" si="0"/>
        <v/>
      </c>
      <c r="H35" s="807"/>
      <c r="I35" s="808" t="str">
        <f>IF(B35="","",IF(B35="Other","",VLOOKUP(B35,Constants!$B$74:$E$88,4,FALSE)))</f>
        <v/>
      </c>
      <c r="J35" s="807"/>
      <c r="K35" s="807"/>
      <c r="L35" s="801" t="str">
        <f t="shared" si="2"/>
        <v/>
      </c>
      <c r="M35" s="801" t="str">
        <f>IF(B35="","",IF(B35="Other","",VLOOKUP(B35,Constants!$B$74:$E$88,3,FALSE)))</f>
        <v/>
      </c>
      <c r="N35" s="801" t="str">
        <f>IF(B35="","",IF(B35="Other","",VLOOKUP(B35,Constants!$B$74:$E$88,4,FALSE)))</f>
        <v/>
      </c>
      <c r="O35" s="801" t="str">
        <f t="shared" si="1"/>
        <v/>
      </c>
      <c r="P35" s="33" t="s">
        <v>81</v>
      </c>
      <c r="Q35" s="211" t="s">
        <v>81</v>
      </c>
      <c r="R35" s="793" t="str">
        <f>IF(OR(Q35="",Q35="[MM/DD/YYYY]",P35="",P35="[MM/DD/YYYY]"),"",IF(AND('General Info &amp; Test Results'!$C$42&gt;=P35,'General Info &amp; Test Results'!$C$43&lt;=Q35,'General Info &amp; Test Results'!$C$43&gt;'General Info &amp; Test Results'!$C$42),"Yes","No"))</f>
        <v/>
      </c>
      <c r="T35" s="123"/>
    </row>
    <row r="36" spans="2:20" x14ac:dyDescent="0.4">
      <c r="B36" s="802"/>
      <c r="C36" s="803"/>
      <c r="D36" s="804"/>
      <c r="E36" s="805"/>
      <c r="F36" s="804"/>
      <c r="G36" s="806" t="str">
        <f t="shared" si="0"/>
        <v/>
      </c>
      <c r="H36" s="807"/>
      <c r="I36" s="808" t="str">
        <f>IF(B36="","",IF(B36="Other","",VLOOKUP(B36,Constants!$B$74:$E$88,4,FALSE)))</f>
        <v/>
      </c>
      <c r="J36" s="807"/>
      <c r="K36" s="807"/>
      <c r="L36" s="801" t="str">
        <f t="shared" si="2"/>
        <v/>
      </c>
      <c r="M36" s="801" t="str">
        <f>IF(B36="","",IF(B36="Other","",VLOOKUP(B36,Constants!$B$74:$E$88,3,FALSE)))</f>
        <v/>
      </c>
      <c r="N36" s="801" t="str">
        <f>IF(B36="","",IF(B36="Other","",VLOOKUP(B36,Constants!$B$74:$E$88,4,FALSE)))</f>
        <v/>
      </c>
      <c r="O36" s="801" t="str">
        <f t="shared" si="1"/>
        <v/>
      </c>
      <c r="P36" s="33" t="s">
        <v>81</v>
      </c>
      <c r="Q36" s="211" t="s">
        <v>81</v>
      </c>
      <c r="R36" s="793" t="str">
        <f>IF(OR(Q36="",Q36="[MM/DD/YYYY]",P36="",P36="[MM/DD/YYYY]"),"",IF(AND('General Info &amp; Test Results'!$C$42&gt;=P36,'General Info &amp; Test Results'!$C$43&lt;=Q36,'General Info &amp; Test Results'!$C$43&gt;'General Info &amp; Test Results'!$C$42),"Yes","No"))</f>
        <v/>
      </c>
      <c r="T36" s="123"/>
    </row>
    <row r="37" spans="2:20" x14ac:dyDescent="0.4">
      <c r="B37" s="802"/>
      <c r="C37" s="803"/>
      <c r="D37" s="804"/>
      <c r="E37" s="805"/>
      <c r="F37" s="804"/>
      <c r="G37" s="806" t="str">
        <f t="shared" si="0"/>
        <v/>
      </c>
      <c r="H37" s="807"/>
      <c r="I37" s="808" t="str">
        <f>IF(B37="","",IF(B37="Other","",VLOOKUP(B37,Constants!$B$74:$E$88,4,FALSE)))</f>
        <v/>
      </c>
      <c r="J37" s="807"/>
      <c r="K37" s="807"/>
      <c r="L37" s="801" t="str">
        <f t="shared" si="2"/>
        <v/>
      </c>
      <c r="M37" s="801" t="str">
        <f>IF(B37="","",IF(B37="Other","",VLOOKUP(B37,Constants!$B$74:$E$88,3,FALSE)))</f>
        <v/>
      </c>
      <c r="N37" s="801" t="str">
        <f>IF(B37="","",IF(B37="Other","",VLOOKUP(B37,Constants!$B$74:$E$88,4,FALSE)))</f>
        <v/>
      </c>
      <c r="O37" s="801" t="str">
        <f t="shared" si="1"/>
        <v/>
      </c>
      <c r="P37" s="33" t="s">
        <v>81</v>
      </c>
      <c r="Q37" s="211" t="s">
        <v>81</v>
      </c>
      <c r="R37" s="793" t="str">
        <f>IF(OR(Q37="",Q37="[MM/DD/YYYY]",P37="",P37="[MM/DD/YYYY]"),"",IF(AND('General Info &amp; Test Results'!$C$42&gt;=P37,'General Info &amp; Test Results'!$C$43&lt;=Q37,'General Info &amp; Test Results'!$C$43&gt;'General Info &amp; Test Results'!$C$42),"Yes","No"))</f>
        <v/>
      </c>
      <c r="T37" s="123"/>
    </row>
    <row r="38" spans="2:20" x14ac:dyDescent="0.4">
      <c r="B38" s="802"/>
      <c r="C38" s="803"/>
      <c r="D38" s="804"/>
      <c r="E38" s="805"/>
      <c r="F38" s="804"/>
      <c r="G38" s="806" t="str">
        <f t="shared" si="0"/>
        <v/>
      </c>
      <c r="H38" s="807"/>
      <c r="I38" s="808" t="str">
        <f>IF(B38="","",IF(B38="Other","",VLOOKUP(B38,Constants!$B$74:$E$88,4,FALSE)))</f>
        <v/>
      </c>
      <c r="J38" s="807"/>
      <c r="K38" s="807"/>
      <c r="L38" s="801" t="str">
        <f t="shared" si="2"/>
        <v/>
      </c>
      <c r="M38" s="801" t="str">
        <f>IF(B38="","",IF(B38="Other","",VLOOKUP(B38,Constants!$B$74:$E$88,3,FALSE)))</f>
        <v/>
      </c>
      <c r="N38" s="801" t="str">
        <f>IF(B38="","",IF(B38="Other","",VLOOKUP(B38,Constants!$B$74:$E$88,4,FALSE)))</f>
        <v/>
      </c>
      <c r="O38" s="801" t="str">
        <f t="shared" si="1"/>
        <v/>
      </c>
      <c r="P38" s="33" t="s">
        <v>81</v>
      </c>
      <c r="Q38" s="211" t="s">
        <v>81</v>
      </c>
      <c r="R38" s="793" t="str">
        <f>IF(OR(Q38="",Q38="[MM/DD/YYYY]",P38="",P38="[MM/DD/YYYY]"),"",IF(AND('General Info &amp; Test Results'!$C$42&gt;=P38,'General Info &amp; Test Results'!$C$43&lt;=Q38,'General Info &amp; Test Results'!$C$43&gt;'General Info &amp; Test Results'!$C$42),"Yes","No"))</f>
        <v/>
      </c>
      <c r="T38" s="123"/>
    </row>
    <row r="39" spans="2:20" x14ac:dyDescent="0.4">
      <c r="B39" s="802"/>
      <c r="C39" s="803"/>
      <c r="D39" s="804"/>
      <c r="E39" s="805"/>
      <c r="F39" s="804"/>
      <c r="G39" s="806" t="str">
        <f t="shared" si="0"/>
        <v/>
      </c>
      <c r="H39" s="807"/>
      <c r="I39" s="808" t="str">
        <f>IF(B39="","",IF(B39="Other","",VLOOKUP(B39,Constants!$B$74:$E$88,4,FALSE)))</f>
        <v/>
      </c>
      <c r="J39" s="807"/>
      <c r="K39" s="807"/>
      <c r="L39" s="801" t="str">
        <f t="shared" si="2"/>
        <v/>
      </c>
      <c r="M39" s="801" t="str">
        <f>IF(B39="","",IF(B39="Other","",VLOOKUP(B39,Constants!$B$74:$E$88,3,FALSE)))</f>
        <v/>
      </c>
      <c r="N39" s="801" t="str">
        <f>IF(B39="","",IF(B39="Other","",VLOOKUP(B39,Constants!$B$74:$E$88,4,FALSE)))</f>
        <v/>
      </c>
      <c r="O39" s="801" t="str">
        <f t="shared" si="1"/>
        <v/>
      </c>
      <c r="P39" s="33" t="s">
        <v>81</v>
      </c>
      <c r="Q39" s="211" t="s">
        <v>81</v>
      </c>
      <c r="R39" s="793" t="str">
        <f>IF(OR(Q39="",Q39="[MM/DD/YYYY]",P39="",P39="[MM/DD/YYYY]"),"",IF(AND('General Info &amp; Test Results'!$C$42&gt;=P39,'General Info &amp; Test Results'!$C$43&lt;=Q39,'General Info &amp; Test Results'!$C$43&gt;'General Info &amp; Test Results'!$C$42),"Yes","No"))</f>
        <v/>
      </c>
      <c r="T39" s="123"/>
    </row>
    <row r="40" spans="2:20" x14ac:dyDescent="0.4">
      <c r="B40" s="802"/>
      <c r="C40" s="803"/>
      <c r="D40" s="804"/>
      <c r="E40" s="805"/>
      <c r="F40" s="804"/>
      <c r="G40" s="806" t="str">
        <f t="shared" si="0"/>
        <v/>
      </c>
      <c r="H40" s="807"/>
      <c r="I40" s="808" t="str">
        <f>IF(B40="","",IF(B40="Other","",VLOOKUP(B40,Constants!$B$74:$E$88,4,FALSE)))</f>
        <v/>
      </c>
      <c r="J40" s="807"/>
      <c r="K40" s="807"/>
      <c r="L40" s="801" t="str">
        <f t="shared" si="2"/>
        <v/>
      </c>
      <c r="M40" s="801" t="str">
        <f>IF(B40="","",IF(B40="Other","",VLOOKUP(B40,Constants!$B$74:$E$88,3,FALSE)))</f>
        <v/>
      </c>
      <c r="N40" s="801" t="str">
        <f>IF(B40="","",IF(B40="Other","",VLOOKUP(B40,Constants!$B$74:$E$88,4,FALSE)))</f>
        <v/>
      </c>
      <c r="O40" s="801" t="str">
        <f t="shared" si="1"/>
        <v/>
      </c>
      <c r="P40" s="33" t="s">
        <v>81</v>
      </c>
      <c r="Q40" s="211" t="s">
        <v>81</v>
      </c>
      <c r="R40" s="793" t="str">
        <f>IF(OR(Q40="",Q40="[MM/DD/YYYY]",P40="",P40="[MM/DD/YYYY]"),"",IF(AND('General Info &amp; Test Results'!$C$42&gt;=P40,'General Info &amp; Test Results'!$C$43&lt;=Q40,'General Info &amp; Test Results'!$C$43&gt;'General Info &amp; Test Results'!$C$42),"Yes","No"))</f>
        <v/>
      </c>
      <c r="T40" s="123"/>
    </row>
    <row r="41" spans="2:20" x14ac:dyDescent="0.4">
      <c r="B41" s="802"/>
      <c r="C41" s="803"/>
      <c r="D41" s="804"/>
      <c r="E41" s="805"/>
      <c r="F41" s="804"/>
      <c r="G41" s="806" t="str">
        <f t="shared" si="0"/>
        <v/>
      </c>
      <c r="H41" s="807"/>
      <c r="I41" s="808" t="str">
        <f>IF(B41="","",IF(B41="Other","",VLOOKUP(B41,Constants!$B$74:$E$88,4,FALSE)))</f>
        <v/>
      </c>
      <c r="J41" s="807"/>
      <c r="K41" s="807"/>
      <c r="L41" s="801" t="str">
        <f t="shared" si="2"/>
        <v/>
      </c>
      <c r="M41" s="801" t="str">
        <f>IF(B41="","",IF(B41="Other","",VLOOKUP(B41,Constants!$B$74:$E$88,3,FALSE)))</f>
        <v/>
      </c>
      <c r="N41" s="801" t="str">
        <f>IF(B41="","",IF(B41="Other","",VLOOKUP(B41,Constants!$B$74:$E$88,4,FALSE)))</f>
        <v/>
      </c>
      <c r="O41" s="801" t="str">
        <f t="shared" si="1"/>
        <v/>
      </c>
      <c r="P41" s="33" t="s">
        <v>81</v>
      </c>
      <c r="Q41" s="211" t="s">
        <v>81</v>
      </c>
      <c r="R41" s="793" t="str">
        <f>IF(OR(Q41="",Q41="[MM/DD/YYYY]",P41="",P41="[MM/DD/YYYY]"),"",IF(AND('General Info &amp; Test Results'!$C$42&gt;=P41,'General Info &amp; Test Results'!$C$43&lt;=Q41,'General Info &amp; Test Results'!$C$43&gt;'General Info &amp; Test Results'!$C$42),"Yes","No"))</f>
        <v/>
      </c>
      <c r="T41" s="123"/>
    </row>
    <row r="42" spans="2:20" x14ac:dyDescent="0.4">
      <c r="B42" s="802"/>
      <c r="C42" s="803"/>
      <c r="D42" s="804"/>
      <c r="E42" s="805"/>
      <c r="F42" s="804"/>
      <c r="G42" s="806" t="str">
        <f t="shared" si="0"/>
        <v/>
      </c>
      <c r="H42" s="807"/>
      <c r="I42" s="808" t="str">
        <f>IF(B42="","",IF(B42="Other","",VLOOKUP(B42,Constants!$B$74:$E$88,4,FALSE)))</f>
        <v/>
      </c>
      <c r="J42" s="807"/>
      <c r="K42" s="807"/>
      <c r="L42" s="801" t="str">
        <f t="shared" si="2"/>
        <v/>
      </c>
      <c r="M42" s="801" t="str">
        <f>IF(B42="","",IF(B42="Other","",VLOOKUP(B42,Constants!$B$74:$E$88,3,FALSE)))</f>
        <v/>
      </c>
      <c r="N42" s="801" t="str">
        <f>IF(B42="","",IF(B42="Other","",VLOOKUP(B42,Constants!$B$74:$E$88,4,FALSE)))</f>
        <v/>
      </c>
      <c r="O42" s="801" t="str">
        <f t="shared" si="1"/>
        <v/>
      </c>
      <c r="P42" s="33" t="s">
        <v>81</v>
      </c>
      <c r="Q42" s="211" t="s">
        <v>81</v>
      </c>
      <c r="R42" s="793" t="str">
        <f>IF(OR(Q42="",Q42="[MM/DD/YYYY]",P42="",P42="[MM/DD/YYYY]"),"",IF(AND('General Info &amp; Test Results'!$C$42&gt;=P42,'General Info &amp; Test Results'!$C$43&lt;=Q42,'General Info &amp; Test Results'!$C$43&gt;'General Info &amp; Test Results'!$C$42),"Yes","No"))</f>
        <v/>
      </c>
      <c r="T42" s="123"/>
    </row>
    <row r="43" spans="2:20" x14ac:dyDescent="0.4">
      <c r="B43" s="802"/>
      <c r="C43" s="803"/>
      <c r="D43" s="804"/>
      <c r="E43" s="805"/>
      <c r="F43" s="804"/>
      <c r="G43" s="806" t="str">
        <f t="shared" si="0"/>
        <v/>
      </c>
      <c r="H43" s="807"/>
      <c r="I43" s="808" t="str">
        <f>IF(B43="","",IF(B43="Other","",VLOOKUP(B43,Constants!$B$74:$E$88,4,FALSE)))</f>
        <v/>
      </c>
      <c r="J43" s="807"/>
      <c r="K43" s="807"/>
      <c r="L43" s="801" t="str">
        <f t="shared" si="2"/>
        <v/>
      </c>
      <c r="M43" s="801" t="str">
        <f>IF(B43="","",IF(B43="Other","",VLOOKUP(B43,Constants!$B$74:$E$88,3,FALSE)))</f>
        <v/>
      </c>
      <c r="N43" s="801" t="str">
        <f>IF(B43="","",IF(B43="Other","",VLOOKUP(B43,Constants!$B$74:$E$88,4,FALSE)))</f>
        <v/>
      </c>
      <c r="O43" s="801" t="str">
        <f t="shared" si="1"/>
        <v/>
      </c>
      <c r="P43" s="33" t="s">
        <v>81</v>
      </c>
      <c r="Q43" s="211" t="s">
        <v>81</v>
      </c>
      <c r="R43" s="793" t="str">
        <f>IF(OR(Q43="",Q43="[MM/DD/YYYY]",P43="",P43="[MM/DD/YYYY]"),"",IF(AND('General Info &amp; Test Results'!$C$42&gt;=P43,'General Info &amp; Test Results'!$C$43&lt;=Q43,'General Info &amp; Test Results'!$C$43&gt;'General Info &amp; Test Results'!$C$42),"Yes","No"))</f>
        <v/>
      </c>
      <c r="T43" s="123"/>
    </row>
    <row r="44" spans="2:20" x14ac:dyDescent="0.4">
      <c r="B44" s="802"/>
      <c r="C44" s="803"/>
      <c r="D44" s="804"/>
      <c r="E44" s="805"/>
      <c r="F44" s="804"/>
      <c r="G44" s="806" t="str">
        <f t="shared" si="0"/>
        <v/>
      </c>
      <c r="H44" s="807"/>
      <c r="I44" s="808" t="str">
        <f>IF(B44="","",IF(B44="Other","",VLOOKUP(B44,Constants!$B$74:$E$88,4,FALSE)))</f>
        <v/>
      </c>
      <c r="J44" s="807"/>
      <c r="K44" s="807"/>
      <c r="L44" s="801" t="str">
        <f t="shared" si="2"/>
        <v/>
      </c>
      <c r="M44" s="801" t="str">
        <f>IF(B44="","",IF(B44="Other","",VLOOKUP(B44,Constants!$B$74:$E$88,3,FALSE)))</f>
        <v/>
      </c>
      <c r="N44" s="801" t="str">
        <f>IF(B44="","",IF(B44="Other","",VLOOKUP(B44,Constants!$B$74:$E$88,4,FALSE)))</f>
        <v/>
      </c>
      <c r="O44" s="801" t="str">
        <f t="shared" si="1"/>
        <v/>
      </c>
      <c r="P44" s="33" t="s">
        <v>81</v>
      </c>
      <c r="Q44" s="211" t="s">
        <v>81</v>
      </c>
      <c r="R44" s="793" t="str">
        <f>IF(OR(Q44="",Q44="[MM/DD/YYYY]",P44="",P44="[MM/DD/YYYY]"),"",IF(AND('General Info &amp; Test Results'!$C$42&gt;=P44,'General Info &amp; Test Results'!$C$43&lt;=Q44,'General Info &amp; Test Results'!$C$43&gt;'General Info &amp; Test Results'!$C$42),"Yes","No"))</f>
        <v/>
      </c>
      <c r="T44" s="123"/>
    </row>
    <row r="45" spans="2:20" x14ac:dyDescent="0.4">
      <c r="B45" s="802"/>
      <c r="C45" s="803"/>
      <c r="D45" s="804"/>
      <c r="E45" s="805"/>
      <c r="F45" s="804"/>
      <c r="G45" s="806" t="str">
        <f t="shared" si="0"/>
        <v/>
      </c>
      <c r="H45" s="807"/>
      <c r="I45" s="808" t="str">
        <f>IF(B45="","",IF(B45="Other","",VLOOKUP(B45,Constants!$B$74:$E$88,4,FALSE)))</f>
        <v/>
      </c>
      <c r="J45" s="807"/>
      <c r="K45" s="807"/>
      <c r="L45" s="801" t="str">
        <f t="shared" si="2"/>
        <v/>
      </c>
      <c r="M45" s="801" t="str">
        <f>IF(B45="","",IF(B45="Other","",VLOOKUP(B45,Constants!$B$74:$E$88,3,FALSE)))</f>
        <v/>
      </c>
      <c r="N45" s="801" t="str">
        <f>IF(B45="","",IF(B45="Other","",VLOOKUP(B45,Constants!$B$74:$E$88,4,FALSE)))</f>
        <v/>
      </c>
      <c r="O45" s="801" t="str">
        <f t="shared" si="1"/>
        <v/>
      </c>
      <c r="P45" s="33" t="s">
        <v>81</v>
      </c>
      <c r="Q45" s="211" t="s">
        <v>81</v>
      </c>
      <c r="R45" s="793" t="str">
        <f>IF(OR(Q45="",Q45="[MM/DD/YYYY]",P45="",P45="[MM/DD/YYYY]"),"",IF(AND('General Info &amp; Test Results'!$C$42&gt;=P45,'General Info &amp; Test Results'!$C$43&lt;=Q45,'General Info &amp; Test Results'!$C$43&gt;'General Info &amp; Test Results'!$C$42),"Yes","No"))</f>
        <v/>
      </c>
      <c r="T45" s="123"/>
    </row>
    <row r="46" spans="2:20" x14ac:dyDescent="0.4">
      <c r="B46" s="802"/>
      <c r="C46" s="803"/>
      <c r="D46" s="804"/>
      <c r="E46" s="805"/>
      <c r="F46" s="804"/>
      <c r="G46" s="806" t="str">
        <f t="shared" si="0"/>
        <v/>
      </c>
      <c r="H46" s="807"/>
      <c r="I46" s="808" t="str">
        <f>IF(B46="","",IF(B46="Other","",VLOOKUP(B46,Constants!$B$74:$E$88,4,FALSE)))</f>
        <v/>
      </c>
      <c r="J46" s="807"/>
      <c r="K46" s="807"/>
      <c r="L46" s="801" t="str">
        <f t="shared" si="2"/>
        <v/>
      </c>
      <c r="M46" s="801" t="str">
        <f>IF(B46="","",IF(B46="Other","",VLOOKUP(B46,Constants!$B$74:$E$88,3,FALSE)))</f>
        <v/>
      </c>
      <c r="N46" s="801" t="str">
        <f>IF(B46="","",IF(B46="Other","",VLOOKUP(B46,Constants!$B$74:$E$88,4,FALSE)))</f>
        <v/>
      </c>
      <c r="O46" s="801" t="str">
        <f t="shared" si="1"/>
        <v/>
      </c>
      <c r="P46" s="33" t="s">
        <v>81</v>
      </c>
      <c r="Q46" s="211" t="s">
        <v>81</v>
      </c>
      <c r="R46" s="793" t="str">
        <f>IF(OR(Q46="",Q46="[MM/DD/YYYY]",P46="",P46="[MM/DD/YYYY]"),"",IF(AND('General Info &amp; Test Results'!$C$42&gt;=P46,'General Info &amp; Test Results'!$C$43&lt;=Q46,'General Info &amp; Test Results'!$C$43&gt;'General Info &amp; Test Results'!$C$42),"Yes","No"))</f>
        <v/>
      </c>
      <c r="T46" s="123"/>
    </row>
    <row r="47" spans="2:20" x14ac:dyDescent="0.4">
      <c r="B47" s="802"/>
      <c r="C47" s="803"/>
      <c r="D47" s="804"/>
      <c r="E47" s="805"/>
      <c r="F47" s="804"/>
      <c r="G47" s="806" t="str">
        <f t="shared" si="0"/>
        <v/>
      </c>
      <c r="H47" s="807"/>
      <c r="I47" s="808" t="str">
        <f>IF(B47="","",IF(B47="Other","",VLOOKUP(B47,Constants!$B$74:$E$88,4,FALSE)))</f>
        <v/>
      </c>
      <c r="J47" s="807"/>
      <c r="K47" s="807"/>
      <c r="L47" s="801" t="str">
        <f t="shared" si="2"/>
        <v/>
      </c>
      <c r="M47" s="801" t="str">
        <f>IF(B47="","",IF(B47="Other","",VLOOKUP(B47,Constants!$B$74:$E$88,3,FALSE)))</f>
        <v/>
      </c>
      <c r="N47" s="801" t="str">
        <f>IF(B47="","",IF(B47="Other","",VLOOKUP(B47,Constants!$B$74:$E$88,4,FALSE)))</f>
        <v/>
      </c>
      <c r="O47" s="801" t="str">
        <f t="shared" si="1"/>
        <v/>
      </c>
      <c r="P47" s="33" t="s">
        <v>81</v>
      </c>
      <c r="Q47" s="211" t="s">
        <v>81</v>
      </c>
      <c r="R47" s="793" t="str">
        <f>IF(OR(Q47="",Q47="[MM/DD/YYYY]",P47="",P47="[MM/DD/YYYY]"),"",IF(AND('General Info &amp; Test Results'!$C$42&gt;=P47,'General Info &amp; Test Results'!$C$43&lt;=Q47,'General Info &amp; Test Results'!$C$43&gt;'General Info &amp; Test Results'!$C$42),"Yes","No"))</f>
        <v/>
      </c>
      <c r="T47" s="123"/>
    </row>
    <row r="48" spans="2:20" x14ac:dyDescent="0.4">
      <c r="B48" s="802"/>
      <c r="C48" s="803"/>
      <c r="D48" s="804"/>
      <c r="E48" s="805"/>
      <c r="F48" s="804"/>
      <c r="G48" s="806" t="str">
        <f t="shared" si="0"/>
        <v/>
      </c>
      <c r="H48" s="807"/>
      <c r="I48" s="808" t="str">
        <f>IF(B48="","",IF(B48="Other","",VLOOKUP(B48,Constants!$B$74:$E$88,4,FALSE)))</f>
        <v/>
      </c>
      <c r="J48" s="807"/>
      <c r="K48" s="807"/>
      <c r="L48" s="801" t="str">
        <f t="shared" si="2"/>
        <v/>
      </c>
      <c r="M48" s="801" t="str">
        <f>IF(B48="","",IF(B48="Other","",VLOOKUP(B48,Constants!$B$74:$E$88,3,FALSE)))</f>
        <v/>
      </c>
      <c r="N48" s="801" t="str">
        <f>IF(B48="","",IF(B48="Other","",VLOOKUP(B48,Constants!$B$74:$E$88,4,FALSE)))</f>
        <v/>
      </c>
      <c r="O48" s="801" t="str">
        <f t="shared" si="1"/>
        <v/>
      </c>
      <c r="P48" s="33" t="s">
        <v>81</v>
      </c>
      <c r="Q48" s="211" t="s">
        <v>81</v>
      </c>
      <c r="R48" s="793" t="str">
        <f>IF(OR(Q48="",Q48="[MM/DD/YYYY]",P48="",P48="[MM/DD/YYYY]"),"",IF(AND('General Info &amp; Test Results'!$C$42&gt;=P48,'General Info &amp; Test Results'!$C$43&lt;=Q48,'General Info &amp; Test Results'!$C$43&gt;'General Info &amp; Test Results'!$C$42),"Yes","No"))</f>
        <v/>
      </c>
      <c r="T48" s="123"/>
    </row>
    <row r="49" spans="2:20" x14ac:dyDescent="0.4">
      <c r="B49" s="802"/>
      <c r="C49" s="803"/>
      <c r="D49" s="804"/>
      <c r="E49" s="805"/>
      <c r="F49" s="804"/>
      <c r="G49" s="806" t="str">
        <f t="shared" si="0"/>
        <v/>
      </c>
      <c r="H49" s="807"/>
      <c r="I49" s="808" t="str">
        <f>IF(B49="","",IF(B49="Other","",VLOOKUP(B49,Constants!$B$74:$E$88,4,FALSE)))</f>
        <v/>
      </c>
      <c r="J49" s="807"/>
      <c r="K49" s="807"/>
      <c r="L49" s="801" t="str">
        <f t="shared" si="2"/>
        <v/>
      </c>
      <c r="M49" s="801" t="str">
        <f>IF(B49="","",IF(B49="Other","",VLOOKUP(B49,Constants!$B$74:$E$88,3,FALSE)))</f>
        <v/>
      </c>
      <c r="N49" s="801" t="str">
        <f>IF(B49="","",IF(B49="Other","",VLOOKUP(B49,Constants!$B$74:$E$88,4,FALSE)))</f>
        <v/>
      </c>
      <c r="O49" s="801" t="str">
        <f t="shared" si="1"/>
        <v/>
      </c>
      <c r="P49" s="33" t="s">
        <v>81</v>
      </c>
      <c r="Q49" s="211" t="s">
        <v>81</v>
      </c>
      <c r="R49" s="793" t="str">
        <f>IF(OR(Q49="",Q49="[MM/DD/YYYY]",P49="",P49="[MM/DD/YYYY]"),"",IF(AND('General Info &amp; Test Results'!$C$42&gt;=P49,'General Info &amp; Test Results'!$C$43&lt;=Q49,'General Info &amp; Test Results'!$C$43&gt;'General Info &amp; Test Results'!$C$42),"Yes","No"))</f>
        <v/>
      </c>
      <c r="T49" s="123"/>
    </row>
    <row r="50" spans="2:20" x14ac:dyDescent="0.4">
      <c r="B50" s="802"/>
      <c r="C50" s="803"/>
      <c r="D50" s="804"/>
      <c r="E50" s="805"/>
      <c r="F50" s="804"/>
      <c r="G50" s="806" t="str">
        <f t="shared" si="0"/>
        <v/>
      </c>
      <c r="H50" s="807"/>
      <c r="I50" s="808" t="str">
        <f>IF(B50="","",IF(B50="Other","",VLOOKUP(B50,Constants!$B$74:$E$88,4,FALSE)))</f>
        <v/>
      </c>
      <c r="J50" s="807"/>
      <c r="K50" s="807"/>
      <c r="L50" s="801" t="str">
        <f t="shared" si="2"/>
        <v/>
      </c>
      <c r="M50" s="801" t="str">
        <f>IF(B50="","",IF(B50="Other","",VLOOKUP(B50,Constants!$B$74:$E$88,3,FALSE)))</f>
        <v/>
      </c>
      <c r="N50" s="801" t="str">
        <f>IF(B50="","",IF(B50="Other","",VLOOKUP(B50,Constants!$B$74:$E$88,4,FALSE)))</f>
        <v/>
      </c>
      <c r="O50" s="801" t="str">
        <f t="shared" si="1"/>
        <v/>
      </c>
      <c r="P50" s="33" t="s">
        <v>81</v>
      </c>
      <c r="Q50" s="211" t="s">
        <v>81</v>
      </c>
      <c r="R50" s="793" t="str">
        <f>IF(OR(Q50="",Q50="[MM/DD/YYYY]",P50="",P50="[MM/DD/YYYY]"),"",IF(AND('General Info &amp; Test Results'!$C$42&gt;=P50,'General Info &amp; Test Results'!$C$43&lt;=Q50,'General Info &amp; Test Results'!$C$43&gt;'General Info &amp; Test Results'!$C$42),"Yes","No"))</f>
        <v/>
      </c>
      <c r="T50" s="123"/>
    </row>
    <row r="51" spans="2:20" x14ac:dyDescent="0.4">
      <c r="B51" s="802"/>
      <c r="C51" s="803"/>
      <c r="D51" s="804"/>
      <c r="E51" s="805"/>
      <c r="F51" s="804"/>
      <c r="G51" s="806" t="str">
        <f t="shared" si="0"/>
        <v/>
      </c>
      <c r="H51" s="807"/>
      <c r="I51" s="808" t="str">
        <f>IF(B51="","",IF(B51="Other","",VLOOKUP(B51,Constants!$B$74:$E$88,4,FALSE)))</f>
        <v/>
      </c>
      <c r="J51" s="807"/>
      <c r="K51" s="807"/>
      <c r="L51" s="801" t="str">
        <f t="shared" si="2"/>
        <v/>
      </c>
      <c r="M51" s="801" t="str">
        <f>IF(B51="","",IF(B51="Other","",VLOOKUP(B51,Constants!$B$74:$E$88,3,FALSE)))</f>
        <v/>
      </c>
      <c r="N51" s="801" t="str">
        <f>IF(B51="","",IF(B51="Other","",VLOOKUP(B51,Constants!$B$74:$E$88,4,FALSE)))</f>
        <v/>
      </c>
      <c r="O51" s="801" t="str">
        <f t="shared" si="1"/>
        <v/>
      </c>
      <c r="P51" s="33" t="s">
        <v>81</v>
      </c>
      <c r="Q51" s="211" t="s">
        <v>81</v>
      </c>
      <c r="R51" s="793" t="str">
        <f>IF(OR(Q51="",Q51="[MM/DD/YYYY]",P51="",P51="[MM/DD/YYYY]"),"",IF(AND('General Info &amp; Test Results'!$C$42&gt;=P51,'General Info &amp; Test Results'!$C$43&lt;=Q51,'General Info &amp; Test Results'!$C$43&gt;'General Info &amp; Test Results'!$C$42),"Yes","No"))</f>
        <v/>
      </c>
      <c r="T51" s="123"/>
    </row>
    <row r="52" spans="2:20" ht="16" thickBot="1" x14ac:dyDescent="0.45">
      <c r="B52" s="809"/>
      <c r="C52" s="810"/>
      <c r="D52" s="811"/>
      <c r="E52" s="812"/>
      <c r="F52" s="811"/>
      <c r="G52" s="813" t="str">
        <f t="shared" si="0"/>
        <v/>
      </c>
      <c r="H52" s="814"/>
      <c r="I52" s="815" t="str">
        <f>IF(B52="","",IF(B52="Other","",VLOOKUP(B52,Constants!$B$74:$E$88,4,FALSE)))</f>
        <v/>
      </c>
      <c r="J52" s="814"/>
      <c r="K52" s="814"/>
      <c r="L52" s="816" t="str">
        <f t="shared" si="2"/>
        <v/>
      </c>
      <c r="M52" s="816" t="str">
        <f>IF(B52="","",IF(B52="Other","",VLOOKUP(B52,Constants!$B$74:$E$88,3,FALSE)))</f>
        <v/>
      </c>
      <c r="N52" s="816" t="str">
        <f>IF(B52="","",IF(B52="Other","",VLOOKUP(B52,Constants!$B$74:$E$88,4,FALSE)))</f>
        <v/>
      </c>
      <c r="O52" s="816" t="str">
        <f t="shared" si="1"/>
        <v/>
      </c>
      <c r="P52" s="40" t="s">
        <v>81</v>
      </c>
      <c r="Q52" s="212" t="s">
        <v>81</v>
      </c>
      <c r="R52" s="793" t="str">
        <f>IF(OR(Q52="",Q52="[MM/DD/YYYY]",P52="",P52="[MM/DD/YYYY]"),"",IF(AND('General Info &amp; Test Results'!$C$42&gt;=P52,'General Info &amp; Test Results'!$C$43&lt;=Q52,'General Info &amp; Test Results'!$C$43&gt;'General Info &amp; Test Results'!$C$42),"Yes","No"))</f>
        <v/>
      </c>
      <c r="T52" s="123"/>
    </row>
    <row r="53" spans="2:20" ht="16" thickBot="1" x14ac:dyDescent="0.45">
      <c r="J53" s="77"/>
      <c r="T53" s="123"/>
    </row>
    <row r="54" spans="2:20" ht="16" thickBot="1" x14ac:dyDescent="0.45">
      <c r="B54" s="994" t="s">
        <v>90</v>
      </c>
      <c r="C54" s="995"/>
      <c r="D54" s="995"/>
      <c r="E54" s="995"/>
      <c r="F54" s="995"/>
      <c r="G54" s="995"/>
      <c r="H54" s="995"/>
      <c r="I54" s="995"/>
      <c r="J54" s="995"/>
      <c r="K54" s="995"/>
      <c r="L54" s="995"/>
      <c r="M54" s="995"/>
      <c r="N54" s="995"/>
      <c r="O54" s="995"/>
      <c r="P54" s="995"/>
      <c r="Q54" s="995"/>
      <c r="R54" s="996"/>
      <c r="T54" s="123"/>
    </row>
    <row r="55" spans="2:20" ht="16.5" customHeight="1" x14ac:dyDescent="0.4">
      <c r="B55" s="997"/>
      <c r="C55" s="998"/>
      <c r="D55" s="998"/>
      <c r="E55" s="998"/>
      <c r="F55" s="998"/>
      <c r="G55" s="998"/>
      <c r="H55" s="998"/>
      <c r="I55" s="998"/>
      <c r="J55" s="998"/>
      <c r="K55" s="998"/>
      <c r="L55" s="998"/>
      <c r="M55" s="998"/>
      <c r="N55" s="998"/>
      <c r="O55" s="998"/>
      <c r="P55" s="998"/>
      <c r="Q55" s="998"/>
      <c r="R55" s="999"/>
      <c r="T55" s="123"/>
    </row>
    <row r="56" spans="2:20" ht="16.5" customHeight="1" x14ac:dyDescent="0.4">
      <c r="B56" s="997"/>
      <c r="C56" s="998"/>
      <c r="D56" s="998"/>
      <c r="E56" s="998"/>
      <c r="F56" s="998"/>
      <c r="G56" s="998"/>
      <c r="H56" s="998"/>
      <c r="I56" s="998"/>
      <c r="J56" s="998"/>
      <c r="K56" s="998"/>
      <c r="L56" s="998"/>
      <c r="M56" s="998"/>
      <c r="N56" s="998"/>
      <c r="O56" s="998"/>
      <c r="P56" s="998"/>
      <c r="Q56" s="998"/>
      <c r="R56" s="999"/>
      <c r="T56" s="123"/>
    </row>
    <row r="57" spans="2:20" ht="17.25" customHeight="1" x14ac:dyDescent="0.4">
      <c r="B57" s="997"/>
      <c r="C57" s="998"/>
      <c r="D57" s="998"/>
      <c r="E57" s="998"/>
      <c r="F57" s="998"/>
      <c r="G57" s="998"/>
      <c r="H57" s="998"/>
      <c r="I57" s="998"/>
      <c r="J57" s="998"/>
      <c r="K57" s="998"/>
      <c r="L57" s="998"/>
      <c r="M57" s="998"/>
      <c r="N57" s="998"/>
      <c r="O57" s="998"/>
      <c r="P57" s="998"/>
      <c r="Q57" s="998"/>
      <c r="R57" s="999"/>
      <c r="T57" s="123"/>
    </row>
    <row r="58" spans="2:20" ht="16.5" customHeight="1" x14ac:dyDescent="0.4">
      <c r="B58" s="997"/>
      <c r="C58" s="998"/>
      <c r="D58" s="998"/>
      <c r="E58" s="998"/>
      <c r="F58" s="998"/>
      <c r="G58" s="998"/>
      <c r="H58" s="998"/>
      <c r="I58" s="998"/>
      <c r="J58" s="998"/>
      <c r="K58" s="998"/>
      <c r="L58" s="998"/>
      <c r="M58" s="998"/>
      <c r="N58" s="998"/>
      <c r="O58" s="998"/>
      <c r="P58" s="998"/>
      <c r="Q58" s="998"/>
      <c r="R58" s="999"/>
      <c r="T58" s="123"/>
    </row>
    <row r="59" spans="2:20" ht="16.5" customHeight="1" x14ac:dyDescent="0.4">
      <c r="B59" s="997"/>
      <c r="C59" s="998"/>
      <c r="D59" s="998"/>
      <c r="E59" s="998"/>
      <c r="F59" s="998"/>
      <c r="G59" s="998"/>
      <c r="H59" s="998"/>
      <c r="I59" s="998"/>
      <c r="J59" s="998"/>
      <c r="K59" s="998"/>
      <c r="L59" s="998"/>
      <c r="M59" s="998"/>
      <c r="N59" s="998"/>
      <c r="O59" s="998"/>
      <c r="P59" s="998"/>
      <c r="Q59" s="998"/>
      <c r="R59" s="999"/>
      <c r="T59" s="123"/>
    </row>
    <row r="60" spans="2:20" ht="17.25" customHeight="1" thickBot="1" x14ac:dyDescent="0.45">
      <c r="B60" s="1000"/>
      <c r="C60" s="1001"/>
      <c r="D60" s="1001"/>
      <c r="E60" s="1001"/>
      <c r="F60" s="1001"/>
      <c r="G60" s="1001"/>
      <c r="H60" s="1001"/>
      <c r="I60" s="1001"/>
      <c r="J60" s="1001"/>
      <c r="K60" s="1001"/>
      <c r="L60" s="1001"/>
      <c r="M60" s="1001"/>
      <c r="N60" s="1001"/>
      <c r="O60" s="1001"/>
      <c r="P60" s="1001"/>
      <c r="Q60" s="1001"/>
      <c r="R60" s="1002"/>
      <c r="T60" s="123"/>
    </row>
    <row r="61" spans="2:20" ht="16" thickBot="1" x14ac:dyDescent="0.45">
      <c r="B61" s="413"/>
      <c r="C61" s="413"/>
      <c r="D61" s="413"/>
      <c r="E61" s="151"/>
      <c r="F61" s="413"/>
      <c r="G61" s="413"/>
      <c r="H61" s="413"/>
      <c r="I61" s="413"/>
      <c r="J61" s="152"/>
      <c r="K61" s="413"/>
      <c r="L61" s="413"/>
      <c r="M61" s="413"/>
      <c r="N61" s="413"/>
      <c r="O61" s="413"/>
      <c r="P61" s="413"/>
      <c r="Q61" s="413"/>
      <c r="R61" s="413"/>
      <c r="T61" s="123"/>
    </row>
    <row r="62" spans="2:20" ht="16" thickBot="1" x14ac:dyDescent="0.45">
      <c r="B62" s="988" t="s">
        <v>229</v>
      </c>
      <c r="C62" s="989"/>
      <c r="D62" s="989"/>
      <c r="E62" s="989"/>
      <c r="F62" s="989"/>
      <c r="G62" s="989"/>
      <c r="H62" s="989"/>
      <c r="I62" s="989"/>
      <c r="J62" s="989"/>
      <c r="K62" s="989"/>
      <c r="L62" s="989"/>
      <c r="M62" s="989"/>
      <c r="N62" s="989"/>
      <c r="O62" s="989"/>
      <c r="P62" s="989"/>
      <c r="Q62" s="989"/>
      <c r="R62" s="990"/>
      <c r="T62" s="123"/>
    </row>
    <row r="63" spans="2:20" ht="16.5" customHeight="1" x14ac:dyDescent="0.4">
      <c r="B63" s="982"/>
      <c r="C63" s="983"/>
      <c r="D63" s="983"/>
      <c r="E63" s="983"/>
      <c r="F63" s="983"/>
      <c r="G63" s="983"/>
      <c r="H63" s="983"/>
      <c r="I63" s="983"/>
      <c r="J63" s="983"/>
      <c r="K63" s="983"/>
      <c r="L63" s="983"/>
      <c r="M63" s="983"/>
      <c r="N63" s="983"/>
      <c r="O63" s="983"/>
      <c r="P63" s="983"/>
      <c r="Q63" s="983"/>
      <c r="R63" s="984"/>
      <c r="T63" s="123"/>
    </row>
    <row r="64" spans="2:20" ht="15" customHeight="1" x14ac:dyDescent="0.4">
      <c r="B64" s="982"/>
      <c r="C64" s="983"/>
      <c r="D64" s="983"/>
      <c r="E64" s="983"/>
      <c r="F64" s="983"/>
      <c r="G64" s="983"/>
      <c r="H64" s="983"/>
      <c r="I64" s="983"/>
      <c r="J64" s="983"/>
      <c r="K64" s="983"/>
      <c r="L64" s="983"/>
      <c r="M64" s="983"/>
      <c r="N64" s="983"/>
      <c r="O64" s="983"/>
      <c r="P64" s="983"/>
      <c r="Q64" s="983"/>
      <c r="R64" s="984"/>
      <c r="T64" s="123"/>
    </row>
    <row r="65" spans="2:20" ht="15" customHeight="1" x14ac:dyDescent="0.4">
      <c r="B65" s="982"/>
      <c r="C65" s="983"/>
      <c r="D65" s="983"/>
      <c r="E65" s="983"/>
      <c r="F65" s="983"/>
      <c r="G65" s="983"/>
      <c r="H65" s="983"/>
      <c r="I65" s="983"/>
      <c r="J65" s="983"/>
      <c r="K65" s="983"/>
      <c r="L65" s="983"/>
      <c r="M65" s="983"/>
      <c r="N65" s="983"/>
      <c r="O65" s="983"/>
      <c r="P65" s="983"/>
      <c r="Q65" s="983"/>
      <c r="R65" s="984"/>
      <c r="T65" s="123"/>
    </row>
    <row r="66" spans="2:20" ht="15" customHeight="1" x14ac:dyDescent="0.4">
      <c r="B66" s="982"/>
      <c r="C66" s="983"/>
      <c r="D66" s="983"/>
      <c r="E66" s="983"/>
      <c r="F66" s="983"/>
      <c r="G66" s="983"/>
      <c r="H66" s="983"/>
      <c r="I66" s="983"/>
      <c r="J66" s="983"/>
      <c r="K66" s="983"/>
      <c r="L66" s="983"/>
      <c r="M66" s="983"/>
      <c r="N66" s="983"/>
      <c r="O66" s="983"/>
      <c r="P66" s="983"/>
      <c r="Q66" s="983"/>
      <c r="R66" s="984"/>
      <c r="T66" s="123"/>
    </row>
    <row r="67" spans="2:20" ht="15" customHeight="1" x14ac:dyDescent="0.4">
      <c r="B67" s="982"/>
      <c r="C67" s="983"/>
      <c r="D67" s="983"/>
      <c r="E67" s="983"/>
      <c r="F67" s="983"/>
      <c r="G67" s="983"/>
      <c r="H67" s="983"/>
      <c r="I67" s="983"/>
      <c r="J67" s="983"/>
      <c r="K67" s="983"/>
      <c r="L67" s="983"/>
      <c r="M67" s="983"/>
      <c r="N67" s="983"/>
      <c r="O67" s="983"/>
      <c r="P67" s="983"/>
      <c r="Q67" s="983"/>
      <c r="R67" s="984"/>
      <c r="T67" s="123"/>
    </row>
    <row r="68" spans="2:20" ht="15.75" customHeight="1" thickBot="1" x14ac:dyDescent="0.45">
      <c r="B68" s="985"/>
      <c r="C68" s="986"/>
      <c r="D68" s="986"/>
      <c r="E68" s="986"/>
      <c r="F68" s="986"/>
      <c r="G68" s="986"/>
      <c r="H68" s="986"/>
      <c r="I68" s="986"/>
      <c r="J68" s="986"/>
      <c r="K68" s="986"/>
      <c r="L68" s="986"/>
      <c r="M68" s="986"/>
      <c r="N68" s="986"/>
      <c r="O68" s="986"/>
      <c r="P68" s="986"/>
      <c r="Q68" s="986"/>
      <c r="R68" s="987"/>
      <c r="T68" s="123"/>
    </row>
    <row r="69" spans="2:20" ht="16" thickBot="1" x14ac:dyDescent="0.45">
      <c r="B69" s="413"/>
      <c r="C69" s="413"/>
      <c r="D69" s="413"/>
      <c r="E69" s="151"/>
      <c r="F69" s="413"/>
      <c r="G69" s="413"/>
      <c r="H69" s="413"/>
      <c r="I69" s="413"/>
      <c r="J69" s="152"/>
      <c r="K69" s="413"/>
      <c r="L69" s="413"/>
      <c r="M69" s="413"/>
      <c r="N69" s="413"/>
      <c r="O69" s="413"/>
      <c r="P69" s="413"/>
      <c r="Q69" s="413"/>
      <c r="R69" s="413"/>
      <c r="T69" s="123"/>
    </row>
    <row r="70" spans="2:20" ht="16" thickBot="1" x14ac:dyDescent="0.45">
      <c r="B70" s="988" t="s">
        <v>230</v>
      </c>
      <c r="C70" s="989"/>
      <c r="D70" s="989"/>
      <c r="E70" s="989"/>
      <c r="F70" s="989"/>
      <c r="G70" s="989"/>
      <c r="H70" s="989"/>
      <c r="I70" s="989"/>
      <c r="J70" s="989"/>
      <c r="K70" s="989"/>
      <c r="L70" s="989"/>
      <c r="M70" s="989"/>
      <c r="N70" s="989"/>
      <c r="O70" s="989"/>
      <c r="P70" s="989"/>
      <c r="Q70" s="989"/>
      <c r="R70" s="990"/>
      <c r="T70" s="123"/>
    </row>
    <row r="71" spans="2:20" ht="16.5" customHeight="1" x14ac:dyDescent="0.4">
      <c r="B71" s="982"/>
      <c r="C71" s="983"/>
      <c r="D71" s="983"/>
      <c r="E71" s="983"/>
      <c r="F71" s="983"/>
      <c r="G71" s="983"/>
      <c r="H71" s="983"/>
      <c r="I71" s="983"/>
      <c r="J71" s="983"/>
      <c r="K71" s="983"/>
      <c r="L71" s="983"/>
      <c r="M71" s="983"/>
      <c r="N71" s="983"/>
      <c r="O71" s="983"/>
      <c r="P71" s="983"/>
      <c r="Q71" s="983"/>
      <c r="R71" s="984"/>
      <c r="T71" s="123"/>
    </row>
    <row r="72" spans="2:20" ht="15" customHeight="1" x14ac:dyDescent="0.4">
      <c r="B72" s="982"/>
      <c r="C72" s="983"/>
      <c r="D72" s="983"/>
      <c r="E72" s="983"/>
      <c r="F72" s="983"/>
      <c r="G72" s="983"/>
      <c r="H72" s="983"/>
      <c r="I72" s="983"/>
      <c r="J72" s="983"/>
      <c r="K72" s="983"/>
      <c r="L72" s="983"/>
      <c r="M72" s="983"/>
      <c r="N72" s="983"/>
      <c r="O72" s="983"/>
      <c r="P72" s="983"/>
      <c r="Q72" s="983"/>
      <c r="R72" s="984"/>
      <c r="T72" s="123"/>
    </row>
    <row r="73" spans="2:20" ht="15" customHeight="1" x14ac:dyDescent="0.4">
      <c r="B73" s="982"/>
      <c r="C73" s="983"/>
      <c r="D73" s="983"/>
      <c r="E73" s="983"/>
      <c r="F73" s="983"/>
      <c r="G73" s="983"/>
      <c r="H73" s="983"/>
      <c r="I73" s="983"/>
      <c r="J73" s="983"/>
      <c r="K73" s="983"/>
      <c r="L73" s="983"/>
      <c r="M73" s="983"/>
      <c r="N73" s="983"/>
      <c r="O73" s="983"/>
      <c r="P73" s="983"/>
      <c r="Q73" s="983"/>
      <c r="R73" s="984"/>
      <c r="T73" s="123"/>
    </row>
    <row r="74" spans="2:20" ht="15" customHeight="1" x14ac:dyDescent="0.4">
      <c r="B74" s="982"/>
      <c r="C74" s="983"/>
      <c r="D74" s="983"/>
      <c r="E74" s="983"/>
      <c r="F74" s="983"/>
      <c r="G74" s="983"/>
      <c r="H74" s="983"/>
      <c r="I74" s="983"/>
      <c r="J74" s="983"/>
      <c r="K74" s="983"/>
      <c r="L74" s="983"/>
      <c r="M74" s="983"/>
      <c r="N74" s="983"/>
      <c r="O74" s="983"/>
      <c r="P74" s="983"/>
      <c r="Q74" s="983"/>
      <c r="R74" s="984"/>
      <c r="T74" s="123"/>
    </row>
    <row r="75" spans="2:20" ht="15" customHeight="1" x14ac:dyDescent="0.4">
      <c r="B75" s="982"/>
      <c r="C75" s="983"/>
      <c r="D75" s="983"/>
      <c r="E75" s="983"/>
      <c r="F75" s="983"/>
      <c r="G75" s="983"/>
      <c r="H75" s="983"/>
      <c r="I75" s="983"/>
      <c r="J75" s="983"/>
      <c r="K75" s="983"/>
      <c r="L75" s="983"/>
      <c r="M75" s="983"/>
      <c r="N75" s="983"/>
      <c r="O75" s="983"/>
      <c r="P75" s="983"/>
      <c r="Q75" s="983"/>
      <c r="R75" s="984"/>
      <c r="T75" s="123"/>
    </row>
    <row r="76" spans="2:20" ht="15.75" customHeight="1" thickBot="1" x14ac:dyDescent="0.45">
      <c r="B76" s="985"/>
      <c r="C76" s="986"/>
      <c r="D76" s="986"/>
      <c r="E76" s="986"/>
      <c r="F76" s="986"/>
      <c r="G76" s="986"/>
      <c r="H76" s="986"/>
      <c r="I76" s="986"/>
      <c r="J76" s="986"/>
      <c r="K76" s="986"/>
      <c r="L76" s="986"/>
      <c r="M76" s="986"/>
      <c r="N76" s="986"/>
      <c r="O76" s="986"/>
      <c r="P76" s="986"/>
      <c r="Q76" s="986"/>
      <c r="R76" s="987"/>
      <c r="T76" s="123"/>
    </row>
    <row r="77" spans="2:20" ht="16" thickBot="1" x14ac:dyDescent="0.45">
      <c r="B77" s="413"/>
      <c r="C77" s="413"/>
      <c r="D77" s="413"/>
      <c r="E77" s="413"/>
      <c r="F77" s="413"/>
      <c r="G77" s="413"/>
      <c r="H77" s="413"/>
      <c r="I77" s="413"/>
      <c r="J77" s="152"/>
      <c r="K77" s="413"/>
      <c r="L77" s="413"/>
      <c r="M77" s="413"/>
      <c r="N77" s="413"/>
      <c r="O77" s="413"/>
      <c r="P77" s="413"/>
      <c r="Q77" s="413"/>
      <c r="R77" s="413"/>
      <c r="T77" s="123"/>
    </row>
    <row r="78" spans="2:20" ht="16" thickBot="1" x14ac:dyDescent="0.45">
      <c r="B78" s="988" t="s">
        <v>231</v>
      </c>
      <c r="C78" s="989"/>
      <c r="D78" s="989"/>
      <c r="E78" s="989"/>
      <c r="F78" s="989"/>
      <c r="G78" s="989"/>
      <c r="H78" s="989"/>
      <c r="I78" s="989"/>
      <c r="J78" s="989"/>
      <c r="K78" s="989"/>
      <c r="L78" s="989"/>
      <c r="M78" s="989"/>
      <c r="N78" s="989"/>
      <c r="O78" s="989"/>
      <c r="P78" s="989"/>
      <c r="Q78" s="989"/>
      <c r="R78" s="990"/>
      <c r="T78" s="123"/>
    </row>
    <row r="79" spans="2:20" ht="16.5" customHeight="1" x14ac:dyDescent="0.4">
      <c r="B79" s="982"/>
      <c r="C79" s="983"/>
      <c r="D79" s="983"/>
      <c r="E79" s="983"/>
      <c r="F79" s="983"/>
      <c r="G79" s="983"/>
      <c r="H79" s="983"/>
      <c r="I79" s="983"/>
      <c r="J79" s="983"/>
      <c r="K79" s="983"/>
      <c r="L79" s="983"/>
      <c r="M79" s="983"/>
      <c r="N79" s="983"/>
      <c r="O79" s="983"/>
      <c r="P79" s="983"/>
      <c r="Q79" s="983"/>
      <c r="R79" s="984"/>
      <c r="T79" s="123"/>
    </row>
    <row r="80" spans="2:20" ht="15" customHeight="1" x14ac:dyDescent="0.4">
      <c r="B80" s="982"/>
      <c r="C80" s="983"/>
      <c r="D80" s="983"/>
      <c r="E80" s="983"/>
      <c r="F80" s="983"/>
      <c r="G80" s="983"/>
      <c r="H80" s="983"/>
      <c r="I80" s="983"/>
      <c r="J80" s="983"/>
      <c r="K80" s="983"/>
      <c r="L80" s="983"/>
      <c r="M80" s="983"/>
      <c r="N80" s="983"/>
      <c r="O80" s="983"/>
      <c r="P80" s="983"/>
      <c r="Q80" s="983"/>
      <c r="R80" s="984"/>
      <c r="T80" s="123"/>
    </row>
    <row r="81" spans="1:20" ht="15" customHeight="1" x14ac:dyDescent="0.4">
      <c r="B81" s="982"/>
      <c r="C81" s="983"/>
      <c r="D81" s="983"/>
      <c r="E81" s="983"/>
      <c r="F81" s="983"/>
      <c r="G81" s="983"/>
      <c r="H81" s="983"/>
      <c r="I81" s="983"/>
      <c r="J81" s="983"/>
      <c r="K81" s="983"/>
      <c r="L81" s="983"/>
      <c r="M81" s="983"/>
      <c r="N81" s="983"/>
      <c r="O81" s="983"/>
      <c r="P81" s="983"/>
      <c r="Q81" s="983"/>
      <c r="R81" s="984"/>
      <c r="T81" s="123"/>
    </row>
    <row r="82" spans="1:20" ht="15" customHeight="1" x14ac:dyDescent="0.4">
      <c r="B82" s="982"/>
      <c r="C82" s="983"/>
      <c r="D82" s="983"/>
      <c r="E82" s="983"/>
      <c r="F82" s="983"/>
      <c r="G82" s="983"/>
      <c r="H82" s="983"/>
      <c r="I82" s="983"/>
      <c r="J82" s="983"/>
      <c r="K82" s="983"/>
      <c r="L82" s="983"/>
      <c r="M82" s="983"/>
      <c r="N82" s="983"/>
      <c r="O82" s="983"/>
      <c r="P82" s="983"/>
      <c r="Q82" s="983"/>
      <c r="R82" s="984"/>
      <c r="T82" s="123"/>
    </row>
    <row r="83" spans="1:20" ht="15" customHeight="1" x14ac:dyDescent="0.4">
      <c r="B83" s="982"/>
      <c r="C83" s="983"/>
      <c r="D83" s="983"/>
      <c r="E83" s="983"/>
      <c r="F83" s="983"/>
      <c r="G83" s="983"/>
      <c r="H83" s="983"/>
      <c r="I83" s="983"/>
      <c r="J83" s="983"/>
      <c r="K83" s="983"/>
      <c r="L83" s="983"/>
      <c r="M83" s="983"/>
      <c r="N83" s="983"/>
      <c r="O83" s="983"/>
      <c r="P83" s="983"/>
      <c r="Q83" s="983"/>
      <c r="R83" s="984"/>
      <c r="T83" s="123"/>
    </row>
    <row r="84" spans="1:20" ht="15.75" customHeight="1" thickBot="1" x14ac:dyDescent="0.45">
      <c r="B84" s="985"/>
      <c r="C84" s="986"/>
      <c r="D84" s="986"/>
      <c r="E84" s="986"/>
      <c r="F84" s="986"/>
      <c r="G84" s="986"/>
      <c r="H84" s="986"/>
      <c r="I84" s="986"/>
      <c r="J84" s="986"/>
      <c r="K84" s="986"/>
      <c r="L84" s="986"/>
      <c r="M84" s="986"/>
      <c r="N84" s="986"/>
      <c r="O84" s="986"/>
      <c r="P84" s="986"/>
      <c r="Q84" s="986"/>
      <c r="R84" s="987"/>
      <c r="T84" s="123"/>
    </row>
    <row r="85" spans="1:20" x14ac:dyDescent="0.4">
      <c r="E85" s="78"/>
      <c r="J85" s="77"/>
      <c r="T85" s="123"/>
    </row>
    <row r="86" spans="1:20" x14ac:dyDescent="0.4">
      <c r="A86" s="125"/>
      <c r="B86" s="125"/>
      <c r="C86" s="125"/>
      <c r="D86" s="125"/>
      <c r="E86" s="125"/>
      <c r="F86" s="125"/>
      <c r="G86" s="125"/>
      <c r="H86" s="125"/>
      <c r="I86" s="125"/>
      <c r="J86" s="125"/>
      <c r="K86" s="123"/>
      <c r="L86" s="123"/>
      <c r="M86" s="123"/>
      <c r="N86" s="123"/>
      <c r="O86" s="123"/>
      <c r="P86" s="123"/>
      <c r="Q86" s="123"/>
      <c r="R86" s="123"/>
      <c r="S86" s="123"/>
      <c r="T86" s="123"/>
    </row>
    <row r="87" spans="1:20" x14ac:dyDescent="0.4">
      <c r="T87" s="63"/>
    </row>
  </sheetData>
  <sheetProtection algorithmName="SHA-512" hashValue="n4IvgitrkceFsGCDAZu/pValyjGKLDYurNlvLgRJccTTvalMuS1xMvDQJNOOtx3Lc2+SWqp6nHI6NI1tNULLqQ==" saltValue="S6k4ZMr4m2lNilT+oHWuFw==" spinCount="100000" sheet="1" selectLockedCells="1"/>
  <mergeCells count="27">
    <mergeCell ref="C7:D7"/>
    <mergeCell ref="B2:D2"/>
    <mergeCell ref="C3:D3"/>
    <mergeCell ref="C4:D4"/>
    <mergeCell ref="C5:D5"/>
    <mergeCell ref="C6:D6"/>
    <mergeCell ref="R11:R12"/>
    <mergeCell ref="B10:R10"/>
    <mergeCell ref="B54:R54"/>
    <mergeCell ref="B55:R60"/>
    <mergeCell ref="B62:R62"/>
    <mergeCell ref="G11:K11"/>
    <mergeCell ref="B11:B12"/>
    <mergeCell ref="C11:C12"/>
    <mergeCell ref="D11:D12"/>
    <mergeCell ref="E11:E12"/>
    <mergeCell ref="F11:F12"/>
    <mergeCell ref="P11:P12"/>
    <mergeCell ref="Q11:Q12"/>
    <mergeCell ref="G12:H12"/>
    <mergeCell ref="L11:N12"/>
    <mergeCell ref="O11:O12"/>
    <mergeCell ref="B63:R68"/>
    <mergeCell ref="B70:R70"/>
    <mergeCell ref="B71:R76"/>
    <mergeCell ref="B78:R78"/>
    <mergeCell ref="B79:R84"/>
  </mergeCells>
  <conditionalFormatting sqref="I13:I52 L13:O52">
    <cfRule type="expression" dxfId="1" priority="67" stopIfTrue="1">
      <formula>$B13="Other"</formula>
    </cfRule>
  </conditionalFormatting>
  <conditionalFormatting sqref="J13:J52">
    <cfRule type="expression" dxfId="0" priority="68" stopIfTrue="1">
      <formula>$B13&lt;&gt;"Other"</formula>
    </cfRule>
  </conditionalFormatting>
  <dataValidations count="2">
    <dataValidation type="list" allowBlank="1" showInputMessage="1" showErrorMessage="1" sqref="B13:B52" xr:uid="{00000000-0002-0000-0200-000000000000}">
      <formula1>DD_Measurement</formula1>
    </dataValidation>
    <dataValidation type="list" allowBlank="1" showInputMessage="1" showErrorMessage="1" sqref="K13:K52" xr:uid="{00000000-0002-0000-0200-000001000000}">
      <formula1>DD_measurementDescription</formula1>
    </dataValidation>
  </dataValidations>
  <hyperlinks>
    <hyperlink ref="F2" location="Instructions!A1" display="Back to Instructions tab" xr:uid="{00000000-0004-0000-0200-000000000000}"/>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70C0"/>
  </sheetPr>
  <dimension ref="A1:I24"/>
  <sheetViews>
    <sheetView showGridLines="0" zoomScale="80" zoomScaleNormal="80" workbookViewId="0">
      <selection activeCell="F2" sqref="F2:G2"/>
    </sheetView>
  </sheetViews>
  <sheetFormatPr defaultColWidth="9.08984375" defaultRowHeight="15.5" x14ac:dyDescent="0.4"/>
  <cols>
    <col min="1" max="1" width="3.54296875" style="51" customWidth="1"/>
    <col min="2" max="2" width="65.36328125" style="51" customWidth="1"/>
    <col min="3" max="3" width="57" style="51" bestFit="1" customWidth="1"/>
    <col min="4" max="4" width="9.08984375" style="51"/>
    <col min="5" max="5" width="56.08984375" style="51" customWidth="1"/>
    <col min="6" max="6" width="9.08984375" style="51"/>
    <col min="7" max="7" width="17" style="51" customWidth="1"/>
    <col min="8" max="8" width="3.453125" style="51" customWidth="1"/>
    <col min="9" max="9" width="3.90625" style="51" customWidth="1"/>
    <col min="10" max="16384" width="9.08984375" style="51"/>
  </cols>
  <sheetData>
    <row r="1" spans="2:9" ht="16" thickBot="1" x14ac:dyDescent="0.45">
      <c r="I1" s="123"/>
    </row>
    <row r="2" spans="2:9" ht="16" thickBot="1" x14ac:dyDescent="0.45">
      <c r="B2" s="1025" t="s">
        <v>12</v>
      </c>
      <c r="C2" s="1026"/>
      <c r="D2" s="1027"/>
      <c r="E2" s="778"/>
      <c r="F2" s="1024" t="s">
        <v>51</v>
      </c>
      <c r="G2" s="1024"/>
      <c r="H2" s="778"/>
      <c r="I2" s="123"/>
    </row>
    <row r="3" spans="2:9" x14ac:dyDescent="0.4">
      <c r="B3" s="595" t="str">
        <f>'Version Control'!B3</f>
        <v>Test Report Template Name:</v>
      </c>
      <c r="C3" s="1015" t="str">
        <f>'Version Control'!C3</f>
        <v>Consumer Water Heater, UEF</v>
      </c>
      <c r="D3" s="1016"/>
      <c r="I3" s="123"/>
    </row>
    <row r="4" spans="2:9" x14ac:dyDescent="0.4">
      <c r="B4" s="597" t="str">
        <f>'Version Control'!B4</f>
        <v>Version Number:</v>
      </c>
      <c r="C4" s="1017" t="str">
        <f>'Version Control'!C4</f>
        <v>v1.3</v>
      </c>
      <c r="D4" s="1018"/>
      <c r="I4" s="123"/>
    </row>
    <row r="5" spans="2:9" x14ac:dyDescent="0.4">
      <c r="B5" s="597" t="str">
        <f>'Version Control'!B5</f>
        <v xml:space="preserve">Latest Template Revision: </v>
      </c>
      <c r="C5" s="1019">
        <f>'Version Control'!C5</f>
        <v>43643</v>
      </c>
      <c r="D5" s="1020"/>
      <c r="I5" s="123"/>
    </row>
    <row r="6" spans="2:9" x14ac:dyDescent="0.4">
      <c r="B6" s="597" t="str">
        <f>'Version Control'!B6</f>
        <v>Tab Name:</v>
      </c>
      <c r="C6" s="1017" t="str">
        <f ca="1">MID(CELL("filename",A1), FIND("]", CELL("filename", A1))+ 1, 255)</f>
        <v>Storage Tank Volume</v>
      </c>
      <c r="D6" s="1018"/>
      <c r="I6" s="123"/>
    </row>
    <row r="7" spans="2:9" ht="16" thickBot="1" x14ac:dyDescent="0.45">
      <c r="B7" s="598" t="str">
        <f>'Version Control'!B7</f>
        <v>File Name:</v>
      </c>
      <c r="C7" s="1013" t="str">
        <f ca="1">'Version Control'!C7</f>
        <v>Consumer Water Heater, UEF - v1.3.xlsx</v>
      </c>
      <c r="D7" s="1014"/>
      <c r="I7" s="123"/>
    </row>
    <row r="8" spans="2:9" x14ac:dyDescent="0.4">
      <c r="I8" s="123"/>
    </row>
    <row r="9" spans="2:9" ht="16" thickBot="1" x14ac:dyDescent="0.45">
      <c r="I9" s="123"/>
    </row>
    <row r="10" spans="2:9" ht="16" thickBot="1" x14ac:dyDescent="0.45">
      <c r="B10" s="1021" t="s">
        <v>358</v>
      </c>
      <c r="C10" s="1022"/>
      <c r="D10" s="1022"/>
      <c r="E10" s="1022"/>
      <c r="F10" s="1023"/>
      <c r="I10" s="123"/>
    </row>
    <row r="11" spans="2:9" x14ac:dyDescent="0.4">
      <c r="B11" s="656" t="s">
        <v>91</v>
      </c>
      <c r="C11" s="415" t="s">
        <v>81</v>
      </c>
      <c r="D11" s="134"/>
      <c r="E11" s="134"/>
      <c r="F11" s="49"/>
      <c r="I11" s="123"/>
    </row>
    <row r="12" spans="2:9" x14ac:dyDescent="0.4">
      <c r="B12" s="135"/>
      <c r="C12" s="676" t="s">
        <v>55</v>
      </c>
      <c r="D12" s="134"/>
      <c r="E12" s="134"/>
      <c r="F12" s="49"/>
      <c r="I12" s="123"/>
    </row>
    <row r="13" spans="2:9" x14ac:dyDescent="0.4">
      <c r="B13" s="677" t="s">
        <v>571</v>
      </c>
      <c r="C13" s="817"/>
      <c r="D13" s="134"/>
      <c r="E13" s="134"/>
      <c r="F13" s="49"/>
      <c r="I13" s="123"/>
    </row>
    <row r="14" spans="2:9" x14ac:dyDescent="0.4">
      <c r="B14" s="677" t="s">
        <v>570</v>
      </c>
      <c r="C14" s="817"/>
      <c r="D14" s="134"/>
      <c r="E14" s="134"/>
      <c r="F14" s="49"/>
      <c r="I14" s="123"/>
    </row>
    <row r="15" spans="2:9" x14ac:dyDescent="0.4">
      <c r="B15" s="678" t="s">
        <v>591</v>
      </c>
      <c r="C15" s="817"/>
      <c r="D15" s="116"/>
      <c r="E15" s="116"/>
      <c r="F15" s="576"/>
      <c r="I15" s="123"/>
    </row>
    <row r="16" spans="2:9" x14ac:dyDescent="0.4">
      <c r="B16" s="678" t="str">
        <f>"Average Water Inlet Temperature Within Tolerance of " &amp; TEXT(Constants!$C$45,"#") &amp; " ± " &amp; TEXT(Constants!$E$45,"#") &amp; " °F"</f>
        <v>Average Water Inlet Temperature Within Tolerance of 58 ± 2 °F</v>
      </c>
      <c r="C16" s="818" t="str">
        <f>IF(C15="","",IF(AND(C15&gt;=Constants!C45-Constants!E45,C15&lt;=Constants!C45+Constants!E45),"Yes","No"))</f>
        <v/>
      </c>
      <c r="D16" s="116"/>
      <c r="E16" s="116"/>
      <c r="F16" s="576"/>
      <c r="I16" s="123"/>
    </row>
    <row r="17" spans="1:9" x14ac:dyDescent="0.4">
      <c r="B17" s="679" t="s">
        <v>572</v>
      </c>
      <c r="C17" s="819" t="str">
        <f>IF(C15="","",VLOOKUP(AVERAGE(C15),'Water Properties'!$B$13:$D$1013,2,TRUE)+
(VLOOKUP(AVERAGE(C15)+0.1,'Water Properties'!$B$13:$D$1013,2,TRUE)-VLOOKUP(AVERAGE(C15),'Water Properties'!$B$13:$D$1013,2,TRUE))*
(AVERAGE(C15)-VLOOKUP(AVERAGE(C15),'Water Properties'!$B$13:$D$1013,1,TRUE))/
(VLOOKUP(AVERAGE(C15)+0.1,'Water Properties'!$B$13:$D$1013,1,TRUE)-VLOOKUP(AVERAGE(C15),'Water Properties'!$B$13:$D$1013,1,TRUE)))</f>
        <v/>
      </c>
      <c r="D17" s="124"/>
      <c r="E17" s="124"/>
      <c r="F17" s="118"/>
      <c r="I17" s="123"/>
    </row>
    <row r="18" spans="1:9" x14ac:dyDescent="0.4">
      <c r="B18" s="142"/>
      <c r="C18" s="159"/>
      <c r="D18" s="124"/>
      <c r="E18" s="124"/>
      <c r="F18" s="118"/>
      <c r="I18" s="123"/>
    </row>
    <row r="19" spans="1:9" ht="46.5" x14ac:dyDescent="0.4">
      <c r="B19" s="414"/>
      <c r="C19" s="637" t="s">
        <v>594</v>
      </c>
      <c r="D19" s="134"/>
      <c r="E19" s="638" t="s">
        <v>595</v>
      </c>
      <c r="F19" s="49"/>
      <c r="G19" s="124"/>
      <c r="I19" s="123"/>
    </row>
    <row r="20" spans="1:9" ht="16" thickBot="1" x14ac:dyDescent="0.45">
      <c r="B20" s="680" t="s">
        <v>596</v>
      </c>
      <c r="C20" s="820" t="str">
        <f>IF(C17="","",(C14-C13)/C17)</f>
        <v/>
      </c>
      <c r="D20" s="681" t="s">
        <v>58</v>
      </c>
      <c r="E20" s="779"/>
      <c r="F20" s="594" t="s">
        <v>58</v>
      </c>
      <c r="G20" s="124"/>
      <c r="I20" s="123"/>
    </row>
    <row r="21" spans="1:9" x14ac:dyDescent="0.4">
      <c r="A21" s="52"/>
      <c r="B21" s="136"/>
      <c r="C21" s="136"/>
      <c r="H21" s="52"/>
      <c r="I21" s="55"/>
    </row>
    <row r="22" spans="1:9" x14ac:dyDescent="0.4">
      <c r="A22" s="123"/>
      <c r="B22" s="54"/>
      <c r="C22" s="54"/>
      <c r="D22" s="54"/>
      <c r="E22" s="54"/>
      <c r="F22" s="54"/>
      <c r="G22" s="123"/>
      <c r="H22" s="123"/>
      <c r="I22" s="123"/>
    </row>
    <row r="23" spans="1:9" x14ac:dyDescent="0.4">
      <c r="A23" s="63"/>
    </row>
    <row r="24" spans="1:9" x14ac:dyDescent="0.4">
      <c r="A24" s="63"/>
    </row>
  </sheetData>
  <sheetProtection algorithmName="SHA-512" hashValue="Am1WvGy8H3HBG5aUMQb8VFe/5iXkc+lN4Zytag3aElr1OszdljfiGWSdCt1l48di+sGfozehmo+5EuYAHQvKLA==" saltValue="80E5GyFKri2RhX2p4oZCZQ==" spinCount="100000" sheet="1" selectLockedCells="1"/>
  <protectedRanges>
    <protectedRange sqref="C13:C16" name="Range1"/>
  </protectedRanges>
  <mergeCells count="8">
    <mergeCell ref="B10:F10"/>
    <mergeCell ref="F2:G2"/>
    <mergeCell ref="B2:D2"/>
    <mergeCell ref="C3:D3"/>
    <mergeCell ref="C4:D4"/>
    <mergeCell ref="C5:D5"/>
    <mergeCell ref="C6:D6"/>
    <mergeCell ref="C7:D7"/>
  </mergeCells>
  <dataValidations count="1">
    <dataValidation showInputMessage="1" showErrorMessage="1" sqref="C15:C16" xr:uid="{00000000-0002-0000-0300-000000000000}"/>
  </dataValidations>
  <hyperlinks>
    <hyperlink ref="F2" location="Instructions!A1" display="Back to Instructions tab" xr:uid="{00000000-0004-0000-0300-000000000000}"/>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70C0"/>
  </sheetPr>
  <dimension ref="A1:W100"/>
  <sheetViews>
    <sheetView showGridLines="0" zoomScale="80" zoomScaleNormal="80" workbookViewId="0">
      <selection activeCell="D2" sqref="D2"/>
    </sheetView>
  </sheetViews>
  <sheetFormatPr defaultColWidth="9.08984375" defaultRowHeight="15.5" x14ac:dyDescent="0.35"/>
  <cols>
    <col min="1" max="1" width="3.453125" style="223" customWidth="1"/>
    <col min="2" max="2" width="67.453125" style="223" customWidth="1"/>
    <col min="3" max="3" width="49.90625" style="223" bestFit="1" customWidth="1"/>
    <col min="4" max="4" width="46.36328125" style="223" customWidth="1"/>
    <col min="5" max="5" width="38.90625" style="223" customWidth="1"/>
    <col min="6" max="6" width="9.08984375" style="223"/>
    <col min="7" max="7" width="14.90625" style="223" customWidth="1"/>
    <col min="8" max="8" width="10.453125" style="223" customWidth="1"/>
    <col min="9" max="9" width="3.6328125" style="223" customWidth="1"/>
    <col min="10" max="10" width="4.08984375" style="223" customWidth="1"/>
    <col min="11" max="11" width="9.08984375" style="185"/>
    <col min="12" max="12" width="27" style="185" customWidth="1"/>
    <col min="13" max="13" width="27.90625" style="185" customWidth="1"/>
    <col min="14" max="14" width="8.453125" style="185" customWidth="1"/>
    <col min="15" max="15" width="13.54296875" style="185" customWidth="1"/>
    <col min="16" max="18" width="9.08984375" style="185"/>
    <col min="19" max="19" width="18.6328125" style="185" customWidth="1"/>
    <col min="20" max="20" width="18.36328125" style="185" customWidth="1"/>
    <col min="21" max="23" width="9.08984375" style="185"/>
    <col min="24" max="16384" width="9.08984375" style="223"/>
  </cols>
  <sheetData>
    <row r="1" spans="2:23" ht="16" thickBot="1" x14ac:dyDescent="0.4">
      <c r="J1" s="184"/>
    </row>
    <row r="2" spans="2:23" ht="16" thickBot="1" x14ac:dyDescent="0.4">
      <c r="B2" s="951" t="s">
        <v>12</v>
      </c>
      <c r="C2" s="952"/>
      <c r="D2" s="233" t="s">
        <v>51</v>
      </c>
      <c r="J2" s="184"/>
    </row>
    <row r="3" spans="2:23" x14ac:dyDescent="0.35">
      <c r="B3" s="115" t="str">
        <f>'Version Control'!B3</f>
        <v>Test Report Template Name:</v>
      </c>
      <c r="C3" s="186" t="str">
        <f>'Version Control'!C3</f>
        <v>Consumer Water Heater, UEF</v>
      </c>
      <c r="J3" s="184"/>
    </row>
    <row r="4" spans="2:23" x14ac:dyDescent="0.35">
      <c r="B4" s="115" t="str">
        <f>'Version Control'!B4</f>
        <v>Version Number:</v>
      </c>
      <c r="C4" s="186" t="str">
        <f>'Version Control'!C4</f>
        <v>v1.3</v>
      </c>
      <c r="F4" s="224"/>
      <c r="G4" s="224"/>
      <c r="H4" s="225"/>
      <c r="I4" s="225"/>
      <c r="J4" s="184"/>
    </row>
    <row r="5" spans="2:23" x14ac:dyDescent="0.35">
      <c r="B5" s="115" t="str">
        <f>'Version Control'!B5</f>
        <v xml:space="preserve">Latest Template Revision: </v>
      </c>
      <c r="C5" s="653">
        <f>'Version Control'!C5</f>
        <v>43643</v>
      </c>
      <c r="J5" s="184"/>
    </row>
    <row r="6" spans="2:23" x14ac:dyDescent="0.35">
      <c r="B6" s="115" t="str">
        <f>'Version Control'!B6</f>
        <v>Tab Name:</v>
      </c>
      <c r="C6" s="186" t="str">
        <f ca="1">MID(CELL("filename",A1), FIND("]", CELL("filename", A1))+ 1, 255)</f>
        <v>Test Conditions</v>
      </c>
      <c r="J6" s="184"/>
    </row>
    <row r="7" spans="2:23" ht="16" thickBot="1" x14ac:dyDescent="0.4">
      <c r="B7" s="654" t="str">
        <f>'Version Control'!B7</f>
        <v>File Name:</v>
      </c>
      <c r="C7" s="655" t="str">
        <f ca="1">'Version Control'!C7</f>
        <v>Consumer Water Heater, UEF - v1.3.xlsx</v>
      </c>
      <c r="J7" s="184"/>
    </row>
    <row r="8" spans="2:23" x14ac:dyDescent="0.35">
      <c r="J8" s="184"/>
    </row>
    <row r="9" spans="2:23" ht="16" thickBot="1" x14ac:dyDescent="0.4">
      <c r="J9" s="184"/>
    </row>
    <row r="10" spans="2:23" ht="16" thickBot="1" x14ac:dyDescent="0.4">
      <c r="B10" s="1030" t="s">
        <v>4</v>
      </c>
      <c r="C10" s="1031"/>
      <c r="D10" s="1031"/>
      <c r="E10" s="1031"/>
      <c r="F10" s="1031"/>
      <c r="G10" s="1031"/>
      <c r="H10" s="1032"/>
      <c r="J10" s="184"/>
    </row>
    <row r="11" spans="2:23" ht="16" thickBot="1" x14ac:dyDescent="0.4">
      <c r="B11" s="1036" t="s">
        <v>356</v>
      </c>
      <c r="C11" s="1037"/>
      <c r="D11" s="1037"/>
      <c r="E11" s="1037"/>
      <c r="F11" s="1037"/>
      <c r="G11" s="1037"/>
      <c r="H11" s="1038"/>
      <c r="J11" s="184"/>
    </row>
    <row r="12" spans="2:23" ht="26.25" customHeight="1" thickTop="1" x14ac:dyDescent="0.35">
      <c r="B12" s="1033" t="s">
        <v>115</v>
      </c>
      <c r="C12" s="1034"/>
      <c r="D12" s="1034"/>
      <c r="E12" s="1034"/>
      <c r="F12" s="1034"/>
      <c r="G12" s="1034"/>
      <c r="H12" s="1035"/>
      <c r="J12" s="184"/>
    </row>
    <row r="13" spans="2:23" x14ac:dyDescent="0.35">
      <c r="B13" s="181"/>
      <c r="C13" s="1029" t="s">
        <v>459</v>
      </c>
      <c r="D13" s="1029"/>
      <c r="E13" s="574"/>
      <c r="F13" s="574"/>
      <c r="G13" s="182"/>
      <c r="H13" s="183"/>
      <c r="I13" s="187"/>
      <c r="J13" s="188"/>
      <c r="K13" s="189"/>
      <c r="Q13" s="189"/>
      <c r="R13" s="189"/>
      <c r="S13" s="189"/>
      <c r="T13" s="189"/>
      <c r="U13" s="189"/>
      <c r="V13" s="189"/>
      <c r="W13" s="189"/>
    </row>
    <row r="14" spans="2:23" x14ac:dyDescent="0.35">
      <c r="B14" s="198"/>
      <c r="C14" s="659" t="s">
        <v>116</v>
      </c>
      <c r="D14" s="660" t="s">
        <v>117</v>
      </c>
      <c r="E14" s="660" t="s">
        <v>267</v>
      </c>
      <c r="F14" s="190"/>
      <c r="G14" s="1039" t="s">
        <v>316</v>
      </c>
      <c r="H14" s="1040"/>
      <c r="J14" s="184"/>
    </row>
    <row r="15" spans="2:23" x14ac:dyDescent="0.35">
      <c r="B15" s="664" t="str">
        <f>IF('General Info &amp; Test Results'!$F$13="Storage","1st-Hr Rating Test","Max GPM Test")</f>
        <v>Max GPM Test</v>
      </c>
      <c r="C15" s="202"/>
      <c r="D15" s="202"/>
      <c r="E15" s="336" t="str">
        <f>IF(OR(C15="",D15=""),"",IF(AND(C15&gt;=G15,D15&lt;=G16,D15&gt;=C15),"Yes","No"))</f>
        <v/>
      </c>
      <c r="F15" s="153"/>
      <c r="G15" s="147">
        <f>Constants!$C$46-Constants!$E$46</f>
        <v>65</v>
      </c>
      <c r="H15" s="155" t="s">
        <v>93</v>
      </c>
      <c r="J15" s="184"/>
    </row>
    <row r="16" spans="2:23" ht="16" thickBot="1" x14ac:dyDescent="0.4">
      <c r="B16" s="665" t="s">
        <v>6</v>
      </c>
      <c r="C16" s="203"/>
      <c r="D16" s="203"/>
      <c r="E16" s="577" t="str">
        <f>IF(OR(C16="",D16=""),"",IF(AND(C16&gt;=G15,D16&lt;=G16,D15&gt;=C15),"Yes","No"))</f>
        <v/>
      </c>
      <c r="F16" s="197"/>
      <c r="G16" s="173">
        <f>Constants!$C$46+Constants!$E$46</f>
        <v>70</v>
      </c>
      <c r="H16" s="157" t="s">
        <v>93</v>
      </c>
      <c r="J16" s="184"/>
    </row>
    <row r="17" spans="2:10" ht="16.5" thickTop="1" thickBot="1" x14ac:dyDescent="0.4">
      <c r="B17" s="1036" t="s">
        <v>123</v>
      </c>
      <c r="C17" s="1037"/>
      <c r="D17" s="1037"/>
      <c r="E17" s="1037"/>
      <c r="F17" s="1037"/>
      <c r="G17" s="1037"/>
      <c r="H17" s="1038"/>
      <c r="J17" s="184"/>
    </row>
    <row r="18" spans="2:10" ht="27" customHeight="1" thickTop="1" x14ac:dyDescent="0.35">
      <c r="B18" s="1033" t="s">
        <v>118</v>
      </c>
      <c r="C18" s="1034"/>
      <c r="D18" s="1034"/>
      <c r="E18" s="1034"/>
      <c r="F18" s="1034"/>
      <c r="G18" s="1034"/>
      <c r="H18" s="1035"/>
      <c r="J18" s="184"/>
    </row>
    <row r="19" spans="2:10" x14ac:dyDescent="0.35">
      <c r="B19" s="198"/>
      <c r="C19" s="1029" t="s">
        <v>458</v>
      </c>
      <c r="D19" s="1029"/>
      <c r="E19" s="574"/>
      <c r="F19" s="574"/>
      <c r="G19" s="153"/>
      <c r="H19" s="154"/>
      <c r="J19" s="184"/>
    </row>
    <row r="20" spans="2:10" x14ac:dyDescent="0.35">
      <c r="B20" s="198"/>
      <c r="C20" s="659" t="s">
        <v>116</v>
      </c>
      <c r="D20" s="660" t="s">
        <v>117</v>
      </c>
      <c r="E20" s="660" t="s">
        <v>267</v>
      </c>
      <c r="F20" s="190"/>
      <c r="G20" s="1039" t="s">
        <v>316</v>
      </c>
      <c r="H20" s="1040"/>
      <c r="J20" s="184"/>
    </row>
    <row r="21" spans="2:10" x14ac:dyDescent="0.35">
      <c r="B21" s="664" t="str">
        <f>IF('General Info &amp; Test Results'!$F$13="Storage","1st-Hr Rating Test","Max GPM Test")</f>
        <v>Max GPM Test</v>
      </c>
      <c r="C21" s="202"/>
      <c r="D21" s="202"/>
      <c r="E21" s="336" t="str">
        <f>IF(OR(C21="",D21=""),"",IF(AND(C21&gt;=G21,D21&lt;=G22,D21&gt;=C21),"Yes","No"))</f>
        <v/>
      </c>
      <c r="F21" s="153"/>
      <c r="G21" s="147">
        <f>Constants!$C$45-Constants!$E$45</f>
        <v>56</v>
      </c>
      <c r="H21" s="155" t="s">
        <v>93</v>
      </c>
      <c r="J21" s="184"/>
    </row>
    <row r="22" spans="2:10" ht="16" thickBot="1" x14ac:dyDescent="0.4">
      <c r="B22" s="665" t="s">
        <v>6</v>
      </c>
      <c r="C22" s="203"/>
      <c r="D22" s="203"/>
      <c r="E22" s="577" t="str">
        <f>IF(OR(C22="",D22=""),"",IF(AND(C22&gt;=G21,D22&lt;=G22,D22&gt;=C22),"Yes","No"))</f>
        <v/>
      </c>
      <c r="F22" s="197"/>
      <c r="G22" s="173">
        <f>Constants!$C$45+Constants!$E$45</f>
        <v>60</v>
      </c>
      <c r="H22" s="157" t="s">
        <v>93</v>
      </c>
      <c r="J22" s="184"/>
    </row>
    <row r="23" spans="2:10" ht="16.5" thickTop="1" thickBot="1" x14ac:dyDescent="0.4">
      <c r="B23" s="1036" t="s">
        <v>355</v>
      </c>
      <c r="C23" s="1037"/>
      <c r="D23" s="1037"/>
      <c r="E23" s="1037"/>
      <c r="F23" s="1037"/>
      <c r="G23" s="1037"/>
      <c r="H23" s="1038"/>
      <c r="J23" s="184"/>
    </row>
    <row r="24" spans="2:10" ht="26.25" customHeight="1" thickTop="1" x14ac:dyDescent="0.35">
      <c r="B24" s="1033" t="s">
        <v>119</v>
      </c>
      <c r="C24" s="1034"/>
      <c r="D24" s="1034"/>
      <c r="E24" s="1034"/>
      <c r="F24" s="1034"/>
      <c r="G24" s="1034"/>
      <c r="H24" s="1035"/>
      <c r="J24" s="184"/>
    </row>
    <row r="25" spans="2:10" x14ac:dyDescent="0.35">
      <c r="B25" s="198"/>
      <c r="C25" s="1028" t="s">
        <v>457</v>
      </c>
      <c r="D25" s="1029"/>
      <c r="E25" s="153"/>
      <c r="F25" s="153"/>
      <c r="G25" s="153"/>
      <c r="H25" s="154"/>
      <c r="J25" s="184"/>
    </row>
    <row r="26" spans="2:10" x14ac:dyDescent="0.35">
      <c r="B26" s="664" t="s">
        <v>290</v>
      </c>
      <c r="C26" s="202"/>
      <c r="D26" s="658" t="s">
        <v>238</v>
      </c>
      <c r="E26" s="153"/>
      <c r="F26" s="153"/>
      <c r="G26" s="153"/>
      <c r="H26" s="154"/>
      <c r="J26" s="184"/>
    </row>
    <row r="27" spans="2:10" x14ac:dyDescent="0.35">
      <c r="B27" s="198"/>
      <c r="C27" s="661" t="s">
        <v>116</v>
      </c>
      <c r="D27" s="660" t="s">
        <v>117</v>
      </c>
      <c r="E27" s="660" t="s">
        <v>267</v>
      </c>
      <c r="F27" s="190"/>
      <c r="G27" s="1039" t="s">
        <v>316</v>
      </c>
      <c r="H27" s="1040"/>
      <c r="J27" s="184"/>
    </row>
    <row r="28" spans="2:10" x14ac:dyDescent="0.35">
      <c r="B28" s="664" t="str">
        <f>IF('General Info &amp; Test Results'!$F$13="Storage","1st-Hr Rating Test","Max GPM Test")</f>
        <v>Max GPM Test</v>
      </c>
      <c r="C28" s="202"/>
      <c r="D28" s="202"/>
      <c r="E28" s="336" t="str">
        <f>IF(OR(C28="",D28="",C26=""),"",IF(AND(C28&gt;=G28,D28&lt;=G29,D28&gt;=C28),"Yes","No"))</f>
        <v/>
      </c>
      <c r="F28" s="153"/>
      <c r="G28" s="147">
        <f>Constants!$C$51</f>
        <v>40</v>
      </c>
      <c r="H28" s="155" t="s">
        <v>238</v>
      </c>
      <c r="J28" s="184"/>
    </row>
    <row r="29" spans="2:10" ht="16" thickBot="1" x14ac:dyDescent="0.4">
      <c r="B29" s="665" t="s">
        <v>6</v>
      </c>
      <c r="C29" s="203"/>
      <c r="D29" s="203"/>
      <c r="E29" s="577" t="str">
        <f>IF(OR(C29="",D29="",C26=""),"",IF(AND(C29&gt;=G28,D29&lt;=G29,D29&gt;=C29),"Yes","No"))</f>
        <v/>
      </c>
      <c r="F29" s="197"/>
      <c r="G29" s="173" t="str">
        <f>IF(C26="","Max PSI",C26)</f>
        <v>Max PSI</v>
      </c>
      <c r="H29" s="157" t="s">
        <v>238</v>
      </c>
      <c r="J29" s="184"/>
    </row>
    <row r="30" spans="2:10" ht="16.5" thickTop="1" thickBot="1" x14ac:dyDescent="0.4">
      <c r="B30" s="1036" t="s">
        <v>386</v>
      </c>
      <c r="C30" s="1037"/>
      <c r="D30" s="1037"/>
      <c r="E30" s="1037"/>
      <c r="F30" s="1037"/>
      <c r="G30" s="1037"/>
      <c r="H30" s="1038"/>
      <c r="J30" s="184"/>
    </row>
    <row r="31" spans="2:10" ht="60.75" customHeight="1" thickTop="1" x14ac:dyDescent="0.35">
      <c r="B31" s="1043" t="str">
        <f>"Gas Supply: " &amp; IF('General Info &amp; Test Results'!$C$24="","Update General Info &amp; Test Results tab.",IF('General Info &amp; Test Results'!$C$24="N/A","Not Used for this water heater type.",
CONCATENATE(
"Maintain the supply pressure in accordance with the manufacturer’s specifications. If the supply pressure is not specified, maintain a supply pressure of ",
IF('General Info &amp; Test Results'!$C$24="Natural Gas","7–10 inches of water column (1.7–2.5 kPa)","11-13 inches of water column (2.7-3.2 kPa)"),
". If the water heater is equipped with a gas appliance pressure regulator, the regulator outlet pressure shall be within ±",
IF('General Info &amp; Test Results'!$C$24="Natural Gas",TEXT(Constants!$E$57,"#"),TEXT(Constants!$E$60,"#")),
"% of the manufacturer’s specified manifold pressure. For all tests, use ",
IF('General Info &amp; Test Results'!$C$24="Natural Gas","natural","propane"),
" gas having a heating value of approximately ",
IF('General Info &amp; Test Results'!$C$24="Natural Gas","1,025 Btu per standard cubic foot (38,190 kJ per standard cubic meter).","2,500 Btu per standard cubic foot (93,147 kJ per standard cubic meter)."))))</f>
        <v>Gas Supply: Update General Info &amp; Test Results tab.</v>
      </c>
      <c r="C31" s="1044"/>
      <c r="D31" s="1044"/>
      <c r="E31" s="1044"/>
      <c r="F31" s="1044"/>
      <c r="G31" s="1044"/>
      <c r="H31" s="1045"/>
      <c r="J31" s="184"/>
    </row>
    <row r="32" spans="2:10" x14ac:dyDescent="0.35">
      <c r="B32" s="234"/>
      <c r="C32" s="1041" t="s">
        <v>456</v>
      </c>
      <c r="D32" s="1042"/>
      <c r="E32" s="216"/>
      <c r="F32" s="216"/>
      <c r="G32" s="216"/>
      <c r="H32" s="235"/>
      <c r="J32" s="184"/>
    </row>
    <row r="33" spans="2:23" x14ac:dyDescent="0.35">
      <c r="B33" s="666" t="s">
        <v>389</v>
      </c>
      <c r="C33" s="202"/>
      <c r="D33" s="153"/>
      <c r="E33" s="236"/>
      <c r="F33" s="153"/>
      <c r="G33" s="153"/>
      <c r="H33" s="154"/>
      <c r="J33" s="184"/>
    </row>
    <row r="34" spans="2:23" x14ac:dyDescent="0.35">
      <c r="B34" s="237"/>
      <c r="C34" s="662" t="s">
        <v>116</v>
      </c>
      <c r="D34" s="659" t="s">
        <v>117</v>
      </c>
      <c r="E34" s="236"/>
      <c r="F34" s="236"/>
      <c r="G34" s="191"/>
      <c r="H34" s="200"/>
      <c r="I34" s="187"/>
      <c r="J34" s="188"/>
      <c r="K34" s="189"/>
      <c r="Q34" s="189"/>
      <c r="R34" s="189"/>
      <c r="S34" s="223"/>
      <c r="T34" s="223"/>
      <c r="U34" s="189"/>
      <c r="V34" s="189"/>
      <c r="W34" s="189"/>
    </row>
    <row r="35" spans="2:23" x14ac:dyDescent="0.35">
      <c r="B35" s="667" t="s">
        <v>390</v>
      </c>
      <c r="C35" s="202"/>
      <c r="D35" s="202"/>
      <c r="E35" s="236"/>
      <c r="F35" s="236"/>
      <c r="G35" s="153"/>
      <c r="H35" s="154"/>
      <c r="I35" s="192"/>
      <c r="J35" s="184"/>
      <c r="S35" s="223"/>
      <c r="T35" s="223"/>
    </row>
    <row r="36" spans="2:23" x14ac:dyDescent="0.35">
      <c r="B36" s="198"/>
      <c r="C36" s="661" t="s">
        <v>116</v>
      </c>
      <c r="D36" s="661" t="s">
        <v>117</v>
      </c>
      <c r="E36" s="660" t="s">
        <v>267</v>
      </c>
      <c r="F36" s="153"/>
      <c r="G36" s="1039" t="s">
        <v>316</v>
      </c>
      <c r="H36" s="1040"/>
      <c r="I36" s="192"/>
      <c r="J36" s="184"/>
      <c r="S36" s="223"/>
      <c r="T36" s="223"/>
    </row>
    <row r="37" spans="2:23" x14ac:dyDescent="0.35">
      <c r="B37" s="664" t="str">
        <f>IF('General Info &amp; Test Results'!$F$13="Storage","1st-Hr Rating Test","Max GPM Test")</f>
        <v>Max GPM Test</v>
      </c>
      <c r="C37" s="202"/>
      <c r="D37" s="202"/>
      <c r="E37" s="336" t="str">
        <f>IF(OR(C37="",D37="",C33=""),"",IF(AND(C37&gt;=G37,D37&lt;=G38,D37&gt;=C37),"Yes","No"))</f>
        <v/>
      </c>
      <c r="F37" s="153"/>
      <c r="G37" s="147" t="str">
        <f>IF(OR($C$33="",'General Info &amp; Test Results'!$C$24="",'General Info &amp; Test Results'!$C$24="N/A"),"",IF($C$33="Yes",$C$35,IF('General Info &amp; Test Results'!$C$24="Natural Gas",7,11)))</f>
        <v/>
      </c>
      <c r="H37" s="155" t="s">
        <v>120</v>
      </c>
      <c r="I37" s="192"/>
      <c r="J37" s="184"/>
      <c r="S37" s="223"/>
      <c r="T37" s="223"/>
    </row>
    <row r="38" spans="2:23" x14ac:dyDescent="0.35">
      <c r="B38" s="664" t="s">
        <v>6</v>
      </c>
      <c r="C38" s="202"/>
      <c r="D38" s="202"/>
      <c r="E38" s="336" t="str">
        <f>IF(OR(C38="",D38="",C33=""),"",IF(AND(C38&gt;=G37,D38&lt;=G38,D38&gt;=C38),"Yes","No"))</f>
        <v/>
      </c>
      <c r="F38" s="153"/>
      <c r="G38" s="147" t="str">
        <f>IF(OR($C$33="",'General Info &amp; Test Results'!$C$24="",'General Info &amp; Test Results'!$C$24="N/A"),"",IF($C$33="Yes",$D$35,IF('General Info &amp; Test Results'!$C$24="Natural Gas",10,13)))</f>
        <v/>
      </c>
      <c r="H38" s="155" t="s">
        <v>120</v>
      </c>
      <c r="I38" s="192"/>
      <c r="J38" s="184"/>
      <c r="S38" s="223"/>
      <c r="T38" s="223"/>
    </row>
    <row r="39" spans="2:23" x14ac:dyDescent="0.35">
      <c r="B39" s="198"/>
      <c r="C39" s="153"/>
      <c r="D39" s="153"/>
      <c r="E39" s="153"/>
      <c r="F39" s="153"/>
      <c r="G39" s="153"/>
      <c r="H39" s="154"/>
      <c r="I39" s="192"/>
      <c r="J39" s="184"/>
      <c r="S39" s="223"/>
      <c r="T39" s="223"/>
    </row>
    <row r="40" spans="2:23" x14ac:dyDescent="0.35">
      <c r="B40" s="198"/>
      <c r="C40" s="1039" t="s">
        <v>455</v>
      </c>
      <c r="D40" s="1049"/>
      <c r="E40" s="153"/>
      <c r="F40" s="153"/>
      <c r="G40" s="153"/>
      <c r="H40" s="154"/>
      <c r="I40" s="192"/>
      <c r="J40" s="184"/>
      <c r="S40" s="223"/>
      <c r="T40" s="223"/>
    </row>
    <row r="41" spans="2:23" x14ac:dyDescent="0.35">
      <c r="B41" s="668" t="s">
        <v>391</v>
      </c>
      <c r="C41" s="204"/>
      <c r="D41" s="193"/>
      <c r="E41" s="193"/>
      <c r="F41" s="193"/>
      <c r="G41" s="193"/>
      <c r="H41" s="201"/>
      <c r="I41" s="192"/>
      <c r="J41" s="194"/>
      <c r="K41" s="195"/>
      <c r="Q41" s="195"/>
      <c r="R41" s="195"/>
      <c r="S41" s="223"/>
      <c r="T41" s="223"/>
      <c r="U41" s="195"/>
      <c r="V41" s="195"/>
      <c r="W41" s="195"/>
    </row>
    <row r="42" spans="2:23" ht="18" customHeight="1" x14ac:dyDescent="0.35">
      <c r="B42" s="668" t="s">
        <v>392</v>
      </c>
      <c r="C42" s="204"/>
      <c r="D42" s="191"/>
      <c r="E42" s="191"/>
      <c r="F42" s="191"/>
      <c r="G42" s="191"/>
      <c r="H42" s="200"/>
      <c r="I42" s="187"/>
      <c r="J42" s="188"/>
      <c r="K42" s="189"/>
      <c r="Q42" s="189"/>
      <c r="R42" s="189"/>
      <c r="S42" s="223"/>
      <c r="T42" s="223"/>
      <c r="U42" s="189"/>
      <c r="V42" s="196"/>
      <c r="W42" s="189"/>
    </row>
    <row r="43" spans="2:23" x14ac:dyDescent="0.35">
      <c r="B43" s="198"/>
      <c r="C43" s="661" t="s">
        <v>116</v>
      </c>
      <c r="D43" s="659" t="s">
        <v>117</v>
      </c>
      <c r="E43" s="660" t="s">
        <v>267</v>
      </c>
      <c r="F43" s="190"/>
      <c r="G43" s="1039" t="s">
        <v>316</v>
      </c>
      <c r="H43" s="1040"/>
      <c r="I43" s="192"/>
      <c r="J43" s="184"/>
      <c r="S43" s="223"/>
      <c r="T43" s="223"/>
    </row>
    <row r="44" spans="2:23" x14ac:dyDescent="0.35">
      <c r="B44" s="664" t="str">
        <f>IF('General Info &amp; Test Results'!$F$13="Storage","1st-Hr Rating Test","Max GPM Test")</f>
        <v>Max GPM Test</v>
      </c>
      <c r="C44" s="202"/>
      <c r="D44" s="202"/>
      <c r="E44" s="336" t="str">
        <f>IF(OR(C44="",D44="",C42=""),"",IF(AND(C44&gt;=G44,D44&lt;=G45,D44&gt;=C44),"Yes","No"))</f>
        <v/>
      </c>
      <c r="F44" s="153"/>
      <c r="G44" s="147" t="str">
        <f>IF(OR($C$41="No",$C$41="",$C$41="N/A",$C$42="",'General Info &amp; Test Results'!$C$24="",'General Info &amp; Test Results'!$C$24="N/A"),"",$C$42*(100-IF('General Info &amp; Test Results'!$C$24="Natural Gas",Constants!$E$57,Constants!$E$60))/100)</f>
        <v/>
      </c>
      <c r="H44" s="155" t="s">
        <v>120</v>
      </c>
      <c r="I44" s="192"/>
      <c r="J44" s="184"/>
      <c r="S44" s="223"/>
      <c r="T44" s="223"/>
    </row>
    <row r="45" spans="2:23" x14ac:dyDescent="0.35">
      <c r="B45" s="671" t="s">
        <v>6</v>
      </c>
      <c r="C45" s="217"/>
      <c r="D45" s="217"/>
      <c r="E45" s="578" t="str">
        <f>IF(OR(C45="",D45="",C42=""),"",IF(AND(C45&gt;=G44,D45&lt;=G45,D45&gt;=C45),"Yes","No"))</f>
        <v/>
      </c>
      <c r="F45" s="153"/>
      <c r="G45" s="218" t="str">
        <f>IF(OR($C$41="No",$C$41="",$C$41="N/A",$C$42="",'General Info &amp; Test Results'!$C$24="",'General Info &amp; Test Results'!$C$24="N/A"),"",$C$42*(100+IF('General Info &amp; Test Results'!$C$24="Natural Gas",Constants!$E$57,Constants!$E$60))/100)</f>
        <v/>
      </c>
      <c r="H45" s="219" t="s">
        <v>120</v>
      </c>
      <c r="I45" s="192"/>
      <c r="J45" s="184"/>
    </row>
    <row r="46" spans="2:23" ht="60.75" customHeight="1" x14ac:dyDescent="0.35">
      <c r="B46" s="1046" t="str">
        <f>"Oil Supply: " &amp;
IF('General Info &amp; Test Results'!$C$25="","Update General Info &amp; Test Results tab.",
IF('General Info &amp; Test Results'!$C$25="No","Not Used for this water heater type.","Maintain an uninterrupted supply of fuel oil.  Use fuel oil having a heating value of approximately 138,700 Btu per gallon.  The fuel pump pressure shall be within ±10% of the manufacturer’s specified pump pressure (in accordance with Section 5.2.3)."))</f>
        <v>Oil Supply: Update General Info &amp; Test Results tab.</v>
      </c>
      <c r="C46" s="1047"/>
      <c r="D46" s="1047"/>
      <c r="E46" s="1047"/>
      <c r="F46" s="1047"/>
      <c r="G46" s="1047"/>
      <c r="H46" s="1048"/>
      <c r="I46" s="192"/>
      <c r="J46" s="184"/>
    </row>
    <row r="47" spans="2:23" x14ac:dyDescent="0.35">
      <c r="B47" s="234"/>
      <c r="C47" s="1041" t="s">
        <v>454</v>
      </c>
      <c r="D47" s="1042"/>
      <c r="E47" s="216"/>
      <c r="F47" s="216"/>
      <c r="G47" s="216"/>
      <c r="H47" s="235"/>
      <c r="I47" s="192"/>
      <c r="J47" s="184"/>
    </row>
    <row r="48" spans="2:23" ht="17.25" customHeight="1" x14ac:dyDescent="0.35">
      <c r="B48" s="666" t="s">
        <v>393</v>
      </c>
      <c r="C48" s="202"/>
      <c r="D48" s="153"/>
      <c r="E48" s="236"/>
      <c r="F48" s="153"/>
      <c r="G48" s="153"/>
      <c r="H48" s="154"/>
      <c r="I48" s="192"/>
      <c r="J48" s="184"/>
    </row>
    <row r="49" spans="2:10" x14ac:dyDescent="0.35">
      <c r="B49" s="237"/>
      <c r="C49" s="662" t="s">
        <v>116</v>
      </c>
      <c r="D49" s="659" t="s">
        <v>117</v>
      </c>
      <c r="E49" s="236"/>
      <c r="F49" s="236"/>
      <c r="G49" s="191"/>
      <c r="H49" s="200"/>
      <c r="I49" s="192"/>
      <c r="J49" s="184"/>
    </row>
    <row r="50" spans="2:10" ht="17.25" customHeight="1" x14ac:dyDescent="0.35">
      <c r="B50" s="667" t="s">
        <v>394</v>
      </c>
      <c r="C50" s="202"/>
      <c r="D50" s="202"/>
      <c r="E50" s="236"/>
      <c r="F50" s="236"/>
      <c r="G50" s="153"/>
      <c r="H50" s="154"/>
      <c r="I50" s="192"/>
      <c r="J50" s="184"/>
    </row>
    <row r="51" spans="2:10" x14ac:dyDescent="0.35">
      <c r="B51" s="198"/>
      <c r="C51" s="661" t="s">
        <v>116</v>
      </c>
      <c r="D51" s="661" t="s">
        <v>117</v>
      </c>
      <c r="E51" s="660" t="s">
        <v>267</v>
      </c>
      <c r="F51" s="153"/>
      <c r="G51" s="1039" t="s">
        <v>316</v>
      </c>
      <c r="H51" s="1040"/>
      <c r="I51" s="192"/>
      <c r="J51" s="184"/>
    </row>
    <row r="52" spans="2:10" x14ac:dyDescent="0.35">
      <c r="B52" s="664" t="str">
        <f>IF('General Info &amp; Test Results'!$F$13="Storage","1st-Hr Rating Test","Max GPM Test")</f>
        <v>Max GPM Test</v>
      </c>
      <c r="C52" s="202"/>
      <c r="D52" s="202"/>
      <c r="E52" s="336" t="str">
        <f>IF(OR(C52="",D52="",C48="",C48="No"),"",IF(AND(C52&gt;=G52,D52&lt;=G53,D52&gt;=C52),"Yes","No"))</f>
        <v/>
      </c>
      <c r="F52" s="153"/>
      <c r="G52" s="147" t="str">
        <f>IF(OR($C$48="",$C$48="No",'General Info &amp; Test Results'!$C$25="",'General Info &amp; Test Results'!$C$25="N/A",'General Info &amp; Test Results'!$C$25="No"),"",C50)</f>
        <v/>
      </c>
      <c r="H52" s="155" t="s">
        <v>120</v>
      </c>
      <c r="I52" s="192"/>
      <c r="J52" s="184"/>
    </row>
    <row r="53" spans="2:10" x14ac:dyDescent="0.35">
      <c r="B53" s="664" t="s">
        <v>6</v>
      </c>
      <c r="C53" s="202"/>
      <c r="D53" s="202"/>
      <c r="E53" s="336" t="str">
        <f>IF(OR(C53="",D53="",C48="",C48="No"),"",IF(AND(C53&gt;=G52,D53&lt;=G53,D53&gt;=C53),"Yes","No"))</f>
        <v/>
      </c>
      <c r="F53" s="153"/>
      <c r="G53" s="147" t="str">
        <f>IF(OR($C$48="",$C$48="No",'General Info &amp; Test Results'!$C$25="",'General Info &amp; Test Results'!$C$25="N/A",'General Info &amp; Test Results'!$C$25="No"),"",D50)</f>
        <v/>
      </c>
      <c r="H53" s="155" t="s">
        <v>120</v>
      </c>
      <c r="I53" s="192"/>
      <c r="J53" s="184"/>
    </row>
    <row r="54" spans="2:10" x14ac:dyDescent="0.35">
      <c r="B54" s="198"/>
      <c r="C54" s="153"/>
      <c r="D54" s="153"/>
      <c r="E54" s="153"/>
      <c r="F54" s="153"/>
      <c r="G54" s="153"/>
      <c r="H54" s="154"/>
      <c r="I54" s="192"/>
      <c r="J54" s="184"/>
    </row>
    <row r="55" spans="2:10" ht="17.25" customHeight="1" x14ac:dyDescent="0.35">
      <c r="B55" s="668" t="s">
        <v>398</v>
      </c>
      <c r="C55" s="204"/>
      <c r="D55" s="193"/>
      <c r="E55" s="193"/>
      <c r="F55" s="193"/>
      <c r="G55" s="193"/>
      <c r="H55" s="201"/>
      <c r="I55" s="192"/>
      <c r="J55" s="184"/>
    </row>
    <row r="56" spans="2:10" x14ac:dyDescent="0.35">
      <c r="B56" s="668" t="s">
        <v>399</v>
      </c>
      <c r="C56" s="204"/>
      <c r="D56" s="191"/>
      <c r="E56" s="191"/>
      <c r="F56" s="191"/>
      <c r="G56" s="191"/>
      <c r="H56" s="200"/>
      <c r="I56" s="192"/>
      <c r="J56" s="184"/>
    </row>
    <row r="57" spans="2:10" x14ac:dyDescent="0.35">
      <c r="B57" s="198"/>
      <c r="C57" s="661" t="s">
        <v>116</v>
      </c>
      <c r="D57" s="659" t="s">
        <v>117</v>
      </c>
      <c r="E57" s="660" t="s">
        <v>267</v>
      </c>
      <c r="F57" s="190"/>
      <c r="G57" s="1039" t="s">
        <v>316</v>
      </c>
      <c r="H57" s="1040"/>
      <c r="I57" s="192"/>
      <c r="J57" s="184"/>
    </row>
    <row r="58" spans="2:10" x14ac:dyDescent="0.35">
      <c r="B58" s="664" t="str">
        <f>IF('General Info &amp; Test Results'!$F$13="Storage","1st-Hr Rating Test","Max GPM Test")</f>
        <v>Max GPM Test</v>
      </c>
      <c r="C58" s="202"/>
      <c r="D58" s="202"/>
      <c r="E58" s="336" t="str">
        <f>IF(OR(C58="",D58="",C56=""),"",IF(AND(C58&gt;=G58,D58&lt;=G59,D58&gt;=C58),"Yes","No"))</f>
        <v/>
      </c>
      <c r="F58" s="153"/>
      <c r="G58" s="147" t="str">
        <f>IF(OR($C$55="No",$C$55="",$C$55="N/A",$C$56="",'General Info &amp; Test Results'!$C$25="",'General Info &amp; Test Results'!$C$25="N/A",'General Info &amp; Test Results'!$C$25="No"),"",$C$56*(100-Constants!$E$62)/100)</f>
        <v/>
      </c>
      <c r="H58" s="155" t="s">
        <v>120</v>
      </c>
      <c r="I58" s="192"/>
      <c r="J58" s="184"/>
    </row>
    <row r="59" spans="2:10" x14ac:dyDescent="0.35">
      <c r="B59" s="671" t="s">
        <v>6</v>
      </c>
      <c r="C59" s="217"/>
      <c r="D59" s="217"/>
      <c r="E59" s="578" t="str">
        <f>IF(OR(C59="",D59="",C56=""),"",IF(AND(C59&gt;=G58,D59&lt;=G59,D59&gt;=C59),"Yes","No"))</f>
        <v/>
      </c>
      <c r="F59" s="153"/>
      <c r="G59" s="218" t="str">
        <f>IF(OR($C$55="No",$C$55="",$C$55="N/A",$C$56="",'General Info &amp; Test Results'!$C$25="",'General Info &amp; Test Results'!$C$25="N/A",'General Info &amp; Test Results'!$C$25="No"),"",$C$56*(100+Constants!$E$62)/100)</f>
        <v/>
      </c>
      <c r="H59" s="219" t="s">
        <v>120</v>
      </c>
      <c r="I59" s="192"/>
      <c r="J59" s="184"/>
    </row>
    <row r="60" spans="2:10" ht="61.5" customHeight="1" x14ac:dyDescent="0.35">
      <c r="B60" s="1046" t="str">
        <f>"Electric Supply: " &amp;
IF('General Info &amp; Test Results'!$C$26="","Update General Info &amp; Test Results tab.",
IF('General Info &amp; Test Results'!$C$26="No","Not Used for this water heater type.","Maintain the electrical supply voltage to within ±1 % of the center of the voltage range specified by the water heater and/or heat pump manufacturer."))</f>
        <v>Electric Supply: Update General Info &amp; Test Results tab.</v>
      </c>
      <c r="C60" s="1047"/>
      <c r="D60" s="1047"/>
      <c r="E60" s="1047"/>
      <c r="F60" s="1047"/>
      <c r="G60" s="1047"/>
      <c r="H60" s="1048"/>
      <c r="I60" s="192"/>
      <c r="J60" s="184"/>
    </row>
    <row r="61" spans="2:10" x14ac:dyDescent="0.35">
      <c r="B61" s="234"/>
      <c r="C61" s="1041" t="s">
        <v>453</v>
      </c>
      <c r="D61" s="1042"/>
      <c r="E61" s="216"/>
      <c r="F61" s="216"/>
      <c r="G61" s="216"/>
      <c r="H61" s="235"/>
      <c r="I61" s="192"/>
      <c r="J61" s="184"/>
    </row>
    <row r="62" spans="2:10" x14ac:dyDescent="0.35">
      <c r="B62" s="666" t="s">
        <v>395</v>
      </c>
      <c r="C62" s="202"/>
      <c r="D62" s="153"/>
      <c r="E62" s="236"/>
      <c r="F62" s="153"/>
      <c r="G62" s="153"/>
      <c r="H62" s="154"/>
      <c r="I62" s="192"/>
      <c r="J62" s="184"/>
    </row>
    <row r="63" spans="2:10" x14ac:dyDescent="0.35">
      <c r="B63" s="237"/>
      <c r="C63" s="662" t="s">
        <v>116</v>
      </c>
      <c r="D63" s="659" t="s">
        <v>117</v>
      </c>
      <c r="E63" s="236"/>
      <c r="F63" s="236"/>
      <c r="G63" s="191"/>
      <c r="H63" s="200"/>
      <c r="I63" s="192"/>
      <c r="J63" s="184"/>
    </row>
    <row r="64" spans="2:10" x14ac:dyDescent="0.35">
      <c r="B64" s="667" t="s">
        <v>396</v>
      </c>
      <c r="C64" s="202"/>
      <c r="D64" s="202"/>
      <c r="E64" s="236"/>
      <c r="F64" s="236"/>
      <c r="G64" s="153"/>
      <c r="H64" s="154"/>
      <c r="I64" s="192"/>
      <c r="J64" s="184"/>
    </row>
    <row r="65" spans="2:10" x14ac:dyDescent="0.35">
      <c r="B65" s="198"/>
      <c r="C65" s="661" t="s">
        <v>116</v>
      </c>
      <c r="D65" s="661" t="s">
        <v>117</v>
      </c>
      <c r="E65" s="660" t="s">
        <v>267</v>
      </c>
      <c r="F65" s="153"/>
      <c r="G65" s="1039" t="s">
        <v>316</v>
      </c>
      <c r="H65" s="1040"/>
      <c r="I65" s="192"/>
      <c r="J65" s="184"/>
    </row>
    <row r="66" spans="2:10" x14ac:dyDescent="0.35">
      <c r="B66" s="664" t="str">
        <f>IF('General Info &amp; Test Results'!$F$13="Storage","1st-Hr Rating Test","Max GPM Test")</f>
        <v>Max GPM Test</v>
      </c>
      <c r="C66" s="202"/>
      <c r="D66" s="202"/>
      <c r="E66" s="336" t="str">
        <f>IF(OR(C66="",D66="",C62="",C62="No"),"",IF(AND(C66&gt;=G66,D66&lt;=G67,D66&gt;=C66),"Yes","No"))</f>
        <v/>
      </c>
      <c r="F66" s="153"/>
      <c r="G66" s="147" t="str">
        <f>IF(OR($C$62="",$C$62="No",'General Info &amp; Test Results'!$C$26="",'General Info &amp; Test Results'!$C$26="N/A",'General Info &amp; Test Results'!$C$26="No"),"",$C$64-AVERAGE($C$64:$D$64)*Constants!$E$54/100)</f>
        <v/>
      </c>
      <c r="H66" s="155" t="s">
        <v>120</v>
      </c>
      <c r="I66" s="192"/>
      <c r="J66" s="184"/>
    </row>
    <row r="67" spans="2:10" x14ac:dyDescent="0.35">
      <c r="B67" s="664" t="s">
        <v>6</v>
      </c>
      <c r="C67" s="202"/>
      <c r="D67" s="202"/>
      <c r="E67" s="336" t="str">
        <f>IF(OR(C67="",D67="",C62="",C62="No"),"",IF(AND(C67&gt;=G66,D67&lt;=G67,D67&gt;=C67),"Yes","No"))</f>
        <v/>
      </c>
      <c r="F67" s="153"/>
      <c r="G67" s="147" t="str">
        <f>IF(OR($C$62="",$C$62="No",'General Info &amp; Test Results'!$C$26="",'General Info &amp; Test Results'!$C$26="N/A",'General Info &amp; Test Results'!$C$26="No"),"",$D$64+AVERAGE($C$64:$D$64)*Constants!$E$54/100)</f>
        <v/>
      </c>
      <c r="H67" s="155" t="s">
        <v>120</v>
      </c>
      <c r="I67" s="192"/>
      <c r="J67" s="184"/>
    </row>
    <row r="68" spans="2:10" x14ac:dyDescent="0.35">
      <c r="B68" s="198"/>
      <c r="C68" s="153"/>
      <c r="D68" s="153"/>
      <c r="E68" s="153"/>
      <c r="F68" s="153"/>
      <c r="G68" s="153"/>
      <c r="H68" s="154"/>
      <c r="I68" s="192"/>
      <c r="J68" s="184"/>
    </row>
    <row r="69" spans="2:10" x14ac:dyDescent="0.35">
      <c r="B69" s="668" t="s">
        <v>397</v>
      </c>
      <c r="C69" s="204"/>
      <c r="D69" s="193"/>
      <c r="E69" s="193"/>
      <c r="F69" s="193"/>
      <c r="G69" s="193"/>
      <c r="H69" s="201"/>
      <c r="I69" s="192"/>
      <c r="J69" s="184"/>
    </row>
    <row r="70" spans="2:10" x14ac:dyDescent="0.35">
      <c r="B70" s="668" t="s">
        <v>405</v>
      </c>
      <c r="C70" s="204"/>
      <c r="D70" s="191"/>
      <c r="E70" s="191"/>
      <c r="F70" s="191"/>
      <c r="G70" s="191"/>
      <c r="H70" s="200"/>
      <c r="I70" s="192"/>
      <c r="J70" s="184"/>
    </row>
    <row r="71" spans="2:10" x14ac:dyDescent="0.35">
      <c r="B71" s="198"/>
      <c r="C71" s="661" t="s">
        <v>116</v>
      </c>
      <c r="D71" s="659" t="s">
        <v>117</v>
      </c>
      <c r="E71" s="660" t="s">
        <v>267</v>
      </c>
      <c r="F71" s="190"/>
      <c r="G71" s="1039" t="s">
        <v>316</v>
      </c>
      <c r="H71" s="1040"/>
      <c r="I71" s="192"/>
      <c r="J71" s="184"/>
    </row>
    <row r="72" spans="2:10" x14ac:dyDescent="0.35">
      <c r="B72" s="664" t="str">
        <f>IF('General Info &amp; Test Results'!$F$13="Storage","1st-Hr Rating Test","Max GPM Test")</f>
        <v>Max GPM Test</v>
      </c>
      <c r="C72" s="202"/>
      <c r="D72" s="202"/>
      <c r="E72" s="336" t="str">
        <f>IF(OR(C72="",D72="",C70=""),"",IF(AND(C72&gt;=G72,D72&lt;=G73,D72&gt;=C72),"Yes","No"))</f>
        <v/>
      </c>
      <c r="F72" s="153"/>
      <c r="G72" s="147" t="str">
        <f>IF(OR($C$69="No",$C$69="",$C$69="N/A",$C$70="",'General Info &amp; Test Results'!$C$26="",'General Info &amp; Test Results'!$C$26="N/A",'General Info &amp; Test Results'!$C$26="No"),"",$C$70*(100-Constants!$E$54)/100)</f>
        <v/>
      </c>
      <c r="H72" s="155" t="s">
        <v>120</v>
      </c>
      <c r="I72" s="192"/>
      <c r="J72" s="184"/>
    </row>
    <row r="73" spans="2:10" ht="16" thickBot="1" x14ac:dyDescent="0.4">
      <c r="B73" s="665" t="s">
        <v>6</v>
      </c>
      <c r="C73" s="203"/>
      <c r="D73" s="203"/>
      <c r="E73" s="577" t="str">
        <f>IF(OR(C73="",D73="",C70=""),"",IF(AND(C73&gt;=G72,D73&lt;=G73,D73&gt;=C73),"Yes","No"))</f>
        <v/>
      </c>
      <c r="F73" s="197"/>
      <c r="G73" s="173" t="str">
        <f>IF(OR($C$69="No",$C$69="",$C$69="N/A",$C$70="",'General Info &amp; Test Results'!$C$26="",'General Info &amp; Test Results'!$C$26="N/A",'General Info &amp; Test Results'!$C$26="No"),"",$C$70*(100+Constants!$E$54)/100)</f>
        <v/>
      </c>
      <c r="H73" s="157" t="s">
        <v>120</v>
      </c>
      <c r="I73" s="192"/>
      <c r="J73" s="184"/>
    </row>
    <row r="74" spans="2:10" ht="16.5" thickTop="1" thickBot="1" x14ac:dyDescent="0.4">
      <c r="B74" s="1057" t="s">
        <v>450</v>
      </c>
      <c r="C74" s="1037"/>
      <c r="D74" s="1037"/>
      <c r="E74" s="1037"/>
      <c r="F74" s="1037"/>
      <c r="G74" s="1037"/>
      <c r="H74" s="1038"/>
      <c r="I74" s="192"/>
      <c r="J74" s="184"/>
    </row>
    <row r="75" spans="2:10" ht="26.25" customHeight="1" thickTop="1" x14ac:dyDescent="0.35">
      <c r="B75" s="1050" t="s">
        <v>451</v>
      </c>
      <c r="C75" s="1051"/>
      <c r="D75" s="1051"/>
      <c r="E75" s="1051"/>
      <c r="F75" s="1051"/>
      <c r="G75" s="1051"/>
      <c r="H75" s="1052"/>
      <c r="I75" s="192"/>
      <c r="J75" s="184"/>
    </row>
    <row r="76" spans="2:10" ht="16" thickBot="1" x14ac:dyDescent="0.4">
      <c r="B76" s="199" t="s">
        <v>460</v>
      </c>
      <c r="C76" s="672" t="str">
        <f>IF('Outlet Temperature'!D17="","",IF('Outlet Temperature'!D17=1,'Outlet Temperature'!C23,IF('Outlet Temperature'!D17=2,'Outlet Temperature'!C41,'Outlet Temperature'!C89)))</f>
        <v/>
      </c>
      <c r="D76" s="673" t="s">
        <v>93</v>
      </c>
      <c r="E76" s="663"/>
      <c r="F76" s="663"/>
      <c r="G76" s="197"/>
      <c r="H76" s="226"/>
      <c r="I76" s="192"/>
      <c r="J76" s="184"/>
    </row>
    <row r="77" spans="2:10" ht="16.5" thickTop="1" thickBot="1" x14ac:dyDescent="0.4">
      <c r="B77" s="1036" t="s">
        <v>449</v>
      </c>
      <c r="C77" s="1037"/>
      <c r="D77" s="1037"/>
      <c r="E77" s="1037"/>
      <c r="F77" s="1037"/>
      <c r="G77" s="1037"/>
      <c r="H77" s="1038"/>
      <c r="I77" s="192"/>
      <c r="J77" s="184"/>
    </row>
    <row r="78" spans="2:10" ht="57.75" customHeight="1" thickTop="1" x14ac:dyDescent="0.35">
      <c r="B78" s="1053" t="s">
        <v>559</v>
      </c>
      <c r="C78" s="1054"/>
      <c r="D78" s="1054"/>
      <c r="E78" s="1054"/>
      <c r="F78" s="1054"/>
      <c r="G78" s="1054"/>
      <c r="H78" s="1055"/>
      <c r="I78" s="192"/>
      <c r="J78" s="184"/>
    </row>
    <row r="79" spans="2:10" x14ac:dyDescent="0.4">
      <c r="B79" s="674" t="str">
        <f xml:space="preserve"> "Rated Input, " &amp; IF('General Info &amp; Test Results'!F15="","",IF('General Info &amp; Test Results'!F15="Electric","W","Btu/h"))</f>
        <v xml:space="preserve">Rated Input, </v>
      </c>
      <c r="C79" s="657" t="str">
        <f>IF('General Info &amp; Test Results'!$C$33="","",'General Info &amp; Test Results'!$C$33)</f>
        <v/>
      </c>
      <c r="D79" s="153"/>
      <c r="E79" s="675" t="s">
        <v>267</v>
      </c>
      <c r="F79" s="153"/>
      <c r="G79" s="1028" t="s">
        <v>316</v>
      </c>
      <c r="H79" s="1056"/>
      <c r="J79" s="184"/>
    </row>
    <row r="80" spans="2:10" x14ac:dyDescent="0.35">
      <c r="B80" s="664" t="str">
        <f xml:space="preserve"> "Maximum Input, " &amp; IF('General Info &amp; Test Results'!F15="","",IF('General Info &amp; Test Results'!F15="Electric","W","Btu/h"))</f>
        <v xml:space="preserve">Maximum Input, </v>
      </c>
      <c r="C80" s="202"/>
      <c r="D80" s="153"/>
      <c r="E80" s="336" t="str">
        <f>IF(OR(C80="",C79="",'General Info &amp; Test Results'!$F$15="Electric"),"",IF(AND(C80&gt;=G80,C80&lt;=G81),"Yes","No"))</f>
        <v/>
      </c>
      <c r="F80" s="153"/>
      <c r="G80" s="147" t="str">
        <f>IF(C79="","",IF('General Info &amp; Test Results'!$F$15="Electric","None",$C$79-$C$79*Constants!$E$63/100))</f>
        <v/>
      </c>
      <c r="H80" s="155" t="str">
        <f>IF('General Info &amp; Test Results'!$F$15="","",IF('General Info &amp; Test Results'!$F$15="Electric","","Btu/h"))</f>
        <v/>
      </c>
      <c r="J80" s="184"/>
    </row>
    <row r="81" spans="1:10" x14ac:dyDescent="0.35">
      <c r="B81" s="198"/>
      <c r="C81" s="574"/>
      <c r="D81" s="153"/>
      <c r="E81" s="254"/>
      <c r="F81" s="153"/>
      <c r="G81" s="147" t="str">
        <f>IF(C79="","",IF('General Info &amp; Test Results'!$F$15="Electric","None",$C$79+$C$79*Constants!$E$63/100))</f>
        <v/>
      </c>
      <c r="H81" s="155" t="str">
        <f>IF('General Info &amp; Test Results'!$F$15="","",IF('General Info &amp; Test Results'!$F$15="Electric","","Btu/h"))</f>
        <v/>
      </c>
      <c r="J81" s="184"/>
    </row>
    <row r="82" spans="1:10" x14ac:dyDescent="0.35">
      <c r="B82" s="198"/>
      <c r="C82" s="574" t="s">
        <v>403</v>
      </c>
      <c r="D82" s="153"/>
      <c r="E82" s="254"/>
      <c r="F82" s="153"/>
      <c r="G82" s="254"/>
      <c r="H82" s="365"/>
      <c r="J82" s="184"/>
    </row>
    <row r="83" spans="1:10" x14ac:dyDescent="0.35">
      <c r="B83" s="669" t="s">
        <v>400</v>
      </c>
      <c r="C83" s="147" t="str">
        <f>IF('General Info &amp; Test Results'!$C$39="","",'General Info &amp; Test Results'!$C$39)</f>
        <v/>
      </c>
      <c r="D83" s="153"/>
      <c r="E83" s="153"/>
      <c r="F83" s="153"/>
      <c r="G83" s="236"/>
      <c r="H83" s="255"/>
      <c r="J83" s="184"/>
    </row>
    <row r="84" spans="1:10" x14ac:dyDescent="0.35">
      <c r="B84" s="664" t="s">
        <v>401</v>
      </c>
      <c r="C84" s="202"/>
      <c r="D84" s="153"/>
      <c r="E84" s="153"/>
      <c r="F84" s="153"/>
      <c r="G84" s="153"/>
      <c r="H84" s="154"/>
      <c r="J84" s="184"/>
    </row>
    <row r="85" spans="1:10" ht="16" thickBot="1" x14ac:dyDescent="0.4">
      <c r="B85" s="665" t="s">
        <v>402</v>
      </c>
      <c r="C85" s="203"/>
      <c r="D85" s="222"/>
      <c r="E85" s="197"/>
      <c r="F85" s="197"/>
      <c r="G85" s="197"/>
      <c r="H85" s="226"/>
      <c r="J85" s="184"/>
    </row>
    <row r="86" spans="1:10" ht="16.5" thickTop="1" thickBot="1" x14ac:dyDescent="0.4">
      <c r="B86" s="1036" t="s">
        <v>382</v>
      </c>
      <c r="C86" s="1037"/>
      <c r="D86" s="1037"/>
      <c r="E86" s="1037"/>
      <c r="F86" s="1037"/>
      <c r="G86" s="1037"/>
      <c r="H86" s="1038"/>
      <c r="J86" s="184"/>
    </row>
    <row r="87" spans="1:10" ht="27" customHeight="1" thickTop="1" x14ac:dyDescent="0.35">
      <c r="B87" s="1033" t="str">
        <f>IF(OR('General Info &amp; Test Results'!$C$19='Drop-Downs'!$B$11,'General Info &amp; Test Results'!$C$19='Drop-Downs'!$B$15),"The dry bulb temperature shall be maintained at 67.5 °F ±1 °F (19.7 °C ±0.6 °F).","Not used for this water heater type.")</f>
        <v>Not used for this water heater type.</v>
      </c>
      <c r="C87" s="1034"/>
      <c r="D87" s="1034"/>
      <c r="E87" s="1034"/>
      <c r="F87" s="1034"/>
      <c r="G87" s="1034"/>
      <c r="H87" s="1035"/>
      <c r="J87" s="184"/>
    </row>
    <row r="88" spans="1:10" x14ac:dyDescent="0.35">
      <c r="B88" s="198"/>
      <c r="C88" s="1029" t="s">
        <v>452</v>
      </c>
      <c r="D88" s="1029"/>
      <c r="E88" s="153"/>
      <c r="F88" s="153"/>
      <c r="G88" s="153"/>
      <c r="H88" s="154"/>
      <c r="J88" s="184"/>
    </row>
    <row r="89" spans="1:10" x14ac:dyDescent="0.35">
      <c r="B89" s="198"/>
      <c r="C89" s="659" t="s">
        <v>116</v>
      </c>
      <c r="D89" s="659" t="s">
        <v>117</v>
      </c>
      <c r="E89" s="660" t="s">
        <v>267</v>
      </c>
      <c r="F89" s="190"/>
      <c r="G89" s="1039" t="s">
        <v>316</v>
      </c>
      <c r="H89" s="1040"/>
      <c r="J89" s="184"/>
    </row>
    <row r="90" spans="1:10" x14ac:dyDescent="0.35">
      <c r="B90" s="664" t="str">
        <f>IF('General Info &amp; Test Results'!$F$13="Storage","1st-Hr Rating Test","Max GPM Test")</f>
        <v>Max GPM Test</v>
      </c>
      <c r="C90" s="202"/>
      <c r="D90" s="202"/>
      <c r="E90" s="336" t="str">
        <f>IF(OR(C90="",D90=""),"",IF(AND(C90&gt;=G90,D90&lt;=G91,D90&gt;=C90),"Yes","No"))</f>
        <v/>
      </c>
      <c r="F90" s="153"/>
      <c r="G90" s="147" t="str">
        <f>IF(OR('General Info &amp; Test Results'!$C$19='Drop-Downs'!$B$11,'General Info &amp; Test Results'!$C$19='Drop-Downs'!$B$15),Constants!$C$48-Constants!$E$48,"")</f>
        <v/>
      </c>
      <c r="H90" s="155" t="s">
        <v>93</v>
      </c>
      <c r="J90" s="184"/>
    </row>
    <row r="91" spans="1:10" ht="16" thickBot="1" x14ac:dyDescent="0.4">
      <c r="A91" s="185"/>
      <c r="B91" s="665" t="s">
        <v>6</v>
      </c>
      <c r="C91" s="203"/>
      <c r="D91" s="203"/>
      <c r="E91" s="577" t="str">
        <f>IF(OR(C91="",D91=""),"",IF(AND(C91&gt;=G90,D91&lt;=G91,D91&gt;=C91),"Yes","No"))</f>
        <v/>
      </c>
      <c r="F91" s="197"/>
      <c r="G91" s="173" t="str">
        <f>IF(OR('General Info &amp; Test Results'!$C$19='Drop-Downs'!$B$11,'General Info &amp; Test Results'!$C$19='Drop-Downs'!$B$15),Constants!$C$48+Constants!$E$48,"")</f>
        <v/>
      </c>
      <c r="H91" s="157" t="s">
        <v>93</v>
      </c>
      <c r="I91" s="185"/>
      <c r="J91" s="184"/>
    </row>
    <row r="92" spans="1:10" ht="16.5" thickTop="1" thickBot="1" x14ac:dyDescent="0.4">
      <c r="B92" s="1036" t="s">
        <v>383</v>
      </c>
      <c r="C92" s="1037"/>
      <c r="D92" s="1037"/>
      <c r="E92" s="1037"/>
      <c r="F92" s="1037"/>
      <c r="G92" s="1037"/>
      <c r="H92" s="1038"/>
      <c r="J92" s="184"/>
    </row>
    <row r="93" spans="1:10" ht="26.25" customHeight="1" thickTop="1" x14ac:dyDescent="0.35">
      <c r="B93" s="1033" t="str">
        <f>IF(OR('General Info &amp; Test Results'!$C$19='Drop-Downs'!$B$11,'General Info &amp; Test Results'!$C$19='Drop-Downs'!$B$15),"The relative humidity shall be maintained between 48% and 52%","Not used for this water heater type.")</f>
        <v>Not used for this water heater type.</v>
      </c>
      <c r="C93" s="1034"/>
      <c r="D93" s="1034"/>
      <c r="E93" s="1034"/>
      <c r="F93" s="1034"/>
      <c r="G93" s="1034"/>
      <c r="H93" s="1035"/>
      <c r="J93" s="184"/>
    </row>
    <row r="94" spans="1:10" x14ac:dyDescent="0.35">
      <c r="B94" s="198"/>
      <c r="C94" s="1029" t="s">
        <v>404</v>
      </c>
      <c r="D94" s="1029"/>
      <c r="E94" s="153"/>
      <c r="F94" s="153"/>
      <c r="G94" s="153"/>
      <c r="H94" s="154"/>
      <c r="J94" s="184"/>
    </row>
    <row r="95" spans="1:10" x14ac:dyDescent="0.35">
      <c r="B95" s="198"/>
      <c r="C95" s="659" t="s">
        <v>116</v>
      </c>
      <c r="D95" s="659" t="s">
        <v>117</v>
      </c>
      <c r="E95" s="660" t="s">
        <v>267</v>
      </c>
      <c r="F95" s="190"/>
      <c r="G95" s="1039" t="s">
        <v>316</v>
      </c>
      <c r="H95" s="1040"/>
      <c r="J95" s="184"/>
    </row>
    <row r="96" spans="1:10" x14ac:dyDescent="0.35">
      <c r="B96" s="664" t="str">
        <f>IF('General Info &amp; Test Results'!$F$13="Storage","1st-Hr Rating Test","Max GPM Test")</f>
        <v>Max GPM Test</v>
      </c>
      <c r="C96" s="202"/>
      <c r="D96" s="202"/>
      <c r="E96" s="336" t="str">
        <f>IF(OR(C96="",D96=""),"",IF(AND(C96&gt;=G96,D96&lt;=G97,D96&gt;=C96),"Yes","No"))</f>
        <v/>
      </c>
      <c r="F96" s="153"/>
      <c r="G96" s="147" t="str">
        <f>IF(OR('General Info &amp; Test Results'!$C$19='Drop-Downs'!$B$11,'General Info &amp; Test Results'!$C$19='Drop-Downs'!$B$15),Constants!$C$49-Constants!$E$49,"")</f>
        <v/>
      </c>
      <c r="H96" s="155" t="s">
        <v>258</v>
      </c>
      <c r="J96" s="184"/>
    </row>
    <row r="97" spans="1:23" s="227" customFormat="1" ht="16" thickBot="1" x14ac:dyDescent="0.4">
      <c r="B97" s="670" t="s">
        <v>6</v>
      </c>
      <c r="C97" s="228"/>
      <c r="D97" s="228"/>
      <c r="E97" s="560" t="str">
        <f>IF(OR(C97="",D97=""),"",IF(AND(C97&gt;=G96,D97&lt;=G97,D97&gt;=C97),"Yes","No"))</f>
        <v/>
      </c>
      <c r="F97" s="220"/>
      <c r="G97" s="229" t="str">
        <f>IF(OR('General Info &amp; Test Results'!$C$19='Drop-Downs'!$B$11,'General Info &amp; Test Results'!$C$19='Drop-Downs'!$B$15),Constants!$C$49+Constants!$E$49,"")</f>
        <v/>
      </c>
      <c r="H97" s="230" t="s">
        <v>258</v>
      </c>
      <c r="J97" s="231"/>
      <c r="K97" s="232"/>
      <c r="Q97" s="232"/>
      <c r="R97" s="232"/>
      <c r="S97" s="232"/>
      <c r="T97" s="232"/>
      <c r="U97" s="232"/>
      <c r="V97" s="232"/>
      <c r="W97" s="232"/>
    </row>
    <row r="98" spans="1:23" x14ac:dyDescent="0.35">
      <c r="B98" s="153"/>
      <c r="C98" s="153"/>
      <c r="D98" s="153"/>
      <c r="E98" s="153"/>
      <c r="J98" s="184"/>
    </row>
    <row r="99" spans="1:23" x14ac:dyDescent="0.35">
      <c r="A99" s="184"/>
      <c r="B99" s="156"/>
      <c r="C99" s="156"/>
      <c r="D99" s="156"/>
      <c r="E99" s="156"/>
      <c r="F99" s="184"/>
      <c r="G99" s="184"/>
      <c r="H99" s="184"/>
      <c r="I99" s="184"/>
      <c r="J99" s="184"/>
    </row>
    <row r="100" spans="1:23" x14ac:dyDescent="0.35">
      <c r="B100" s="153"/>
      <c r="C100" s="153"/>
      <c r="D100" s="153"/>
      <c r="E100" s="153"/>
    </row>
  </sheetData>
  <sheetProtection algorithmName="SHA-512" hashValue="HDAGKSeMN2nuXg7bojdqfesAFAXqoxW1G0YSOfMUJ0leTR+AqGRFqdaNSSlCaO/d2+WLhKzziDiRJTR2sOiRWQ==" saltValue="J2ZAmJAi6d41hrtTRJIYRA==" spinCount="100000" sheet="1" selectLockedCells="1"/>
  <mergeCells count="41">
    <mergeCell ref="B2:C2"/>
    <mergeCell ref="G95:H95"/>
    <mergeCell ref="B75:H75"/>
    <mergeCell ref="B77:H77"/>
    <mergeCell ref="B86:H86"/>
    <mergeCell ref="B87:H87"/>
    <mergeCell ref="B92:H92"/>
    <mergeCell ref="B93:H93"/>
    <mergeCell ref="C94:D94"/>
    <mergeCell ref="C88:D88"/>
    <mergeCell ref="B78:H78"/>
    <mergeCell ref="G79:H79"/>
    <mergeCell ref="B74:H74"/>
    <mergeCell ref="G27:H27"/>
    <mergeCell ref="G43:H43"/>
    <mergeCell ref="G89:H89"/>
    <mergeCell ref="G71:H71"/>
    <mergeCell ref="C61:D61"/>
    <mergeCell ref="B30:H30"/>
    <mergeCell ref="B31:H31"/>
    <mergeCell ref="B60:H60"/>
    <mergeCell ref="G65:H65"/>
    <mergeCell ref="G36:H36"/>
    <mergeCell ref="B46:H46"/>
    <mergeCell ref="G51:H51"/>
    <mergeCell ref="G57:H57"/>
    <mergeCell ref="C32:D32"/>
    <mergeCell ref="C40:D40"/>
    <mergeCell ref="C47:D47"/>
    <mergeCell ref="C25:D25"/>
    <mergeCell ref="B10:H10"/>
    <mergeCell ref="B24:H24"/>
    <mergeCell ref="B11:H11"/>
    <mergeCell ref="B12:H12"/>
    <mergeCell ref="B17:H17"/>
    <mergeCell ref="B18:H18"/>
    <mergeCell ref="B23:H23"/>
    <mergeCell ref="G14:H14"/>
    <mergeCell ref="G20:H20"/>
    <mergeCell ref="C13:D13"/>
    <mergeCell ref="C19:D19"/>
  </mergeCells>
  <dataValidations count="1">
    <dataValidation type="list" allowBlank="1" showInputMessage="1" showErrorMessage="1" sqref="C33 C69 C62 C55 C48 C41" xr:uid="{00000000-0002-0000-0400-000000000000}">
      <formula1>DD_YesNo</formula1>
    </dataValidation>
  </dataValidations>
  <hyperlinks>
    <hyperlink ref="D2" location="Instructions!A1" display="Back to Instructions tab" xr:uid="{00000000-0004-0000-0400-000000000000}"/>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70C0"/>
  </sheetPr>
  <dimension ref="A1:H91"/>
  <sheetViews>
    <sheetView showGridLines="0" zoomScale="80" zoomScaleNormal="80" workbookViewId="0">
      <selection activeCell="C22" sqref="C22"/>
    </sheetView>
  </sheetViews>
  <sheetFormatPr defaultColWidth="9.08984375" defaultRowHeight="15.5" x14ac:dyDescent="0.4"/>
  <cols>
    <col min="1" max="1" width="2.90625" style="51" customWidth="1"/>
    <col min="2" max="2" width="64.453125" style="51" customWidth="1"/>
    <col min="3" max="3" width="31.90625" style="51" customWidth="1"/>
    <col min="4" max="4" width="27.6328125" style="51" customWidth="1"/>
    <col min="5" max="5" width="23.08984375" style="51" customWidth="1"/>
    <col min="6" max="6" width="23.90625" style="51" bestFit="1" customWidth="1"/>
    <col min="7" max="7" width="4" style="51" customWidth="1"/>
    <col min="8" max="8" width="3.54296875" style="51" customWidth="1"/>
    <col min="9" max="16384" width="9.08984375" style="51"/>
  </cols>
  <sheetData>
    <row r="1" spans="2:8" ht="16" thickBot="1" x14ac:dyDescent="0.45">
      <c r="H1" s="123"/>
    </row>
    <row r="2" spans="2:8" ht="16" thickBot="1" x14ac:dyDescent="0.45">
      <c r="B2" s="1079" t="s">
        <v>12</v>
      </c>
      <c r="C2" s="1080"/>
      <c r="D2" s="1081"/>
      <c r="F2" s="239" t="s">
        <v>51</v>
      </c>
      <c r="H2" s="123"/>
    </row>
    <row r="3" spans="2:8" x14ac:dyDescent="0.4">
      <c r="B3" s="610" t="str">
        <f>'Version Control'!B3</f>
        <v>Test Report Template Name:</v>
      </c>
      <c r="C3" s="1082" t="str">
        <f>'Version Control'!C3</f>
        <v>Consumer Water Heater, UEF</v>
      </c>
      <c r="D3" s="1083"/>
      <c r="H3" s="123"/>
    </row>
    <row r="4" spans="2:8" x14ac:dyDescent="0.4">
      <c r="B4" s="611" t="str">
        <f>'Version Control'!B4</f>
        <v>Version Number:</v>
      </c>
      <c r="C4" s="1084" t="str">
        <f>'Version Control'!C4</f>
        <v>v1.3</v>
      </c>
      <c r="D4" s="1085"/>
      <c r="H4" s="123"/>
    </row>
    <row r="5" spans="2:8" x14ac:dyDescent="0.4">
      <c r="B5" s="611" t="str">
        <f>'Version Control'!B5</f>
        <v xml:space="preserve">Latest Template Revision: </v>
      </c>
      <c r="C5" s="1086">
        <f>'Version Control'!C5</f>
        <v>43643</v>
      </c>
      <c r="D5" s="1087"/>
      <c r="H5" s="123"/>
    </row>
    <row r="6" spans="2:8" x14ac:dyDescent="0.4">
      <c r="B6" s="611" t="str">
        <f>'Version Control'!B6</f>
        <v>Tab Name:</v>
      </c>
      <c r="C6" s="1084" t="str">
        <f ca="1">MID(CELL("filename",A1), FIND("]", CELL("filename", A1))+ 1, 255)</f>
        <v>Outlet Temperature</v>
      </c>
      <c r="D6" s="1085"/>
      <c r="H6" s="123"/>
    </row>
    <row r="7" spans="2:8" ht="16" thickBot="1" x14ac:dyDescent="0.45">
      <c r="B7" s="612" t="str">
        <f>'Version Control'!B7</f>
        <v>File Name:</v>
      </c>
      <c r="C7" s="1075" t="str">
        <f ca="1">'Version Control'!C7</f>
        <v>Consumer Water Heater, UEF - v1.3.xlsx</v>
      </c>
      <c r="D7" s="1076"/>
      <c r="H7" s="123"/>
    </row>
    <row r="8" spans="2:8" x14ac:dyDescent="0.4">
      <c r="H8" s="123"/>
    </row>
    <row r="9" spans="2:8" ht="16" thickBot="1" x14ac:dyDescent="0.45">
      <c r="H9" s="123"/>
    </row>
    <row r="10" spans="2:8" ht="16" thickBot="1" x14ac:dyDescent="0.45">
      <c r="B10" s="1058" t="s">
        <v>406</v>
      </c>
      <c r="C10" s="1059"/>
      <c r="D10" s="1060"/>
      <c r="H10" s="123"/>
    </row>
    <row r="11" spans="2:8" x14ac:dyDescent="0.4">
      <c r="B11" s="649" t="s">
        <v>91</v>
      </c>
      <c r="C11" s="415" t="s">
        <v>81</v>
      </c>
      <c r="D11" s="49"/>
      <c r="H11" s="123"/>
    </row>
    <row r="12" spans="2:8" x14ac:dyDescent="0.4">
      <c r="B12" s="50"/>
      <c r="C12" s="134"/>
      <c r="D12" s="49"/>
      <c r="H12" s="123"/>
    </row>
    <row r="13" spans="2:8" x14ac:dyDescent="0.4">
      <c r="B13" s="650" t="s">
        <v>408</v>
      </c>
      <c r="C13" s="202"/>
      <c r="D13" s="49"/>
      <c r="H13" s="123"/>
    </row>
    <row r="14" spans="2:8" x14ac:dyDescent="0.4">
      <c r="B14" s="650" t="s">
        <v>407</v>
      </c>
      <c r="C14" s="202"/>
      <c r="D14" s="49"/>
      <c r="H14" s="123"/>
    </row>
    <row r="15" spans="2:8" x14ac:dyDescent="0.4">
      <c r="B15" s="50"/>
      <c r="C15" s="134"/>
      <c r="D15" s="49"/>
      <c r="H15" s="123"/>
    </row>
    <row r="16" spans="2:8" x14ac:dyDescent="0.4">
      <c r="B16" s="1077" t="s">
        <v>446</v>
      </c>
      <c r="C16" s="1078"/>
      <c r="D16" s="593" t="s">
        <v>447</v>
      </c>
      <c r="H16" s="123"/>
    </row>
    <row r="17" spans="2:8" ht="38.25" customHeight="1" thickBot="1" x14ac:dyDescent="0.45">
      <c r="B17" s="1067" t="str">
        <f>"Use Box Below Labeled: " &amp; IF(OR(C13="",C14=""),"",IF(C13="Yes",B20,IF(C14="Yes",B25,B66)))</f>
        <v xml:space="preserve">Use Box Below Labeled: </v>
      </c>
      <c r="C17" s="1068"/>
      <c r="D17" s="648" t="str">
        <f>IF(OR(C13="",C14="",C13="N/A",C14="N/A"),"",IF(C13="Yes",1,IF(C14="Yes",2,3)))</f>
        <v/>
      </c>
      <c r="H17" s="123"/>
    </row>
    <row r="18" spans="2:8" x14ac:dyDescent="0.4">
      <c r="H18" s="123"/>
    </row>
    <row r="19" spans="2:8" ht="16" thickBot="1" x14ac:dyDescent="0.45">
      <c r="H19" s="123"/>
    </row>
    <row r="20" spans="2:8" ht="16" thickBot="1" x14ac:dyDescent="0.45">
      <c r="B20" s="1058" t="s">
        <v>411</v>
      </c>
      <c r="C20" s="1059"/>
      <c r="D20" s="1060"/>
      <c r="H20" s="123"/>
    </row>
    <row r="21" spans="2:8" ht="122.25" customHeight="1" x14ac:dyDescent="0.4">
      <c r="B21" s="1069" t="s">
        <v>410</v>
      </c>
      <c r="C21" s="1070"/>
      <c r="D21" s="1071"/>
      <c r="H21" s="123"/>
    </row>
    <row r="22" spans="2:8" x14ac:dyDescent="0.4">
      <c r="B22" s="639" t="s">
        <v>409</v>
      </c>
      <c r="C22" s="202"/>
      <c r="D22" s="593" t="s">
        <v>93</v>
      </c>
      <c r="H22" s="123"/>
    </row>
    <row r="23" spans="2:8" ht="16" thickBot="1" x14ac:dyDescent="0.45">
      <c r="B23" s="651" t="s">
        <v>418</v>
      </c>
      <c r="C23" s="416" t="str">
        <f>IF(OR(D17&lt;&gt;1,C22=""),"",IF(AND(C22&gt;=125-5,C22&lt;=125+5),"Yes","No"))</f>
        <v/>
      </c>
      <c r="D23" s="594"/>
      <c r="H23" s="123"/>
    </row>
    <row r="24" spans="2:8" ht="16" thickBot="1" x14ac:dyDescent="0.45">
      <c r="H24" s="123"/>
    </row>
    <row r="25" spans="2:8" ht="16" thickBot="1" x14ac:dyDescent="0.45">
      <c r="B25" s="1058" t="s">
        <v>419</v>
      </c>
      <c r="C25" s="1059"/>
      <c r="D25" s="1059"/>
      <c r="E25" s="1060"/>
      <c r="H25" s="123"/>
    </row>
    <row r="26" spans="2:8" ht="123" customHeight="1" x14ac:dyDescent="0.4">
      <c r="B26" s="1061" t="s">
        <v>412</v>
      </c>
      <c r="C26" s="1062"/>
      <c r="D26" s="1062"/>
      <c r="E26" s="1063"/>
      <c r="H26" s="123"/>
    </row>
    <row r="27" spans="2:8" x14ac:dyDescent="0.4">
      <c r="B27" s="656" t="s">
        <v>362</v>
      </c>
      <c r="C27" s="821" t="str">
        <f>IF(OR(D17&lt;&gt;2,'General Info &amp; Test Results'!C32=""),"",'General Info &amp; Test Results'!C32)</f>
        <v/>
      </c>
      <c r="D27" s="134"/>
      <c r="E27" s="49"/>
      <c r="H27" s="123"/>
    </row>
    <row r="28" spans="2:8" x14ac:dyDescent="0.4">
      <c r="B28" s="639" t="s">
        <v>444</v>
      </c>
      <c r="C28" s="385" t="str">
        <f>IF($C$27="","",IF($C$27&lt;20,1,1.7))</f>
        <v/>
      </c>
      <c r="D28" s="134"/>
      <c r="E28" s="49"/>
      <c r="H28" s="123"/>
    </row>
    <row r="29" spans="2:8" x14ac:dyDescent="0.4">
      <c r="B29" s="639" t="s">
        <v>413</v>
      </c>
      <c r="C29" s="385" t="str">
        <f>IF($C$27="","",IF($C$27&lt;20,0.25,0.25))</f>
        <v/>
      </c>
      <c r="D29" s="134"/>
      <c r="E29" s="49"/>
      <c r="H29" s="123"/>
    </row>
    <row r="30" spans="2:8" x14ac:dyDescent="0.4">
      <c r="B30" s="639" t="s">
        <v>414</v>
      </c>
      <c r="C30" s="385" t="str">
        <f>IF($C$27="","",IF($C$27&lt;20,2,5))</f>
        <v/>
      </c>
      <c r="D30" s="134"/>
      <c r="E30" s="49"/>
      <c r="H30" s="123"/>
    </row>
    <row r="31" spans="2:8" x14ac:dyDescent="0.4">
      <c r="B31" s="50"/>
      <c r="C31" s="134"/>
      <c r="D31" s="134"/>
      <c r="E31" s="49"/>
      <c r="H31" s="123"/>
    </row>
    <row r="32" spans="2:8" x14ac:dyDescent="0.4">
      <c r="B32" s="639" t="s">
        <v>416</v>
      </c>
      <c r="C32" s="202"/>
      <c r="D32" s="134"/>
      <c r="E32" s="49"/>
      <c r="H32" s="123"/>
    </row>
    <row r="33" spans="2:8" x14ac:dyDescent="0.4">
      <c r="B33" s="639" t="s">
        <v>417</v>
      </c>
      <c r="C33" s="202"/>
      <c r="D33" s="134"/>
      <c r="E33" s="49"/>
      <c r="H33" s="123"/>
    </row>
    <row r="34" spans="2:8" x14ac:dyDescent="0.4">
      <c r="B34" s="639" t="str">
        <f>"Within Tolerance of " &amp; C28 &amp; " gpm ± " &amp; C29 &amp; " gpm"</f>
        <v>Within Tolerance of  gpm ±  gpm</v>
      </c>
      <c r="C34" s="417" t="str">
        <f>IF(OR(C32="",C33="",C27=""),"",IF(AND(C32&gt;=C28-C29,C33&lt;=C28+C29,C33&gt;=C32),"Yes","No"))</f>
        <v/>
      </c>
      <c r="D34" s="134"/>
      <c r="E34" s="49"/>
      <c r="H34" s="123"/>
    </row>
    <row r="35" spans="2:8" x14ac:dyDescent="0.4">
      <c r="B35" s="50"/>
      <c r="C35" s="134"/>
      <c r="D35" s="134"/>
      <c r="E35" s="49"/>
      <c r="H35" s="123"/>
    </row>
    <row r="36" spans="2:8" x14ac:dyDescent="0.4">
      <c r="B36" s="639" t="s">
        <v>438</v>
      </c>
      <c r="C36" s="161" t="str">
        <f ca="1">IF(OR($C$45="",C27=""),"",MIN(OFFSET($A$1,ROW($B$45)-1,COLUMN($C$44)-1,$C$30*60/15,1)))</f>
        <v/>
      </c>
      <c r="D36" s="134"/>
      <c r="E36" s="49"/>
      <c r="H36" s="123"/>
    </row>
    <row r="37" spans="2:8" x14ac:dyDescent="0.4">
      <c r="B37" s="639" t="s">
        <v>439</v>
      </c>
      <c r="C37" s="161" t="str">
        <f ca="1">IF(OR($C$45="",C27=""),"",MAX(OFFSET($A$1,ROW($B$45)-1,COLUMN($C$44)-1,$C$30*60/15,1)))</f>
        <v/>
      </c>
      <c r="D37" s="134"/>
      <c r="E37" s="49"/>
      <c r="H37" s="123"/>
    </row>
    <row r="38" spans="2:8" x14ac:dyDescent="0.4">
      <c r="B38" s="639" t="s">
        <v>580</v>
      </c>
      <c r="C38" s="417" t="str">
        <f ca="1">IF(OR(C36="",C37=""),"",IF(AND(C36&gt;=58-2,C37&lt;=58+2,C37&gt;=C36),"Yes","No"))</f>
        <v/>
      </c>
      <c r="D38" s="134"/>
      <c r="E38" s="49"/>
      <c r="H38" s="123"/>
    </row>
    <row r="39" spans="2:8" x14ac:dyDescent="0.4">
      <c r="B39" s="50"/>
      <c r="C39" s="134"/>
      <c r="D39" s="134"/>
      <c r="E39" s="49"/>
      <c r="H39" s="123"/>
    </row>
    <row r="40" spans="2:8" x14ac:dyDescent="0.4">
      <c r="B40" s="652" t="s">
        <v>554</v>
      </c>
      <c r="C40" s="161" t="str">
        <f ca="1">IF(OR($D$45="",C27=""),"",MAX(OFFSET($A$1,ROW($B$45)-1,COLUMN($D$44)-1,$C$30*60/15,1)))</f>
        <v/>
      </c>
      <c r="D40" s="134"/>
      <c r="E40" s="49"/>
      <c r="H40" s="123"/>
    </row>
    <row r="41" spans="2:8" x14ac:dyDescent="0.4">
      <c r="B41" s="639" t="s">
        <v>418</v>
      </c>
      <c r="C41" s="417" t="str">
        <f ca="1">IF(C40="","",IF(AND(C40&gt;=125-5,C40&lt;=125+5),"Yes","No"))</f>
        <v/>
      </c>
      <c r="D41" s="134"/>
      <c r="E41" s="49"/>
      <c r="H41" s="123"/>
    </row>
    <row r="42" spans="2:8" ht="16" thickBot="1" x14ac:dyDescent="0.45">
      <c r="B42" s="50"/>
      <c r="C42" s="134"/>
      <c r="D42" s="134"/>
      <c r="E42" s="49"/>
      <c r="H42" s="123"/>
    </row>
    <row r="43" spans="2:8" ht="16" thickBot="1" x14ac:dyDescent="0.45">
      <c r="B43" s="1072" t="s">
        <v>132</v>
      </c>
      <c r="C43" s="1073"/>
      <c r="D43" s="1074"/>
      <c r="E43" s="49"/>
      <c r="H43" s="123"/>
    </row>
    <row r="44" spans="2:8" x14ac:dyDescent="0.4">
      <c r="B44" s="374" t="s">
        <v>415</v>
      </c>
      <c r="C44" s="418" t="s">
        <v>581</v>
      </c>
      <c r="D44" s="419" t="s">
        <v>582</v>
      </c>
      <c r="E44" s="49"/>
      <c r="H44" s="123"/>
    </row>
    <row r="45" spans="2:8" x14ac:dyDescent="0.4">
      <c r="B45" s="246">
        <v>15</v>
      </c>
      <c r="C45" s="202"/>
      <c r="D45" s="387"/>
      <c r="E45" s="49"/>
      <c r="H45" s="123"/>
    </row>
    <row r="46" spans="2:8" x14ac:dyDescent="0.4">
      <c r="B46" s="246">
        <v>30</v>
      </c>
      <c r="C46" s="202"/>
      <c r="D46" s="387"/>
      <c r="E46" s="49"/>
      <c r="H46" s="123"/>
    </row>
    <row r="47" spans="2:8" x14ac:dyDescent="0.4">
      <c r="B47" s="246">
        <v>45</v>
      </c>
      <c r="C47" s="202"/>
      <c r="D47" s="387"/>
      <c r="E47" s="49"/>
      <c r="H47" s="123"/>
    </row>
    <row r="48" spans="2:8" x14ac:dyDescent="0.4">
      <c r="B48" s="246">
        <v>60</v>
      </c>
      <c r="C48" s="202"/>
      <c r="D48" s="387"/>
      <c r="E48" s="49"/>
      <c r="H48" s="123"/>
    </row>
    <row r="49" spans="2:8" x14ac:dyDescent="0.4">
      <c r="B49" s="246">
        <v>75</v>
      </c>
      <c r="C49" s="202"/>
      <c r="D49" s="387"/>
      <c r="E49" s="49"/>
      <c r="H49" s="123"/>
    </row>
    <row r="50" spans="2:8" x14ac:dyDescent="0.4">
      <c r="B50" s="246">
        <v>90</v>
      </c>
      <c r="C50" s="202"/>
      <c r="D50" s="387"/>
      <c r="E50" s="49"/>
      <c r="H50" s="123"/>
    </row>
    <row r="51" spans="2:8" x14ac:dyDescent="0.4">
      <c r="B51" s="246">
        <v>105</v>
      </c>
      <c r="C51" s="202"/>
      <c r="D51" s="387"/>
      <c r="E51" s="49"/>
      <c r="H51" s="123"/>
    </row>
    <row r="52" spans="2:8" x14ac:dyDescent="0.4">
      <c r="B52" s="246">
        <v>120</v>
      </c>
      <c r="C52" s="202"/>
      <c r="D52" s="387"/>
      <c r="E52" s="49"/>
      <c r="H52" s="123"/>
    </row>
    <row r="53" spans="2:8" x14ac:dyDescent="0.4">
      <c r="B53" s="246">
        <v>135</v>
      </c>
      <c r="C53" s="202"/>
      <c r="D53" s="387"/>
      <c r="E53" s="49"/>
      <c r="H53" s="123"/>
    </row>
    <row r="54" spans="2:8" x14ac:dyDescent="0.4">
      <c r="B54" s="246">
        <v>150</v>
      </c>
      <c r="C54" s="202"/>
      <c r="D54" s="387"/>
      <c r="E54" s="49"/>
      <c r="H54" s="123"/>
    </row>
    <row r="55" spans="2:8" x14ac:dyDescent="0.4">
      <c r="B55" s="246">
        <v>165</v>
      </c>
      <c r="C55" s="202"/>
      <c r="D55" s="387"/>
      <c r="E55" s="49"/>
      <c r="H55" s="123"/>
    </row>
    <row r="56" spans="2:8" x14ac:dyDescent="0.4">
      <c r="B56" s="246">
        <v>180</v>
      </c>
      <c r="C56" s="202"/>
      <c r="D56" s="387"/>
      <c r="E56" s="49"/>
      <c r="H56" s="123"/>
    </row>
    <row r="57" spans="2:8" x14ac:dyDescent="0.4">
      <c r="B57" s="246">
        <v>195</v>
      </c>
      <c r="C57" s="202"/>
      <c r="D57" s="387"/>
      <c r="E57" s="49"/>
      <c r="H57" s="123"/>
    </row>
    <row r="58" spans="2:8" x14ac:dyDescent="0.4">
      <c r="B58" s="246">
        <v>210</v>
      </c>
      <c r="C58" s="202"/>
      <c r="D58" s="387"/>
      <c r="E58" s="49"/>
      <c r="H58" s="123"/>
    </row>
    <row r="59" spans="2:8" x14ac:dyDescent="0.4">
      <c r="B59" s="246">
        <v>225</v>
      </c>
      <c r="C59" s="202"/>
      <c r="D59" s="387"/>
      <c r="E59" s="49"/>
      <c r="H59" s="123"/>
    </row>
    <row r="60" spans="2:8" x14ac:dyDescent="0.4">
      <c r="B60" s="246">
        <v>240</v>
      </c>
      <c r="C60" s="202"/>
      <c r="D60" s="387"/>
      <c r="E60" s="49"/>
      <c r="H60" s="123"/>
    </row>
    <row r="61" spans="2:8" x14ac:dyDescent="0.4">
      <c r="B61" s="246">
        <v>255</v>
      </c>
      <c r="C61" s="202"/>
      <c r="D61" s="387"/>
      <c r="E61" s="49"/>
      <c r="H61" s="123"/>
    </row>
    <row r="62" spans="2:8" x14ac:dyDescent="0.4">
      <c r="B62" s="246">
        <v>270</v>
      </c>
      <c r="C62" s="202"/>
      <c r="D62" s="387"/>
      <c r="E62" s="49"/>
      <c r="H62" s="123"/>
    </row>
    <row r="63" spans="2:8" x14ac:dyDescent="0.4">
      <c r="B63" s="246">
        <v>285</v>
      </c>
      <c r="C63" s="202"/>
      <c r="D63" s="387"/>
      <c r="E63" s="49"/>
      <c r="H63" s="123"/>
    </row>
    <row r="64" spans="2:8" ht="16" thickBot="1" x14ac:dyDescent="0.45">
      <c r="B64" s="249">
        <v>300</v>
      </c>
      <c r="C64" s="228"/>
      <c r="D64" s="420"/>
      <c r="E64" s="158"/>
      <c r="H64" s="123"/>
    </row>
    <row r="65" spans="2:8" ht="16" thickBot="1" x14ac:dyDescent="0.45">
      <c r="H65" s="123"/>
    </row>
    <row r="66" spans="2:8" ht="16" thickBot="1" x14ac:dyDescent="0.45">
      <c r="B66" s="1058" t="s">
        <v>445</v>
      </c>
      <c r="C66" s="1059"/>
      <c r="D66" s="1059"/>
      <c r="E66" s="1060"/>
      <c r="H66" s="123"/>
    </row>
    <row r="67" spans="2:8" ht="138" customHeight="1" x14ac:dyDescent="0.4">
      <c r="B67" s="1061" t="s">
        <v>420</v>
      </c>
      <c r="C67" s="1062"/>
      <c r="D67" s="1062"/>
      <c r="E67" s="1063"/>
      <c r="H67" s="123"/>
    </row>
    <row r="68" spans="2:8" x14ac:dyDescent="0.4">
      <c r="B68" s="50"/>
      <c r="C68" s="134"/>
      <c r="D68" s="134"/>
      <c r="E68" s="49"/>
      <c r="H68" s="123"/>
    </row>
    <row r="69" spans="2:8" ht="15" customHeight="1" x14ac:dyDescent="0.4">
      <c r="B69" s="1064" t="s">
        <v>421</v>
      </c>
      <c r="C69" s="1065"/>
      <c r="D69" s="1065"/>
      <c r="E69" s="1066"/>
      <c r="H69" s="123"/>
    </row>
    <row r="70" spans="2:8" x14ac:dyDescent="0.4">
      <c r="B70" s="1064"/>
      <c r="C70" s="1065"/>
      <c r="D70" s="1065"/>
      <c r="E70" s="1066"/>
      <c r="H70" s="123"/>
    </row>
    <row r="71" spans="2:8" x14ac:dyDescent="0.4">
      <c r="B71" s="656" t="s">
        <v>422</v>
      </c>
      <c r="C71" s="821" t="str">
        <f>IF(OR(D17&lt;&gt;3,'1st-Hr Rating Test'!C37=""),"",'1st-Hr Rating Test'!C37/60)</f>
        <v/>
      </c>
      <c r="D71" s="134"/>
      <c r="E71" s="49"/>
      <c r="H71" s="123"/>
    </row>
    <row r="72" spans="2:8" x14ac:dyDescent="0.4">
      <c r="B72" s="639" t="s">
        <v>448</v>
      </c>
      <c r="C72" s="385" t="str">
        <f>IF(D17&lt;&gt;3,"",(COUNTIF('1st-Hr Rating Test'!D82:D879,"&gt;=120")-1)*5+15)</f>
        <v/>
      </c>
      <c r="D72" s="134"/>
      <c r="E72" s="49"/>
      <c r="H72" s="123"/>
    </row>
    <row r="73" spans="2:8" x14ac:dyDescent="0.4">
      <c r="B73" s="639" t="s">
        <v>583</v>
      </c>
      <c r="C73" s="385" t="str">
        <f>IF(C72="","",C72*C71)</f>
        <v/>
      </c>
      <c r="D73" s="134"/>
      <c r="E73" s="49"/>
      <c r="H73" s="123"/>
    </row>
    <row r="74" spans="2:8" x14ac:dyDescent="0.4">
      <c r="B74" s="639" t="s">
        <v>558</v>
      </c>
      <c r="C74" s="385" t="str">
        <f>IF(OR('1st-Hr Rating Test'!C55="",C73=""),"",'1st-Hr Rating Test'!C55)</f>
        <v/>
      </c>
      <c r="D74" s="134"/>
      <c r="E74" s="49"/>
      <c r="H74" s="123"/>
    </row>
    <row r="75" spans="2:8" x14ac:dyDescent="0.4">
      <c r="B75" s="639" t="s">
        <v>423</v>
      </c>
      <c r="C75" s="822" t="str">
        <f>IF(C73="","",IF(C73&gt;=C74/2,"Yes","No"))</f>
        <v/>
      </c>
      <c r="D75" s="134"/>
      <c r="E75" s="49"/>
      <c r="H75" s="123"/>
    </row>
    <row r="76" spans="2:8" x14ac:dyDescent="0.4">
      <c r="B76" s="50"/>
      <c r="C76" s="134"/>
      <c r="D76" s="134"/>
      <c r="E76" s="49"/>
      <c r="H76" s="123"/>
    </row>
    <row r="77" spans="2:8" ht="15" customHeight="1" x14ac:dyDescent="0.4">
      <c r="B77" s="1064" t="s">
        <v>424</v>
      </c>
      <c r="C77" s="1065"/>
      <c r="D77" s="1065"/>
      <c r="E77" s="1066"/>
      <c r="H77" s="123"/>
    </row>
    <row r="78" spans="2:8" x14ac:dyDescent="0.4">
      <c r="B78" s="1064"/>
      <c r="C78" s="1065"/>
      <c r="D78" s="1065"/>
      <c r="E78" s="1066"/>
      <c r="H78" s="123"/>
    </row>
    <row r="79" spans="2:8" x14ac:dyDescent="0.4">
      <c r="B79" s="656" t="s">
        <v>554</v>
      </c>
      <c r="C79" s="821" t="str">
        <f>IF(D17&lt;&gt;3,"",MAX('1st-Hr Rating Test'!C50:Q50))</f>
        <v/>
      </c>
      <c r="D79" s="134"/>
      <c r="E79" s="49"/>
      <c r="H79" s="123"/>
    </row>
    <row r="80" spans="2:8" x14ac:dyDescent="0.4">
      <c r="B80" s="639" t="s">
        <v>555</v>
      </c>
      <c r="C80" s="822" t="str">
        <f>IF(C79="","",IF(C79&lt;=130,"Yes","No"))</f>
        <v/>
      </c>
      <c r="D80" s="134"/>
      <c r="E80" s="49"/>
      <c r="H80" s="123"/>
    </row>
    <row r="81" spans="1:8" x14ac:dyDescent="0.4">
      <c r="B81" s="50"/>
      <c r="C81" s="134"/>
      <c r="D81" s="134"/>
      <c r="E81" s="49"/>
      <c r="H81" s="123"/>
    </row>
    <row r="82" spans="1:8" ht="15" customHeight="1" x14ac:dyDescent="0.4">
      <c r="B82" s="1064" t="s">
        <v>425</v>
      </c>
      <c r="C82" s="1065"/>
      <c r="D82" s="1065"/>
      <c r="E82" s="1066"/>
      <c r="H82" s="123"/>
    </row>
    <row r="83" spans="1:8" x14ac:dyDescent="0.4">
      <c r="B83" s="1064"/>
      <c r="C83" s="1065"/>
      <c r="D83" s="1065"/>
      <c r="E83" s="1066"/>
      <c r="H83" s="123"/>
    </row>
    <row r="84" spans="1:8" x14ac:dyDescent="0.4">
      <c r="B84" s="656" t="s">
        <v>426</v>
      </c>
      <c r="C84" s="821" t="str">
        <f ca="1">IF(OR(D17&lt;&gt;3,'1st-Hr Rating Test'!C17="",'1st-Hr Rating Test'!C18=""),"",IF('1st-Hr Rating Test'!C17="Yes",'1st-Hr Rating Test'!C18,'1st-Hr Rating Test'!C18-1))</f>
        <v/>
      </c>
      <c r="D84" s="134"/>
      <c r="E84" s="49"/>
      <c r="H84" s="123"/>
    </row>
    <row r="85" spans="1:8" x14ac:dyDescent="0.4">
      <c r="B85" s="639" t="s">
        <v>556</v>
      </c>
      <c r="C85" s="385" t="e">
        <f t="array" aca="1" ref="C85" ca="1">MIN(IF(MOD(COLUMN(OFFSET('1st-Hr Rating Test'!C82,0,0,1,C84*2))-COLUMN('1st-Hr Rating Test'!C81)+1,2)=0,OFFSET('1st-Hr Rating Test'!C82,0,0,1,C84*2)))</f>
        <v>#VALUE!</v>
      </c>
      <c r="D85" s="134"/>
      <c r="E85" s="49"/>
      <c r="H85" s="123"/>
    </row>
    <row r="86" spans="1:8" x14ac:dyDescent="0.4">
      <c r="B86" s="639" t="s">
        <v>557</v>
      </c>
      <c r="C86" s="385" t="e">
        <f t="array" aca="1" ref="C86" ca="1">MAX(IF(MOD(COLUMN(OFFSET('1st-Hr Rating Test'!C82,0,0,1,C84*2))-COLUMN('1st-Hr Rating Test'!C81)+1,2)=0,OFFSET('1st-Hr Rating Test'!C82,0,0,1,C84*2)))</f>
        <v>#VALUE!</v>
      </c>
      <c r="D86" s="134"/>
      <c r="E86" s="49"/>
      <c r="H86" s="123"/>
    </row>
    <row r="87" spans="1:8" x14ac:dyDescent="0.4">
      <c r="B87" s="639" t="s">
        <v>418</v>
      </c>
      <c r="C87" s="822" t="str">
        <f ca="1">IF(C84="","",IF(AND(C85&gt;=125-5,C86&lt;=125+5),"Yes","No"))</f>
        <v/>
      </c>
      <c r="D87" s="134"/>
      <c r="E87" s="49"/>
      <c r="H87" s="123"/>
    </row>
    <row r="88" spans="1:8" x14ac:dyDescent="0.4">
      <c r="B88" s="50"/>
      <c r="C88" s="134"/>
      <c r="D88" s="134"/>
      <c r="E88" s="49"/>
      <c r="H88" s="123"/>
    </row>
    <row r="89" spans="1:8" ht="16" thickBot="1" x14ac:dyDescent="0.45">
      <c r="B89" s="651" t="s">
        <v>427</v>
      </c>
      <c r="C89" s="823" t="str">
        <f ca="1">IF(OR(C75="",C80="",C87=""),"",IF(AND(C75="Yes",C80="Yes",C87="Yes"),"Yes","No"))</f>
        <v/>
      </c>
      <c r="D89" s="253"/>
      <c r="E89" s="158"/>
      <c r="H89" s="123"/>
    </row>
    <row r="90" spans="1:8" x14ac:dyDescent="0.4">
      <c r="H90" s="123"/>
    </row>
    <row r="91" spans="1:8" x14ac:dyDescent="0.4">
      <c r="A91" s="123"/>
      <c r="B91" s="123"/>
      <c r="C91" s="123"/>
      <c r="D91" s="123"/>
      <c r="E91" s="123"/>
      <c r="F91" s="123"/>
      <c r="G91" s="123"/>
      <c r="H91" s="123"/>
    </row>
  </sheetData>
  <sheetProtection algorithmName="SHA-512" hashValue="8PXfbaY+iXNDuRoo5WbueaZ/QidrnBZAiqgJSz+gq6CYhZl2OUjTjlk6YHT7X0ucok4cHdifcJGNRMG07uyJnA==" saltValue="M7pGujwJjAuIrdzBQ/nkCA==" spinCount="100000" sheet="1" selectLockedCells="1"/>
  <mergeCells count="19">
    <mergeCell ref="C7:D7"/>
    <mergeCell ref="B16:C16"/>
    <mergeCell ref="B2:D2"/>
    <mergeCell ref="C3:D3"/>
    <mergeCell ref="C4:D4"/>
    <mergeCell ref="C5:D5"/>
    <mergeCell ref="C6:D6"/>
    <mergeCell ref="B17:C17"/>
    <mergeCell ref="B10:D10"/>
    <mergeCell ref="B21:D21"/>
    <mergeCell ref="B20:D20"/>
    <mergeCell ref="B43:D43"/>
    <mergeCell ref="B25:E25"/>
    <mergeCell ref="B26:E26"/>
    <mergeCell ref="B66:E66"/>
    <mergeCell ref="B67:E67"/>
    <mergeCell ref="B69:E70"/>
    <mergeCell ref="B77:E78"/>
    <mergeCell ref="B82:E83"/>
  </mergeCells>
  <dataValidations count="1">
    <dataValidation type="list" allowBlank="1" showInputMessage="1" showErrorMessage="1" sqref="C13:C14" xr:uid="{00000000-0002-0000-0500-000000000000}">
      <formula1>DD_YesNo</formula1>
    </dataValidation>
  </dataValidations>
  <hyperlinks>
    <hyperlink ref="F2" location="Instructions!A1" display="Back to Instructions tab"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70C0"/>
  </sheetPr>
  <dimension ref="A1:AL884"/>
  <sheetViews>
    <sheetView showGridLines="0" zoomScale="80" zoomScaleNormal="80" workbookViewId="0">
      <selection activeCell="C59" sqref="C59"/>
    </sheetView>
  </sheetViews>
  <sheetFormatPr defaultColWidth="9.08984375" defaultRowHeight="15.5" x14ac:dyDescent="0.4"/>
  <cols>
    <col min="1" max="1" width="3.453125" style="51" customWidth="1"/>
    <col min="2" max="2" width="63.6328125" style="51" customWidth="1"/>
    <col min="3" max="3" width="37.453125" style="51" customWidth="1"/>
    <col min="4" max="4" width="34.6328125" style="51" customWidth="1"/>
    <col min="5" max="5" width="37.453125" style="51" customWidth="1"/>
    <col min="6" max="6" width="27.6328125" style="51" customWidth="1"/>
    <col min="7" max="7" width="20" style="51" customWidth="1"/>
    <col min="8" max="13" width="15.6328125" style="51" customWidth="1"/>
    <col min="14" max="14" width="18.6328125" style="51" bestFit="1" customWidth="1"/>
    <col min="15" max="19" width="15.6328125" style="51" customWidth="1"/>
    <col min="20" max="20" width="18.08984375" style="51" customWidth="1"/>
    <col min="21" max="21" width="17.90625" style="51" customWidth="1"/>
    <col min="22" max="33" width="15.6328125" style="51" customWidth="1"/>
    <col min="34" max="34" width="9.08984375" style="51"/>
    <col min="35" max="35" width="14.54296875" style="51" customWidth="1"/>
    <col min="36" max="36" width="18.36328125" style="51" customWidth="1"/>
    <col min="37" max="37" width="9.08984375" style="51"/>
    <col min="38" max="38" width="3.6328125" style="51" customWidth="1"/>
    <col min="39" max="16384" width="9.08984375" style="51"/>
  </cols>
  <sheetData>
    <row r="1" spans="2:38" ht="16" thickBot="1" x14ac:dyDescent="0.45">
      <c r="O1" s="207"/>
      <c r="W1" s="63"/>
      <c r="AL1" s="123"/>
    </row>
    <row r="2" spans="2:38" ht="16" thickBot="1" x14ac:dyDescent="0.45">
      <c r="B2" s="1025" t="s">
        <v>12</v>
      </c>
      <c r="C2" s="1026"/>
      <c r="D2" s="1027"/>
      <c r="F2" s="243" t="s">
        <v>51</v>
      </c>
      <c r="O2" s="207"/>
      <c r="W2" s="63"/>
      <c r="AL2" s="123"/>
    </row>
    <row r="3" spans="2:38" x14ac:dyDescent="0.4">
      <c r="B3" s="631" t="str">
        <f>'Version Control'!B3</f>
        <v>Test Report Template Name:</v>
      </c>
      <c r="C3" s="1015" t="str">
        <f>'Version Control'!C3</f>
        <v>Consumer Water Heater, UEF</v>
      </c>
      <c r="D3" s="1016"/>
      <c r="F3" s="134"/>
      <c r="G3" s="134"/>
      <c r="O3" s="207"/>
      <c r="W3" s="63"/>
      <c r="AL3" s="123"/>
    </row>
    <row r="4" spans="2:38" x14ac:dyDescent="0.4">
      <c r="B4" s="632" t="str">
        <f>'Version Control'!B4</f>
        <v>Version Number:</v>
      </c>
      <c r="C4" s="1017" t="str">
        <f>'Version Control'!C4</f>
        <v>v1.3</v>
      </c>
      <c r="D4" s="1018"/>
      <c r="F4" s="134"/>
      <c r="G4" s="134"/>
      <c r="O4" s="207"/>
      <c r="W4" s="63"/>
      <c r="AL4" s="123"/>
    </row>
    <row r="5" spans="2:38" x14ac:dyDescent="0.4">
      <c r="B5" s="632" t="str">
        <f>'Version Control'!B5</f>
        <v xml:space="preserve">Latest Template Revision: </v>
      </c>
      <c r="C5" s="1019">
        <f>'Version Control'!C5</f>
        <v>43643</v>
      </c>
      <c r="D5" s="1020"/>
      <c r="F5" s="134"/>
      <c r="G5" s="134"/>
      <c r="O5" s="207"/>
      <c r="W5" s="63"/>
      <c r="AL5" s="123"/>
    </row>
    <row r="6" spans="2:38" x14ac:dyDescent="0.4">
      <c r="B6" s="632" t="str">
        <f>'Version Control'!B6</f>
        <v>Tab Name:</v>
      </c>
      <c r="C6" s="1017" t="str">
        <f ca="1">MID(CELL("filename",A1), FIND("]", CELL("filename", A1))+ 1, 255)</f>
        <v>1st-Hr Rating Test</v>
      </c>
      <c r="D6" s="1018"/>
      <c r="O6" s="207"/>
      <c r="W6" s="63"/>
      <c r="AL6" s="123"/>
    </row>
    <row r="7" spans="2:38" ht="16" thickBot="1" x14ac:dyDescent="0.45">
      <c r="B7" s="633" t="str">
        <f>'Version Control'!B7</f>
        <v>File Name:</v>
      </c>
      <c r="C7" s="1013" t="str">
        <f ca="1">'Version Control'!C7</f>
        <v>Consumer Water Heater, UEF - v1.3.xlsx</v>
      </c>
      <c r="D7" s="1014"/>
      <c r="O7" s="207"/>
      <c r="W7" s="63"/>
      <c r="AL7" s="123"/>
    </row>
    <row r="8" spans="2:38" x14ac:dyDescent="0.4">
      <c r="O8" s="207"/>
      <c r="W8" s="63"/>
      <c r="AL8" s="123"/>
    </row>
    <row r="9" spans="2:38" ht="16" thickBot="1" x14ac:dyDescent="0.45">
      <c r="O9" s="207"/>
      <c r="W9" s="63"/>
      <c r="AL9" s="123"/>
    </row>
    <row r="10" spans="2:38" ht="16" thickBot="1" x14ac:dyDescent="0.45">
      <c r="B10" s="1095" t="s">
        <v>357</v>
      </c>
      <c r="C10" s="1096"/>
      <c r="D10" s="1096"/>
      <c r="E10" s="1096"/>
      <c r="F10" s="1096"/>
      <c r="G10" s="1096"/>
      <c r="H10" s="1096"/>
      <c r="I10" s="1096"/>
      <c r="J10" s="1096"/>
      <c r="K10" s="1096"/>
      <c r="L10" s="1096"/>
      <c r="M10" s="1096"/>
      <c r="N10" s="1096"/>
      <c r="O10" s="1096"/>
      <c r="P10" s="1096"/>
      <c r="Q10" s="1096"/>
      <c r="R10" s="1097"/>
      <c r="S10" s="134"/>
      <c r="W10" s="63"/>
      <c r="AL10" s="123"/>
    </row>
    <row r="11" spans="2:38" ht="48" customHeight="1" thickBot="1" x14ac:dyDescent="0.45">
      <c r="B11" s="1107" t="s">
        <v>125</v>
      </c>
      <c r="C11" s="1108"/>
      <c r="D11" s="1108"/>
      <c r="E11" s="1108"/>
      <c r="F11" s="1108"/>
      <c r="G11" s="1108"/>
      <c r="H11" s="1108"/>
      <c r="I11" s="1108"/>
      <c r="J11" s="1108"/>
      <c r="K11" s="1108"/>
      <c r="L11" s="1108"/>
      <c r="M11" s="1108"/>
      <c r="N11" s="1108"/>
      <c r="O11" s="1108"/>
      <c r="P11" s="1108"/>
      <c r="Q11" s="1108"/>
      <c r="R11" s="1109"/>
      <c r="S11" s="134"/>
      <c r="AD11" s="403" t="s">
        <v>577</v>
      </c>
      <c r="AE11" s="378"/>
      <c r="AF11" s="378"/>
      <c r="AG11" s="378"/>
      <c r="AH11" s="378"/>
      <c r="AI11" s="379"/>
      <c r="AL11" s="123"/>
    </row>
    <row r="12" spans="2:38" ht="16" thickBot="1" x14ac:dyDescent="0.45">
      <c r="B12" s="639" t="s">
        <v>91</v>
      </c>
      <c r="C12" s="174" t="s">
        <v>81</v>
      </c>
      <c r="D12" s="175"/>
      <c r="E12" s="134"/>
      <c r="F12" s="1072" t="s">
        <v>143</v>
      </c>
      <c r="G12" s="1073"/>
      <c r="H12" s="1074"/>
      <c r="J12" s="134"/>
      <c r="K12" s="134"/>
      <c r="L12" s="134"/>
      <c r="M12" s="134"/>
      <c r="N12" s="134"/>
      <c r="O12" s="134"/>
      <c r="P12" s="134"/>
      <c r="Q12" s="134"/>
      <c r="R12" s="49"/>
      <c r="S12" s="134"/>
      <c r="AD12" s="1110" t="s">
        <v>129</v>
      </c>
      <c r="AE12" s="1111"/>
      <c r="AF12" s="1112" t="s">
        <v>321</v>
      </c>
      <c r="AG12" s="1113"/>
      <c r="AH12" s="1112" t="s">
        <v>573</v>
      </c>
      <c r="AI12" s="1114"/>
      <c r="AL12" s="123"/>
    </row>
    <row r="13" spans="2:38" x14ac:dyDescent="0.4">
      <c r="B13" s="135"/>
      <c r="C13" s="136"/>
      <c r="D13" s="136"/>
      <c r="E13" s="134"/>
      <c r="F13" s="1100" t="s">
        <v>78</v>
      </c>
      <c r="G13" s="1102" t="s">
        <v>147</v>
      </c>
      <c r="H13" s="1103"/>
      <c r="J13" s="134"/>
      <c r="K13" s="134"/>
      <c r="L13" s="134"/>
      <c r="M13" s="134"/>
      <c r="N13" s="134"/>
      <c r="O13" s="134"/>
      <c r="P13" s="134"/>
      <c r="Q13" s="134"/>
      <c r="R13" s="49"/>
      <c r="S13" s="134"/>
      <c r="AD13" s="389" t="s">
        <v>327</v>
      </c>
      <c r="AE13" s="377" t="s">
        <v>328</v>
      </c>
      <c r="AF13" s="377" t="s">
        <v>327</v>
      </c>
      <c r="AG13" s="377" t="s">
        <v>328</v>
      </c>
      <c r="AH13" s="377" t="s">
        <v>327</v>
      </c>
      <c r="AI13" s="390" t="s">
        <v>328</v>
      </c>
      <c r="AL13" s="123"/>
    </row>
    <row r="14" spans="2:38" x14ac:dyDescent="0.4">
      <c r="B14" s="946" t="s">
        <v>126</v>
      </c>
      <c r="C14" s="817"/>
      <c r="D14" s="1117" t="s">
        <v>127</v>
      </c>
      <c r="E14" s="1118"/>
      <c r="F14" s="1101"/>
      <c r="G14" s="244" t="s">
        <v>144</v>
      </c>
      <c r="H14" s="245" t="s">
        <v>145</v>
      </c>
      <c r="J14" s="134"/>
      <c r="K14" s="134"/>
      <c r="L14" s="134"/>
      <c r="M14" s="134"/>
      <c r="N14" s="134"/>
      <c r="O14" s="134"/>
      <c r="P14" s="134"/>
      <c r="Q14" s="134"/>
      <c r="R14" s="49"/>
      <c r="S14" s="134"/>
      <c r="AD14" s="391">
        <f>IF($C$62="",0,$C$62)</f>
        <v>0</v>
      </c>
      <c r="AE14" s="377">
        <f>IF(AE15=0,0,3)</f>
        <v>0</v>
      </c>
      <c r="AF14" s="392">
        <f>IF($C$64="",0,$C$64)</f>
        <v>0</v>
      </c>
      <c r="AG14" s="377">
        <f>IF(AG15=0,0,2)</f>
        <v>0</v>
      </c>
      <c r="AH14" s="377">
        <v>3600</v>
      </c>
      <c r="AI14" s="390">
        <v>0</v>
      </c>
      <c r="AL14" s="123"/>
    </row>
    <row r="15" spans="2:38" x14ac:dyDescent="0.4">
      <c r="B15" s="946" t="str">
        <f>IF(C14="","Select basis above:",
IF(C14="Volume","N/A","Select location for determining density to convert mass to volume:"))</f>
        <v>Select basis above:</v>
      </c>
      <c r="C15" s="817"/>
      <c r="D15" s="945"/>
      <c r="E15" s="945"/>
      <c r="F15" s="370" t="str">
        <f>TEXT(Constants!$B$11,"") &amp; " Usage"</f>
        <v>Very Small Usage</v>
      </c>
      <c r="G15" s="247">
        <f>Constants!C93</f>
        <v>0</v>
      </c>
      <c r="H15" s="248">
        <f>Constants!D93</f>
        <v>18</v>
      </c>
      <c r="J15" s="134"/>
      <c r="K15" s="134"/>
      <c r="L15" s="134"/>
      <c r="M15" s="134"/>
      <c r="N15" s="134"/>
      <c r="O15" s="134"/>
      <c r="P15" s="134"/>
      <c r="Q15" s="134"/>
      <c r="R15" s="49"/>
      <c r="S15" s="134"/>
      <c r="AD15" s="391">
        <f>IF($C$63="",0,$C$63)</f>
        <v>0</v>
      </c>
      <c r="AE15" s="377">
        <f>IF(AD15=0,0,3)</f>
        <v>0</v>
      </c>
      <c r="AF15" s="392">
        <f>IF($C$65="",0,$C$65)</f>
        <v>0</v>
      </c>
      <c r="AG15" s="377">
        <f>IF(AF15=0,0,2)</f>
        <v>0</v>
      </c>
      <c r="AH15" s="377">
        <v>3600</v>
      </c>
      <c r="AI15" s="390">
        <v>4</v>
      </c>
      <c r="AL15" s="123"/>
    </row>
    <row r="16" spans="2:38" x14ac:dyDescent="0.4">
      <c r="B16" s="240"/>
      <c r="C16" s="574"/>
      <c r="D16" s="205"/>
      <c r="E16" s="134"/>
      <c r="F16" s="370" t="str">
        <f>TEXT(Constants!$B$15,"") &amp; " Usage"</f>
        <v>Low Usage</v>
      </c>
      <c r="G16" s="247">
        <f>Constants!C94</f>
        <v>18</v>
      </c>
      <c r="H16" s="248">
        <f>Constants!D94</f>
        <v>51</v>
      </c>
      <c r="J16" s="134"/>
      <c r="K16" s="134"/>
      <c r="L16" s="134"/>
      <c r="M16" s="134"/>
      <c r="N16" s="134"/>
      <c r="O16" s="134"/>
      <c r="P16" s="134"/>
      <c r="Q16" s="134"/>
      <c r="R16" s="49"/>
      <c r="S16" s="134"/>
      <c r="AD16" s="393"/>
      <c r="AE16" s="64"/>
      <c r="AF16" s="64"/>
      <c r="AG16" s="64"/>
      <c r="AH16" s="64"/>
      <c r="AI16" s="394"/>
      <c r="AL16" s="123"/>
    </row>
    <row r="17" spans="2:38" x14ac:dyDescent="0.4">
      <c r="B17" s="640" t="s">
        <v>128</v>
      </c>
      <c r="C17" s="824" t="str">
        <f ca="1">IF(C18="","",IF(OFFSET(B62,0,C18,1,1)&gt;3600,"No","Yes"))</f>
        <v/>
      </c>
      <c r="D17" s="134"/>
      <c r="E17" s="134"/>
      <c r="F17" s="370" t="str">
        <f>TEXT(Constants!$B$19,"") &amp; " Usage"</f>
        <v>Medium Usage</v>
      </c>
      <c r="G17" s="247">
        <f>Constants!C95</f>
        <v>51</v>
      </c>
      <c r="H17" s="248">
        <f>Constants!D95</f>
        <v>75</v>
      </c>
      <c r="J17" s="134"/>
      <c r="K17" s="134"/>
      <c r="L17" s="134"/>
      <c r="M17" s="134"/>
      <c r="N17" s="134"/>
      <c r="R17" s="49"/>
      <c r="S17" s="134"/>
      <c r="AD17" s="391">
        <f>IF($D$62="",0,$D$62)</f>
        <v>0</v>
      </c>
      <c r="AE17" s="377">
        <f>IF(AD17=0,0,3)</f>
        <v>0</v>
      </c>
      <c r="AF17" s="392">
        <f>IF($D$64="",0,$D$64)</f>
        <v>0</v>
      </c>
      <c r="AG17" s="377">
        <f>IF(AF17=0,0,2)</f>
        <v>0</v>
      </c>
      <c r="AH17" s="64"/>
      <c r="AI17" s="394"/>
      <c r="AL17" s="123"/>
    </row>
    <row r="18" spans="2:38" ht="16" thickBot="1" x14ac:dyDescent="0.45">
      <c r="B18" s="640" t="s">
        <v>189</v>
      </c>
      <c r="C18" s="824" t="str">
        <f>IF(COUNT(C32:Q32)=0,"",COUNT(C32:Q32))</f>
        <v/>
      </c>
      <c r="D18" s="1119" t="s">
        <v>593</v>
      </c>
      <c r="E18" s="1120"/>
      <c r="F18" s="371" t="str">
        <f>TEXT(Constants!$B$23,"") &amp; " Usage"</f>
        <v>High Usage</v>
      </c>
      <c r="G18" s="250">
        <f>Constants!C96</f>
        <v>75</v>
      </c>
      <c r="H18" s="251" t="s">
        <v>569</v>
      </c>
      <c r="J18" s="134"/>
      <c r="K18" s="134"/>
      <c r="R18" s="49"/>
      <c r="S18" s="134"/>
      <c r="AD18" s="391">
        <f>IF($D$63="",0,$D$63)</f>
        <v>0</v>
      </c>
      <c r="AE18" s="377">
        <f>IF(AD18=0,0,3)</f>
        <v>0</v>
      </c>
      <c r="AF18" s="392">
        <f>IF($D$65="",0,$D$65)</f>
        <v>0</v>
      </c>
      <c r="AG18" s="377">
        <f>IF(AF18=0,0,2)</f>
        <v>0</v>
      </c>
      <c r="AH18" s="64"/>
      <c r="AI18" s="394"/>
      <c r="AL18" s="123"/>
    </row>
    <row r="19" spans="2:38" x14ac:dyDescent="0.4">
      <c r="B19" s="641" t="s">
        <v>353</v>
      </c>
      <c r="C19" s="824" t="str">
        <f>IF(COUNT(C64:Q64)=0,"",COUNT(C64:Q64))</f>
        <v/>
      </c>
      <c r="D19" s="176"/>
      <c r="E19" s="130"/>
      <c r="J19" s="134"/>
      <c r="K19" s="134"/>
      <c r="R19" s="49"/>
      <c r="S19" s="134"/>
      <c r="AD19" s="393"/>
      <c r="AE19" s="64"/>
      <c r="AF19" s="64"/>
      <c r="AG19" s="64"/>
      <c r="AH19" s="64"/>
      <c r="AI19" s="394"/>
      <c r="AL19" s="123"/>
    </row>
    <row r="20" spans="2:38" x14ac:dyDescent="0.4">
      <c r="B20" s="133"/>
      <c r="C20" s="825"/>
      <c r="D20" s="137"/>
      <c r="E20" s="138"/>
      <c r="F20" s="131"/>
      <c r="G20" s="131"/>
      <c r="H20" s="138"/>
      <c r="I20" s="134"/>
      <c r="J20" s="134"/>
      <c r="K20" s="134"/>
      <c r="R20" s="49"/>
      <c r="S20" s="134"/>
      <c r="AD20" s="391">
        <f>IF($E$62="",0,$E$62)</f>
        <v>0</v>
      </c>
      <c r="AE20" s="377">
        <f>IF(AD20=0,0,3)</f>
        <v>0</v>
      </c>
      <c r="AF20" s="392">
        <f>IF($E$64="",0,$E$64)</f>
        <v>0</v>
      </c>
      <c r="AG20" s="377">
        <f>IF(AF20=0,0,2)</f>
        <v>0</v>
      </c>
      <c r="AH20" s="64"/>
      <c r="AI20" s="394"/>
      <c r="AL20" s="123"/>
    </row>
    <row r="21" spans="2:38" x14ac:dyDescent="0.4">
      <c r="B21" s="642" t="s">
        <v>574</v>
      </c>
      <c r="C21" s="385" t="str">
        <f>IF(OR('General Info &amp; Test Results'!C34="",'General Info &amp; Test Results'!F13="Instantaneous"),"",'General Info &amp; Test Results'!C34)</f>
        <v/>
      </c>
      <c r="D21" s="634" t="s">
        <v>58</v>
      </c>
      <c r="E21" s="138"/>
      <c r="F21" s="131"/>
      <c r="G21" s="131"/>
      <c r="H21" s="138"/>
      <c r="I21" s="134"/>
      <c r="J21" s="134"/>
      <c r="K21" s="134"/>
      <c r="R21" s="49"/>
      <c r="S21" s="134"/>
      <c r="AD21" s="391">
        <f>IF($E$63="",0,$E$63)</f>
        <v>0</v>
      </c>
      <c r="AE21" s="377">
        <f>IF(AD21=0,0,3)</f>
        <v>0</v>
      </c>
      <c r="AF21" s="392">
        <f>IF($E$65="",0,$E$65)</f>
        <v>0</v>
      </c>
      <c r="AG21" s="377">
        <f>IF(AF21=0,0,2)</f>
        <v>0</v>
      </c>
      <c r="AH21" s="64"/>
      <c r="AI21" s="394"/>
      <c r="AL21" s="123"/>
    </row>
    <row r="22" spans="2:38" x14ac:dyDescent="0.4">
      <c r="B22" s="642" t="s">
        <v>429</v>
      </c>
      <c r="C22" s="385" t="str">
        <f ca="1">IF(OR(C17="",C17="N/A",D82=""),"",IF(C17="Yes",1,
IF(OFFSET(B50,0,C18,1,1)&lt;OFFSET(B49,0,C18-1,1,1),0,
(OFFSET(B51,0,C18,1,1)-OFFSET(B49,0,C18-1,1,1))/
(OFFSET(B51,0,C18-1,1,1)-OFFSET(B49,0,C18-1,1,1))
)))</f>
        <v/>
      </c>
      <c r="D22" s="705" t="str">
        <f ca="1">IF(C22="","",IF(C22=1,"i.e. The entire last draw counts",IF(C22=0,"i.e. The last draw does not count","i.e. Only part of the last draw counts")))</f>
        <v/>
      </c>
      <c r="E22" s="138"/>
      <c r="F22" s="131"/>
      <c r="G22" s="131"/>
      <c r="H22" s="138"/>
      <c r="I22" s="134"/>
      <c r="J22" s="134"/>
      <c r="K22" s="134"/>
      <c r="R22" s="49"/>
      <c r="S22" s="134"/>
      <c r="AD22" s="393"/>
      <c r="AE22" s="64"/>
      <c r="AF22" s="64"/>
      <c r="AG22" s="64"/>
      <c r="AH22" s="64"/>
      <c r="AI22" s="394"/>
      <c r="AL22" s="123"/>
    </row>
    <row r="23" spans="2:38" x14ac:dyDescent="0.4">
      <c r="B23" s="643" t="s">
        <v>575</v>
      </c>
      <c r="C23" s="819" t="str">
        <f ca="1">IF(D82="","",SUM(C55:Q55)-OFFSET(B55,0,C18)*(1-C22))</f>
        <v/>
      </c>
      <c r="D23" s="635" t="s">
        <v>58</v>
      </c>
      <c r="E23" s="134"/>
      <c r="F23" s="134"/>
      <c r="G23" s="130"/>
      <c r="H23" s="206"/>
      <c r="I23" s="134"/>
      <c r="J23" s="134"/>
      <c r="K23" s="134"/>
      <c r="R23" s="49"/>
      <c r="S23" s="134"/>
      <c r="AD23" s="391">
        <f>IF($F$62="",0,$F$62)</f>
        <v>0</v>
      </c>
      <c r="AE23" s="377">
        <f>IF(AD23=0,0,3)</f>
        <v>0</v>
      </c>
      <c r="AF23" s="392">
        <f>IF($F$64="",0,$F$64)</f>
        <v>0</v>
      </c>
      <c r="AG23" s="377">
        <f>IF(AF23=0,0,2)</f>
        <v>0</v>
      </c>
      <c r="AH23" s="64"/>
      <c r="AI23" s="394"/>
      <c r="AL23" s="123"/>
    </row>
    <row r="24" spans="2:38" x14ac:dyDescent="0.4">
      <c r="B24" s="132"/>
      <c r="C24" s="579"/>
      <c r="D24" s="162"/>
      <c r="E24" s="134"/>
      <c r="F24" s="134"/>
      <c r="G24" s="130"/>
      <c r="H24" s="206"/>
      <c r="I24" s="134"/>
      <c r="J24" s="134"/>
      <c r="K24" s="134"/>
      <c r="O24" s="134"/>
      <c r="P24" s="134"/>
      <c r="Q24" s="134"/>
      <c r="R24" s="49"/>
      <c r="S24" s="134"/>
      <c r="AD24" s="391">
        <f>IF($F$63="",0,$F$63)</f>
        <v>0</v>
      </c>
      <c r="AE24" s="377">
        <f>IF(AD24=0,0,3)</f>
        <v>0</v>
      </c>
      <c r="AF24" s="392">
        <f>IF($F$65="",0,$F$65)</f>
        <v>0</v>
      </c>
      <c r="AG24" s="377">
        <f>IF(AF24=0,0,2)</f>
        <v>0</v>
      </c>
      <c r="AH24" s="64"/>
      <c r="AI24" s="394"/>
      <c r="AL24" s="123"/>
    </row>
    <row r="25" spans="2:38" x14ac:dyDescent="0.4">
      <c r="B25" s="132"/>
      <c r="C25" s="579"/>
      <c r="D25" s="162"/>
      <c r="E25" s="134"/>
      <c r="F25" s="134"/>
      <c r="G25" s="130"/>
      <c r="H25" s="206"/>
      <c r="I25" s="134"/>
      <c r="J25" s="134"/>
      <c r="K25" s="134"/>
      <c r="L25" s="134"/>
      <c r="M25" s="206"/>
      <c r="N25" s="206"/>
      <c r="O25" s="134"/>
      <c r="P25" s="134"/>
      <c r="Q25" s="134"/>
      <c r="R25" s="49"/>
      <c r="S25" s="134"/>
      <c r="AD25" s="393"/>
      <c r="AE25" s="64"/>
      <c r="AF25" s="64"/>
      <c r="AG25" s="64"/>
      <c r="AH25" s="64"/>
      <c r="AI25" s="394"/>
      <c r="AL25" s="123"/>
    </row>
    <row r="26" spans="2:38" ht="62" x14ac:dyDescent="0.4">
      <c r="B26" s="132"/>
      <c r="C26" s="637" t="s">
        <v>594</v>
      </c>
      <c r="D26" s="162"/>
      <c r="E26" s="638" t="s">
        <v>595</v>
      </c>
      <c r="F26" s="134"/>
      <c r="G26" s="130"/>
      <c r="H26" s="206"/>
      <c r="I26" s="134"/>
      <c r="J26" s="134"/>
      <c r="K26" s="134"/>
      <c r="L26" s="134"/>
      <c r="M26" s="206"/>
      <c r="N26" s="206"/>
      <c r="O26" s="134"/>
      <c r="P26" s="134"/>
      <c r="Q26" s="134"/>
      <c r="R26" s="49"/>
      <c r="S26" s="134"/>
      <c r="AD26" s="391">
        <f>IF($G$62="",0,$G$62)</f>
        <v>0</v>
      </c>
      <c r="AE26" s="377">
        <f>IF(AD26=0,0,3)</f>
        <v>0</v>
      </c>
      <c r="AF26" s="392">
        <f>IF($G$64="",0,$G$64)</f>
        <v>0</v>
      </c>
      <c r="AG26" s="377">
        <f>IF(AF26=0,0,2)</f>
        <v>0</v>
      </c>
      <c r="AH26" s="64"/>
      <c r="AI26" s="394"/>
      <c r="AL26" s="123"/>
    </row>
    <row r="27" spans="2:38" x14ac:dyDescent="0.4">
      <c r="B27" s="644" t="s">
        <v>598</v>
      </c>
      <c r="C27" s="826" t="str">
        <f ca="1">IF(D82="","",SUM(C55:Q55)-OFFSET(B55,0,C18)*(1-C22))</f>
        <v/>
      </c>
      <c r="D27" s="636" t="s">
        <v>58</v>
      </c>
      <c r="E27" s="827"/>
      <c r="F27" s="931" t="s">
        <v>58</v>
      </c>
      <c r="G27" s="130"/>
      <c r="H27" s="206"/>
      <c r="I27" s="134"/>
      <c r="J27" s="134"/>
      <c r="K27" s="134"/>
      <c r="L27" s="134"/>
      <c r="M27" s="206"/>
      <c r="N27" s="206"/>
      <c r="O27" s="131"/>
      <c r="P27" s="134"/>
      <c r="Q27" s="134"/>
      <c r="R27" s="49"/>
      <c r="S27" s="134"/>
      <c r="AD27" s="391">
        <f>IF($G$63="",0,$G$63)</f>
        <v>0</v>
      </c>
      <c r="AE27" s="377">
        <f>IF(AD27=0,0,3)</f>
        <v>0</v>
      </c>
      <c r="AF27" s="392">
        <f>IF($G$65="",0,$G$65)</f>
        <v>0</v>
      </c>
      <c r="AG27" s="377">
        <f>IF(AF27=0,0,2)</f>
        <v>0</v>
      </c>
      <c r="AH27" s="64"/>
      <c r="AI27" s="394"/>
      <c r="AL27" s="123"/>
    </row>
    <row r="28" spans="2:38" x14ac:dyDescent="0.4">
      <c r="B28" s="50"/>
      <c r="C28" s="134"/>
      <c r="D28" s="134"/>
      <c r="E28" s="134"/>
      <c r="F28" s="134"/>
      <c r="G28" s="134"/>
      <c r="H28" s="134"/>
      <c r="I28" s="134"/>
      <c r="J28" s="134"/>
      <c r="K28" s="134"/>
      <c r="L28" s="134"/>
      <c r="M28" s="134"/>
      <c r="N28" s="134"/>
      <c r="O28" s="134"/>
      <c r="P28" s="134"/>
      <c r="Q28" s="134"/>
      <c r="R28" s="49"/>
      <c r="S28" s="134"/>
      <c r="AD28" s="393"/>
      <c r="AE28" s="64"/>
      <c r="AF28" s="64"/>
      <c r="AG28" s="64"/>
      <c r="AH28" s="64"/>
      <c r="AI28" s="394"/>
      <c r="AL28" s="123"/>
    </row>
    <row r="29" spans="2:38" x14ac:dyDescent="0.4">
      <c r="B29" s="645" t="s">
        <v>443</v>
      </c>
      <c r="C29" s="826" t="str">
        <f ca="1">IF(C27="","",IF($C$27&lt;$H$15,Constants!$B$11,IF($C$27&lt;$H$16,Constants!$B$15,IF($C$27&lt;$H$17,Constants!$B$19,Constants!$B$23))))</f>
        <v/>
      </c>
      <c r="D29" s="130"/>
      <c r="E29" s="130"/>
      <c r="F29" s="130"/>
      <c r="G29" s="130"/>
      <c r="H29" s="206"/>
      <c r="I29" s="206"/>
      <c r="J29" s="206"/>
      <c r="K29" s="206"/>
      <c r="L29" s="206"/>
      <c r="M29" s="206"/>
      <c r="N29" s="206"/>
      <c r="O29" s="131"/>
      <c r="P29" s="134"/>
      <c r="Q29" s="134"/>
      <c r="R29" s="49"/>
      <c r="S29" s="134"/>
      <c r="AD29" s="391">
        <f>IF($H$62="",0,$H$62)</f>
        <v>0</v>
      </c>
      <c r="AE29" s="377">
        <f>IF(AD29=0,0,3)</f>
        <v>0</v>
      </c>
      <c r="AF29" s="392">
        <f>IF($H$64="",0,$H$64)</f>
        <v>0</v>
      </c>
      <c r="AG29" s="377">
        <f>IF(AF29=0,0,2)</f>
        <v>0</v>
      </c>
      <c r="AH29" s="64"/>
      <c r="AI29" s="394"/>
      <c r="AL29" s="123"/>
    </row>
    <row r="30" spans="2:38" x14ac:dyDescent="0.4">
      <c r="B30" s="50"/>
      <c r="C30" s="134"/>
      <c r="D30" s="134"/>
      <c r="E30" s="134"/>
      <c r="F30" s="134"/>
      <c r="G30" s="134"/>
      <c r="H30" s="134"/>
      <c r="I30" s="134"/>
      <c r="J30" s="134"/>
      <c r="K30" s="134"/>
      <c r="L30" s="134"/>
      <c r="M30" s="134"/>
      <c r="N30" s="134"/>
      <c r="O30" s="134"/>
      <c r="P30" s="134"/>
      <c r="Q30" s="134"/>
      <c r="R30" s="49"/>
      <c r="S30" s="134"/>
      <c r="AD30" s="391">
        <f>IF($H$63="",0,$H$63)</f>
        <v>0</v>
      </c>
      <c r="AE30" s="377">
        <f>IF(AD30=0,0,3)</f>
        <v>0</v>
      </c>
      <c r="AF30" s="392">
        <f>IF($H$65="",0,$H$65)</f>
        <v>0</v>
      </c>
      <c r="AG30" s="377">
        <f>IF(AF30=0,0,2)</f>
        <v>0</v>
      </c>
      <c r="AH30" s="64"/>
      <c r="AI30" s="394"/>
      <c r="AL30" s="123"/>
    </row>
    <row r="31" spans="2:38" x14ac:dyDescent="0.4">
      <c r="B31" s="679" t="s">
        <v>129</v>
      </c>
      <c r="C31" s="139">
        <v>1</v>
      </c>
      <c r="D31" s="139">
        <v>2</v>
      </c>
      <c r="E31" s="139">
        <v>3</v>
      </c>
      <c r="F31" s="139">
        <v>4</v>
      </c>
      <c r="G31" s="139">
        <v>5</v>
      </c>
      <c r="H31" s="139">
        <v>6</v>
      </c>
      <c r="I31" s="139">
        <v>7</v>
      </c>
      <c r="J31" s="139">
        <v>8</v>
      </c>
      <c r="K31" s="139">
        <v>9</v>
      </c>
      <c r="L31" s="139">
        <v>10</v>
      </c>
      <c r="M31" s="139">
        <v>11</v>
      </c>
      <c r="N31" s="139">
        <v>12</v>
      </c>
      <c r="O31" s="139">
        <v>13</v>
      </c>
      <c r="P31" s="139">
        <v>14</v>
      </c>
      <c r="Q31" s="139">
        <v>15</v>
      </c>
      <c r="R31" s="49"/>
      <c r="S31" s="134"/>
      <c r="AD31" s="393"/>
      <c r="AE31" s="64"/>
      <c r="AF31" s="64"/>
      <c r="AG31" s="64"/>
      <c r="AH31" s="64"/>
      <c r="AI31" s="394"/>
      <c r="AL31" s="123"/>
    </row>
    <row r="32" spans="2:38" s="205" customFormat="1" x14ac:dyDescent="0.4">
      <c r="B32" s="641" t="str">
        <f>IF(C14="","Select Basis",
IF(C14="Volume","Total Volume Drawn, gal",
IF(C15="","Select Location of Density Calculation",
"Total Mass Drawn, lbs")))</f>
        <v>Select Basis</v>
      </c>
      <c r="C32" s="828"/>
      <c r="D32" s="829"/>
      <c r="E32" s="828"/>
      <c r="F32" s="828"/>
      <c r="G32" s="828"/>
      <c r="H32" s="830"/>
      <c r="I32" s="830"/>
      <c r="J32" s="830"/>
      <c r="K32" s="830"/>
      <c r="L32" s="830"/>
      <c r="M32" s="830"/>
      <c r="N32" s="830"/>
      <c r="O32" s="830"/>
      <c r="P32" s="830"/>
      <c r="Q32" s="830"/>
      <c r="R32" s="208"/>
      <c r="AD32" s="391">
        <f>IF($I$62="",0,$I$62)</f>
        <v>0</v>
      </c>
      <c r="AE32" s="377">
        <f>IF(AD32=0,0,3)</f>
        <v>0</v>
      </c>
      <c r="AF32" s="392">
        <f>IF($I$64="",0,$I$64)</f>
        <v>0</v>
      </c>
      <c r="AG32" s="377">
        <f>IF(AF32=0,0,2)</f>
        <v>0</v>
      </c>
      <c r="AH32" s="136"/>
      <c r="AI32" s="395"/>
      <c r="AL32" s="381"/>
    </row>
    <row r="33" spans="2:38" s="205" customFormat="1" x14ac:dyDescent="0.4">
      <c r="B33" s="50"/>
      <c r="C33" s="134"/>
      <c r="D33" s="134"/>
      <c r="E33" s="134"/>
      <c r="F33" s="134"/>
      <c r="G33" s="134"/>
      <c r="H33" s="134"/>
      <c r="I33" s="134"/>
      <c r="J33" s="134"/>
      <c r="K33" s="134"/>
      <c r="L33" s="134"/>
      <c r="M33" s="134"/>
      <c r="N33" s="134"/>
      <c r="O33" s="134"/>
      <c r="P33" s="134"/>
      <c r="Q33" s="134"/>
      <c r="R33" s="49"/>
      <c r="AD33" s="391">
        <f>IF($I$63="",0,$I$63)</f>
        <v>0</v>
      </c>
      <c r="AE33" s="377">
        <f>IF(AD33=0,0,3)</f>
        <v>0</v>
      </c>
      <c r="AF33" s="392">
        <f>IF($I$65="",0,$I$65)</f>
        <v>0</v>
      </c>
      <c r="AG33" s="377">
        <f>IF(AF33=0,0,2)</f>
        <v>0</v>
      </c>
      <c r="AH33" s="136"/>
      <c r="AI33" s="395"/>
      <c r="AL33" s="381"/>
    </row>
    <row r="34" spans="2:38" s="205" customFormat="1" x14ac:dyDescent="0.4">
      <c r="B34" s="646" t="s">
        <v>434</v>
      </c>
      <c r="C34" s="831" t="str">
        <f>IF('Storage Tank Volume'!$C$20="","",IF('Storage Tank Volume'!$C$20&lt;Constants!$C$36,Constants!$C$37,Constants!$C$38))</f>
        <v/>
      </c>
      <c r="D34" s="163"/>
      <c r="E34" s="163"/>
      <c r="F34" s="163"/>
      <c r="G34" s="163"/>
      <c r="H34" s="163"/>
      <c r="I34" s="136"/>
      <c r="J34" s="136"/>
      <c r="K34" s="136"/>
      <c r="L34" s="136"/>
      <c r="M34" s="136"/>
      <c r="N34" s="136"/>
      <c r="R34" s="252"/>
      <c r="AD34" s="396"/>
      <c r="AE34" s="136"/>
      <c r="AF34" s="136"/>
      <c r="AG34" s="136"/>
      <c r="AH34" s="136"/>
      <c r="AI34" s="395"/>
      <c r="AL34" s="381"/>
    </row>
    <row r="35" spans="2:38" s="205" customFormat="1" x14ac:dyDescent="0.4">
      <c r="B35" s="646" t="s">
        <v>413</v>
      </c>
      <c r="C35" s="831" t="str">
        <f>IF('Storage Tank Volume'!$C$20="","",IF('Storage Tank Volume'!$C$20&lt;Constants!$C$36,Constants!$E$37,Constants!$E$38))</f>
        <v/>
      </c>
      <c r="D35" s="163"/>
      <c r="E35" s="163"/>
      <c r="F35" s="163"/>
      <c r="G35" s="163"/>
      <c r="H35" s="163"/>
      <c r="I35" s="136"/>
      <c r="J35" s="136"/>
      <c r="K35" s="136"/>
      <c r="L35" s="136"/>
      <c r="M35" s="136"/>
      <c r="N35" s="136"/>
      <c r="R35" s="252"/>
      <c r="AD35" s="391">
        <f>IF($J$62="",0,$J$62)</f>
        <v>0</v>
      </c>
      <c r="AE35" s="377">
        <f>IF(AD35=0,0,3)</f>
        <v>0</v>
      </c>
      <c r="AF35" s="392">
        <f>IF($J$64="",0,$J$64)</f>
        <v>0</v>
      </c>
      <c r="AG35" s="377">
        <f>IF(AF35=0,0,2)</f>
        <v>0</v>
      </c>
      <c r="AH35" s="136"/>
      <c r="AI35" s="395"/>
      <c r="AL35" s="381"/>
    </row>
    <row r="36" spans="2:38" s="205" customFormat="1" x14ac:dyDescent="0.4">
      <c r="B36" s="160"/>
      <c r="C36" s="163"/>
      <c r="D36" s="163"/>
      <c r="E36" s="163"/>
      <c r="F36" s="163"/>
      <c r="G36" s="163"/>
      <c r="H36" s="163"/>
      <c r="I36" s="136"/>
      <c r="J36" s="136"/>
      <c r="K36" s="136"/>
      <c r="L36" s="136"/>
      <c r="M36" s="136"/>
      <c r="N36" s="136"/>
      <c r="R36" s="252"/>
      <c r="AD36" s="391">
        <f>IF($J$63="",0,$J$63)</f>
        <v>0</v>
      </c>
      <c r="AE36" s="377">
        <f>IF(AD36=0,0,3)</f>
        <v>0</v>
      </c>
      <c r="AF36" s="392">
        <f>IF($J$65="",0,$J$65)</f>
        <v>0</v>
      </c>
      <c r="AG36" s="377">
        <f>IF(AF36=0,0,2)</f>
        <v>0</v>
      </c>
      <c r="AH36" s="136"/>
      <c r="AI36" s="395"/>
      <c r="AL36" s="381"/>
    </row>
    <row r="37" spans="2:38" s="205" customFormat="1" x14ac:dyDescent="0.4">
      <c r="B37" s="639" t="s">
        <v>428</v>
      </c>
      <c r="C37" s="832"/>
      <c r="D37" s="833"/>
      <c r="E37" s="833"/>
      <c r="F37" s="833"/>
      <c r="G37" s="833"/>
      <c r="H37" s="833"/>
      <c r="I37" s="834"/>
      <c r="J37" s="834"/>
      <c r="K37" s="834"/>
      <c r="L37" s="834"/>
      <c r="M37" s="834"/>
      <c r="N37" s="834"/>
      <c r="O37" s="835"/>
      <c r="P37" s="835"/>
      <c r="Q37" s="835"/>
      <c r="R37" s="252"/>
      <c r="AD37" s="396"/>
      <c r="AE37" s="136"/>
      <c r="AF37" s="136"/>
      <c r="AG37" s="136"/>
      <c r="AH37" s="136"/>
      <c r="AI37" s="395"/>
      <c r="AL37" s="381"/>
    </row>
    <row r="38" spans="2:38" s="205" customFormat="1" x14ac:dyDescent="0.4">
      <c r="B38" s="646" t="s">
        <v>416</v>
      </c>
      <c r="C38" s="832"/>
      <c r="D38" s="836"/>
      <c r="E38" s="832"/>
      <c r="F38" s="832"/>
      <c r="G38" s="832"/>
      <c r="H38" s="832"/>
      <c r="I38" s="832"/>
      <c r="J38" s="832"/>
      <c r="K38" s="832"/>
      <c r="L38" s="832"/>
      <c r="M38" s="832"/>
      <c r="N38" s="832"/>
      <c r="O38" s="832"/>
      <c r="P38" s="832"/>
      <c r="Q38" s="832"/>
      <c r="R38" s="252"/>
      <c r="AD38" s="391">
        <f>IF($K$62="",0,$K$62)</f>
        <v>0</v>
      </c>
      <c r="AE38" s="377">
        <f>IF(AD38=0,0,3)</f>
        <v>0</v>
      </c>
      <c r="AF38" s="392">
        <f>IF($K$64="",0,$K$64)</f>
        <v>0</v>
      </c>
      <c r="AG38" s="377">
        <f>IF(AF38=0,0,2)</f>
        <v>0</v>
      </c>
      <c r="AH38" s="136"/>
      <c r="AI38" s="395"/>
      <c r="AL38" s="381"/>
    </row>
    <row r="39" spans="2:38" s="205" customFormat="1" x14ac:dyDescent="0.4">
      <c r="B39" s="646" t="s">
        <v>417</v>
      </c>
      <c r="C39" s="832"/>
      <c r="D39" s="836"/>
      <c r="E39" s="832"/>
      <c r="F39" s="832"/>
      <c r="G39" s="832"/>
      <c r="H39" s="832"/>
      <c r="I39" s="832"/>
      <c r="J39" s="832"/>
      <c r="K39" s="832"/>
      <c r="L39" s="832"/>
      <c r="M39" s="832"/>
      <c r="N39" s="832"/>
      <c r="O39" s="832"/>
      <c r="P39" s="832"/>
      <c r="Q39" s="832"/>
      <c r="R39" s="252"/>
      <c r="AD39" s="391">
        <f>IF($K$63="",0,$K$63)</f>
        <v>0</v>
      </c>
      <c r="AE39" s="377">
        <f>IF(AD39=0,0,3)</f>
        <v>0</v>
      </c>
      <c r="AF39" s="392">
        <f>IF($K$65="",0,$K$65)</f>
        <v>0</v>
      </c>
      <c r="AG39" s="377">
        <f>IF(AF39=0,0,2)</f>
        <v>0</v>
      </c>
      <c r="AH39" s="136"/>
      <c r="AI39" s="395"/>
      <c r="AL39" s="381"/>
    </row>
    <row r="40" spans="2:38" s="205" customFormat="1" x14ac:dyDescent="0.4">
      <c r="B40" s="646" t="str">
        <f>"Within Flow Rate Tolerance of " &amp; IF('Storage Tank Volume'!$C$20&lt;Constants!$C$36,Constants!$C$37,Constants!$C$38) &amp; " gpm ± " &amp; IF('Storage Tank Volume'!$C$20&lt;Constants!$C$36,Constants!$E$37,Constants!$E$38) &amp; " gpm?"</f>
        <v>Within Flow Rate Tolerance of 3 gpm ± 0.25 gpm?</v>
      </c>
      <c r="C40" s="837" t="str">
        <f t="shared" ref="C40:Q40" si="0">IF(OR(C38="",C39=""),"",IF(AND(C38&gt;=$C$34-$C$35,C39&lt;=$C$34+$C$35),"Yes","No"))</f>
        <v/>
      </c>
      <c r="D40" s="838" t="str">
        <f t="shared" si="0"/>
        <v/>
      </c>
      <c r="E40" s="837" t="str">
        <f t="shared" si="0"/>
        <v/>
      </c>
      <c r="F40" s="837" t="str">
        <f t="shared" si="0"/>
        <v/>
      </c>
      <c r="G40" s="837" t="str">
        <f t="shared" si="0"/>
        <v/>
      </c>
      <c r="H40" s="837" t="str">
        <f t="shared" si="0"/>
        <v/>
      </c>
      <c r="I40" s="837" t="str">
        <f t="shared" si="0"/>
        <v/>
      </c>
      <c r="J40" s="837" t="str">
        <f t="shared" si="0"/>
        <v/>
      </c>
      <c r="K40" s="837" t="str">
        <f t="shared" si="0"/>
        <v/>
      </c>
      <c r="L40" s="837" t="str">
        <f t="shared" si="0"/>
        <v/>
      </c>
      <c r="M40" s="837" t="str">
        <f t="shared" si="0"/>
        <v/>
      </c>
      <c r="N40" s="837" t="str">
        <f t="shared" si="0"/>
        <v/>
      </c>
      <c r="O40" s="837" t="str">
        <f t="shared" si="0"/>
        <v/>
      </c>
      <c r="P40" s="837" t="str">
        <f t="shared" si="0"/>
        <v/>
      </c>
      <c r="Q40" s="837" t="str">
        <f t="shared" si="0"/>
        <v/>
      </c>
      <c r="R40" s="252"/>
      <c r="AD40" s="396"/>
      <c r="AE40" s="136"/>
      <c r="AF40" s="136"/>
      <c r="AG40" s="136"/>
      <c r="AH40" s="136"/>
      <c r="AI40" s="395"/>
      <c r="AL40" s="381"/>
    </row>
    <row r="41" spans="2:38" s="205" customFormat="1" x14ac:dyDescent="0.4">
      <c r="B41" s="160"/>
      <c r="C41" s="833"/>
      <c r="D41" s="833"/>
      <c r="E41" s="833"/>
      <c r="F41" s="833"/>
      <c r="G41" s="833"/>
      <c r="H41" s="833"/>
      <c r="I41" s="834"/>
      <c r="J41" s="834"/>
      <c r="K41" s="834"/>
      <c r="L41" s="834"/>
      <c r="M41" s="834"/>
      <c r="N41" s="834"/>
      <c r="O41" s="835"/>
      <c r="P41" s="835"/>
      <c r="Q41" s="835"/>
      <c r="R41" s="252"/>
      <c r="AD41" s="391">
        <f>IF($L$62="",0,$L$62)</f>
        <v>0</v>
      </c>
      <c r="AE41" s="377">
        <f>IF(AD41=0,0,3)</f>
        <v>0</v>
      </c>
      <c r="AF41" s="392">
        <f>IF($L$64="",0,$L$64)</f>
        <v>0</v>
      </c>
      <c r="AG41" s="377">
        <f>IF(AF41=0,0,2)</f>
        <v>0</v>
      </c>
      <c r="AH41" s="136"/>
      <c r="AI41" s="395"/>
      <c r="AL41" s="381"/>
    </row>
    <row r="42" spans="2:38" s="205" customFormat="1" x14ac:dyDescent="0.4">
      <c r="B42" s="647" t="s">
        <v>616</v>
      </c>
      <c r="C42" s="832"/>
      <c r="D42" s="836"/>
      <c r="E42" s="832"/>
      <c r="F42" s="832"/>
      <c r="G42" s="832"/>
      <c r="H42" s="832"/>
      <c r="I42" s="832"/>
      <c r="J42" s="832"/>
      <c r="K42" s="832"/>
      <c r="L42" s="832"/>
      <c r="M42" s="832"/>
      <c r="N42" s="832"/>
      <c r="O42" s="832"/>
      <c r="P42" s="832"/>
      <c r="Q42" s="832"/>
      <c r="R42" s="252"/>
      <c r="AD42" s="391">
        <f>IF($L$63="",0,$L$63)</f>
        <v>0</v>
      </c>
      <c r="AE42" s="377">
        <f>IF(AD42=0,0,3)</f>
        <v>0</v>
      </c>
      <c r="AF42" s="392">
        <f>IF($L$65="",0,$L$65)</f>
        <v>0</v>
      </c>
      <c r="AG42" s="377">
        <f>IF(AF42=0,0,2)</f>
        <v>0</v>
      </c>
      <c r="AH42" s="64"/>
      <c r="AI42" s="394"/>
      <c r="AL42" s="381"/>
    </row>
    <row r="43" spans="2:38" x14ac:dyDescent="0.4">
      <c r="B43" s="647" t="s">
        <v>438</v>
      </c>
      <c r="C43" s="839" t="str">
        <f>IF(OR($C$82="",C$31&gt;$C$18),"",MIN($C$82:$C$879,C42))</f>
        <v/>
      </c>
      <c r="D43" s="840" t="str">
        <f>IF(OR($E$82="",D$31&gt;$C$18),"",MIN($E$82:$E$879,D42))</f>
        <v/>
      </c>
      <c r="E43" s="839" t="str">
        <f>IF(OR($G$82="",E$31&gt;$C$18),"",MIN($G$82:$G$879,E42))</f>
        <v/>
      </c>
      <c r="F43" s="839" t="str">
        <f>IF(OR($I$82="",F$31&gt;$C$18),"",MIN($I$82:$I$879,F42))</f>
        <v/>
      </c>
      <c r="G43" s="839" t="str">
        <f>IF(OR($K$82="",G$31&gt;$C$18),"",MIN($K$82:$K$879,G42))</f>
        <v/>
      </c>
      <c r="H43" s="839" t="str">
        <f>IF(OR($M$82="",H$31&gt;$C$18),"",MIN($M$82:$M$879,H42))</f>
        <v/>
      </c>
      <c r="I43" s="839" t="str">
        <f>IF(OR($O$82="",I$31&gt;$C$18),"",MIN($O$82:$O$879,I42))</f>
        <v/>
      </c>
      <c r="J43" s="839" t="str">
        <f>IF(OR($Q$82="",J$31&gt;$C$18),"",MIN($Q$82:$Q$879,J42))</f>
        <v/>
      </c>
      <c r="K43" s="839" t="str">
        <f>IF(OR($S$82="",K$31&gt;$C$18),"",MIN($S$82:$S$879,K42))</f>
        <v/>
      </c>
      <c r="L43" s="839" t="str">
        <f>IF(OR($U$82="",L$31&gt;$C$18),"",MIN($U$82:$U$879,L42))</f>
        <v/>
      </c>
      <c r="M43" s="839" t="str">
        <f>IF(OR($W$82="",M$31&gt;$C$18),"",MIN($W$82:$W$879,M42))</f>
        <v/>
      </c>
      <c r="N43" s="839" t="str">
        <f>IF(OR($Y$82="",N$31&gt;$C$18),"",MIN($Y$82:$Y$879,N42))</f>
        <v/>
      </c>
      <c r="O43" s="839" t="str">
        <f>IF(OR($AA$82="",O$31&gt;$C$18),"",MIN($AA$82:$AA$879,O42))</f>
        <v/>
      </c>
      <c r="P43" s="839" t="str">
        <f>IF(OR($AC$82="",P$31&gt;$C$18),"",MIN($AC$82:$AC$879,P42))</f>
        <v/>
      </c>
      <c r="Q43" s="839" t="str">
        <f>IF(OR($AE$82="",Q$31&gt;$C$18),"",MIN($AE$82:$AE$879,Q42))</f>
        <v/>
      </c>
      <c r="R43" s="252"/>
      <c r="S43" s="134"/>
      <c r="AD43" s="393"/>
      <c r="AE43" s="64"/>
      <c r="AF43" s="64"/>
      <c r="AG43" s="64"/>
      <c r="AH43" s="64"/>
      <c r="AI43" s="394"/>
      <c r="AL43" s="123"/>
    </row>
    <row r="44" spans="2:38" x14ac:dyDescent="0.4">
      <c r="B44" s="641" t="s">
        <v>632</v>
      </c>
      <c r="C44" s="839" t="str">
        <f>IF(OR($C$82="",C$31&gt;$C$18),"",AVERAGE($C$82:$C$879,C42))</f>
        <v/>
      </c>
      <c r="D44" s="839" t="str">
        <f>IF(OR($E$82="",D$31&gt;$C$18),"",AVERAGE($E$82:$E$879,D42))</f>
        <v/>
      </c>
      <c r="E44" s="839" t="str">
        <f>IF(OR($G$82="",E$31&gt;$C$18),"",AVERAGE($G$82:$G$879,E42))</f>
        <v/>
      </c>
      <c r="F44" s="839" t="str">
        <f>IF(OR($I$82="",F$31&gt;$C$18),"",AVERAGE($I$82:$I$879,F42))</f>
        <v/>
      </c>
      <c r="G44" s="839" t="str">
        <f>IF(OR($K$82="",G$31&gt;$C$18),"",AVERAGE($K$82:$K$879,G42))</f>
        <v/>
      </c>
      <c r="H44" s="839" t="str">
        <f>IF(OR($M$82="",H$31&gt;$C$18),"",AVERAGE($M$82:$M$879,H42))</f>
        <v/>
      </c>
      <c r="I44" s="839" t="str">
        <f>IF(OR($O$82="",I$31&gt;$C$18),"",AVERAGE($O$82:$O$879,I42))</f>
        <v/>
      </c>
      <c r="J44" s="839" t="str">
        <f>IF(OR($Q$82="",J$31&gt;$C$18),"",AVERAGE($Q$82:$Q$879,J42))</f>
        <v/>
      </c>
      <c r="K44" s="839" t="str">
        <f>IF(OR($S$82="",K$31&gt;$C$18),"",AVERAGE($S$82:$S$879,K42))</f>
        <v/>
      </c>
      <c r="L44" s="839" t="str">
        <f>IF(OR($U$82="",L$31&gt;$C$18),"",AVERAGE($U$82:$U$879,L42))</f>
        <v/>
      </c>
      <c r="M44" s="839" t="str">
        <f>IF(OR($W$82="",M$31&gt;$C$18),"",AVERAGE($W$82:$W$879,M42))</f>
        <v/>
      </c>
      <c r="N44" s="839" t="str">
        <f>IF(OR($Y$82="",N$31&gt;$C$18),"",AVERAGE($Y$82:$Y$879,N42))</f>
        <v/>
      </c>
      <c r="O44" s="839" t="str">
        <f>IF(OR($AA$82="",O$31&gt;$C$18),"",AVERAGE($AA$82:$AA$879,O42))</f>
        <v/>
      </c>
      <c r="P44" s="839" t="str">
        <f>IF(OR($AC$82="",P$31&gt;$C$18),"",AVERAGE($AC$82:$AC$879,P42))</f>
        <v/>
      </c>
      <c r="Q44" s="839" t="str">
        <f>IF(OR($AE$82="",Q$31&gt;$C$18),"",AVERAGE($AE$82:$AE$879,Q42))</f>
        <v/>
      </c>
      <c r="R44" s="252"/>
      <c r="S44" s="134"/>
      <c r="AD44" s="391">
        <f>IF($M$62="",0,$M$62)</f>
        <v>0</v>
      </c>
      <c r="AE44" s="377">
        <f>IF(AD44=0,0,3)</f>
        <v>0</v>
      </c>
      <c r="AF44" s="392">
        <f>IF($M$64="",0,$M$64)</f>
        <v>0</v>
      </c>
      <c r="AG44" s="377">
        <f>IF(AF44=0,0,2)</f>
        <v>0</v>
      </c>
      <c r="AH44" s="64"/>
      <c r="AI44" s="394"/>
      <c r="AL44" s="123"/>
    </row>
    <row r="45" spans="2:38" x14ac:dyDescent="0.4">
      <c r="B45" s="647" t="s">
        <v>439</v>
      </c>
      <c r="C45" s="839" t="str">
        <f>IF(OR($C$82="",C$31&gt;$C$18),"",MAX($C$82:$C$879,C42))</f>
        <v/>
      </c>
      <c r="D45" s="840" t="str">
        <f>IF(OR($E$82="",D$31&gt;$C$18),"",MAX($E$82:$E$879,D42))</f>
        <v/>
      </c>
      <c r="E45" s="839" t="str">
        <f>IF(OR($G$82="",E$31&gt;$C$18),"",MAX($G$82:$G$879,E42))</f>
        <v/>
      </c>
      <c r="F45" s="839" t="str">
        <f>IF(OR($I$82="",F$31&gt;$C$18),"",MAX($I$82:$I$879,F42))</f>
        <v/>
      </c>
      <c r="G45" s="839" t="str">
        <f>IF(OR($K$82="",G$31&gt;$C$18),"",MAX($K$82:$K$879,G42))</f>
        <v/>
      </c>
      <c r="H45" s="839" t="str">
        <f>IF(OR($M$82="",H$31&gt;$C$18),"",MAX($M$82:$M$879,H42))</f>
        <v/>
      </c>
      <c r="I45" s="839" t="str">
        <f>IF(OR($O$82="",I$31&gt;$C$18),"",MAX($O$82:$O$879,I42))</f>
        <v/>
      </c>
      <c r="J45" s="839" t="str">
        <f>IF(OR($Q$82="",J$31&gt;$C$18),"",MAX($Q$82:$Q$879,J42))</f>
        <v/>
      </c>
      <c r="K45" s="839" t="str">
        <f>IF(OR($S$82="",K$31&gt;$C$18),"",MAX($S$82:$S$879,K42))</f>
        <v/>
      </c>
      <c r="L45" s="839" t="str">
        <f>IF(OR($U$82="",L$31&gt;$C$18),"",MAX($U$82:$U$879,L42))</f>
        <v/>
      </c>
      <c r="M45" s="839" t="str">
        <f>IF(OR($W$82="",M$31&gt;$C$18),"",MAX($W$82:$W$879,M42))</f>
        <v/>
      </c>
      <c r="N45" s="839" t="str">
        <f>IF(OR($Y$82="",N$31&gt;$C$18),"",MAX($Y$82:$Y$879,N42))</f>
        <v/>
      </c>
      <c r="O45" s="839" t="str">
        <f>IF(OR($AA$82="",O$31&gt;$C$18),"",MAX($AA$82:$AA$879,O42))</f>
        <v/>
      </c>
      <c r="P45" s="839" t="str">
        <f>IF(OR($AC$82="",P$31&gt;$C$18),"",MAX($AC$82:$AC$879,P42))</f>
        <v/>
      </c>
      <c r="Q45" s="839" t="str">
        <f>IF(OR($AE$82="",Q$31&gt;$C$18),"",MAX($AE$82:$AE$879,Q42))</f>
        <v/>
      </c>
      <c r="R45" s="252"/>
      <c r="S45" s="134"/>
      <c r="AD45" s="391">
        <f>IF($M$63="",0,$M$63)</f>
        <v>0</v>
      </c>
      <c r="AE45" s="377">
        <f>IF(AD45=0,0,3)</f>
        <v>0</v>
      </c>
      <c r="AF45" s="392">
        <f>IF($M$65="",0,$M$65)</f>
        <v>0</v>
      </c>
      <c r="AG45" s="377">
        <f>IF(AF45=0,0,2)</f>
        <v>0</v>
      </c>
      <c r="AH45" s="64"/>
      <c r="AI45" s="394"/>
      <c r="AL45" s="123"/>
    </row>
    <row r="46" spans="2:38" x14ac:dyDescent="0.4">
      <c r="B46" s="647" t="s">
        <v>433</v>
      </c>
      <c r="C46" s="837" t="str">
        <f t="shared" ref="C46:Q46" si="1">IF(OR(C43="",C45=""),"",IF(AND(C43&gt;=58-2,C45&lt;=58+2),"Yes","No"))</f>
        <v/>
      </c>
      <c r="D46" s="838" t="str">
        <f t="shared" si="1"/>
        <v/>
      </c>
      <c r="E46" s="837" t="str">
        <f t="shared" si="1"/>
        <v/>
      </c>
      <c r="F46" s="837" t="str">
        <f t="shared" si="1"/>
        <v/>
      </c>
      <c r="G46" s="837" t="str">
        <f t="shared" si="1"/>
        <v/>
      </c>
      <c r="H46" s="837" t="str">
        <f t="shared" si="1"/>
        <v/>
      </c>
      <c r="I46" s="837" t="str">
        <f t="shared" si="1"/>
        <v/>
      </c>
      <c r="J46" s="837" t="str">
        <f t="shared" si="1"/>
        <v/>
      </c>
      <c r="K46" s="837" t="str">
        <f t="shared" si="1"/>
        <v/>
      </c>
      <c r="L46" s="837" t="str">
        <f t="shared" si="1"/>
        <v/>
      </c>
      <c r="M46" s="837" t="str">
        <f t="shared" si="1"/>
        <v/>
      </c>
      <c r="N46" s="837" t="str">
        <f t="shared" si="1"/>
        <v/>
      </c>
      <c r="O46" s="837" t="str">
        <f t="shared" si="1"/>
        <v/>
      </c>
      <c r="P46" s="837" t="str">
        <f t="shared" si="1"/>
        <v/>
      </c>
      <c r="Q46" s="837" t="str">
        <f t="shared" si="1"/>
        <v/>
      </c>
      <c r="R46" s="49"/>
      <c r="S46" s="134"/>
      <c r="AD46" s="393"/>
      <c r="AE46" s="64"/>
      <c r="AF46" s="64"/>
      <c r="AG46" s="64"/>
      <c r="AH46" s="64"/>
      <c r="AI46" s="394"/>
      <c r="AL46" s="123"/>
    </row>
    <row r="47" spans="2:38" x14ac:dyDescent="0.4">
      <c r="B47" s="50"/>
      <c r="C47" s="841"/>
      <c r="D47" s="841"/>
      <c r="E47" s="841"/>
      <c r="F47" s="841"/>
      <c r="G47" s="841"/>
      <c r="H47" s="841"/>
      <c r="I47" s="842"/>
      <c r="J47" s="842"/>
      <c r="K47" s="842"/>
      <c r="L47" s="842"/>
      <c r="M47" s="843"/>
      <c r="N47" s="843"/>
      <c r="O47" s="835"/>
      <c r="P47" s="842"/>
      <c r="Q47" s="842"/>
      <c r="R47" s="49"/>
      <c r="S47" s="134"/>
      <c r="AD47" s="391">
        <f>IF($N$62="",0,$N$62)</f>
        <v>0</v>
      </c>
      <c r="AE47" s="377">
        <f>IF(AD47=0,0,3)</f>
        <v>0</v>
      </c>
      <c r="AF47" s="392">
        <f>IF($N$64="",0,$N$64)</f>
        <v>0</v>
      </c>
      <c r="AG47" s="377">
        <f>IF(AF47=0,0,2)</f>
        <v>0</v>
      </c>
      <c r="AH47" s="64"/>
      <c r="AI47" s="394"/>
      <c r="AL47" s="123"/>
    </row>
    <row r="48" spans="2:38" x14ac:dyDescent="0.4">
      <c r="B48" s="641" t="s">
        <v>620</v>
      </c>
      <c r="C48" s="832"/>
      <c r="D48" s="836"/>
      <c r="E48" s="832"/>
      <c r="F48" s="832"/>
      <c r="G48" s="832"/>
      <c r="H48" s="832"/>
      <c r="I48" s="832"/>
      <c r="J48" s="832"/>
      <c r="K48" s="832"/>
      <c r="L48" s="832"/>
      <c r="M48" s="832"/>
      <c r="N48" s="832"/>
      <c r="O48" s="832"/>
      <c r="P48" s="832"/>
      <c r="Q48" s="832"/>
      <c r="R48" s="49"/>
      <c r="S48" s="134"/>
      <c r="AD48" s="391">
        <f>IF($N$63="",0,$N$63)</f>
        <v>0</v>
      </c>
      <c r="AE48" s="377">
        <f>IF(AD48=0,0,3)</f>
        <v>0</v>
      </c>
      <c r="AF48" s="392">
        <f>IF($N$65="",0,$N$65)</f>
        <v>0</v>
      </c>
      <c r="AG48" s="377">
        <f>IF(AF48=0,0,2)</f>
        <v>0</v>
      </c>
      <c r="AH48" s="64"/>
      <c r="AI48" s="394"/>
      <c r="AL48" s="123"/>
    </row>
    <row r="49" spans="2:38" x14ac:dyDescent="0.4">
      <c r="B49" s="641" t="s">
        <v>617</v>
      </c>
      <c r="C49" s="839" t="str">
        <f>IF(OR($D$82="",C$31&gt;$C$18),"",MIN($D$82:$D$879,C48))</f>
        <v/>
      </c>
      <c r="D49" s="840" t="str">
        <f>IF(OR($F$82="",D$31&gt;$C$18),"",MIN($F$82:$F$879,D48))</f>
        <v/>
      </c>
      <c r="E49" s="839" t="str">
        <f>IF(OR($H$82="",E$31&gt;$C$18),"",MIN($H$82:$H$879,E48))</f>
        <v/>
      </c>
      <c r="F49" s="839" t="str">
        <f>IF(OR($J$82="",F$31&gt;$C$18),"",MIN($J$82:$J$879,F48))</f>
        <v/>
      </c>
      <c r="G49" s="839" t="str">
        <f>IF(OR($L$82="",G$31&gt;$C$18),"",MIN($L$82:$L$879,G48))</f>
        <v/>
      </c>
      <c r="H49" s="839" t="str">
        <f>IF(OR($N$82="",H$31&gt;$C$18),"",MIN($N$82:$N$879,H48))</f>
        <v/>
      </c>
      <c r="I49" s="839" t="str">
        <f>IF(OR($P$82="",I$31&gt;$C$18),"",MIN($P$82:$P$879,I48))</f>
        <v/>
      </c>
      <c r="J49" s="839" t="str">
        <f>IF(OR($R$82="",J$31&gt;$C$18),"",MIN($R$82:$R$879,J48))</f>
        <v/>
      </c>
      <c r="K49" s="839" t="str">
        <f>IF(OR($T$82="",K$31&gt;$C$18),"",MIN($T$82:$T$879,K48))</f>
        <v/>
      </c>
      <c r="L49" s="839" t="str">
        <f>IF(OR($V$82="",L$31&gt;$C$18),"",MIN($V$82:$V$879,L48))</f>
        <v/>
      </c>
      <c r="M49" s="839" t="str">
        <f>IF(OR($X$82="",M$31&gt;$C$18),"",MIN($X$82:$X$879,M48))</f>
        <v/>
      </c>
      <c r="N49" s="839" t="str">
        <f>IF(OR($Z$82="",N$31&gt;$C$18),"",MIN($Z$82:$Z$879,N48))</f>
        <v/>
      </c>
      <c r="O49" s="839" t="str">
        <f>IF(OR($AB$82="",O$31&gt;$C$18),"",MIN($AB$82:$AB$879,O48))</f>
        <v/>
      </c>
      <c r="P49" s="839" t="str">
        <f>IF(OR($AD$82="",P$31&gt;$C$18),"",MIN($AD$82:$AD$879,P48))</f>
        <v/>
      </c>
      <c r="Q49" s="839" t="str">
        <f>IF(OR($AF$82="",Q$31&gt;$C$18),"",MIN($AF$82:$AF$879,Q48))</f>
        <v/>
      </c>
      <c r="R49" s="49"/>
      <c r="S49" s="134"/>
      <c r="AD49" s="929"/>
      <c r="AE49" s="64"/>
      <c r="AF49" s="930"/>
      <c r="AG49" s="64"/>
      <c r="AH49" s="64"/>
      <c r="AI49" s="394"/>
      <c r="AL49" s="123"/>
    </row>
    <row r="50" spans="2:38" x14ac:dyDescent="0.4">
      <c r="B50" s="641" t="s">
        <v>618</v>
      </c>
      <c r="C50" s="839" t="str">
        <f>IF(OR($D$82="",C$31&gt;$C$18),"",MAX($D$82:$D$879,C48))</f>
        <v/>
      </c>
      <c r="D50" s="840" t="str">
        <f>IF(OR($F$82="",D$31&gt;$C$18),"",MAX($F$82:$F$879,D48))</f>
        <v/>
      </c>
      <c r="E50" s="839" t="str">
        <f>IF(OR($H$82="",E$31&gt;$C$18),"",MAX($H$82:$H$879,E48))</f>
        <v/>
      </c>
      <c r="F50" s="839" t="str">
        <f>IF(OR($J$82="",F$31&gt;$C$18),"",MAX($J$82:$J$879,F48))</f>
        <v/>
      </c>
      <c r="G50" s="839" t="str">
        <f>IF(OR($L$82="",G$31&gt;$C$18),"",MAX($L$82:$L$879,G48))</f>
        <v/>
      </c>
      <c r="H50" s="839" t="str">
        <f>IF(OR($N$82="",H$31&gt;$C$18),"",MAX($N$82:$N$879,H48))</f>
        <v/>
      </c>
      <c r="I50" s="839" t="str">
        <f>IF(OR($P$82="",I$31&gt;$C$18),"",MAX($P$82:$P$879,I48))</f>
        <v/>
      </c>
      <c r="J50" s="839" t="str">
        <f>IF(OR($R$82="",J$31&gt;$C$18),"",MAX($R$82:$R$879,J48))</f>
        <v/>
      </c>
      <c r="K50" s="839" t="str">
        <f>IF(OR($T$82="",K$31&gt;$C$18),"",MAX($T$82:$T$879,K48))</f>
        <v/>
      </c>
      <c r="L50" s="839" t="str">
        <f>IF(OR($V$82="",L$31&gt;$C$18),"",MAX($V$82:$V$879,L48))</f>
        <v/>
      </c>
      <c r="M50" s="839" t="str">
        <f>IF(OR($X$82="",M$31&gt;$C$18),"",MAX($X$82:$X$879,M48))</f>
        <v/>
      </c>
      <c r="N50" s="839" t="str">
        <f>IF(OR($Z$82="",N$31&gt;$C$18),"",MAX($Z$82:$Z$879,N48))</f>
        <v/>
      </c>
      <c r="O50" s="839" t="str">
        <f>IF(OR($AB$82="",O$31&gt;$C$18),"",MAX($AB$82:$AB$879,O48))</f>
        <v/>
      </c>
      <c r="P50" s="839" t="str">
        <f>IF(OR($AD$82="",P$31&gt;$C$18),"",MAX($AD$82:$AD$879,P48))</f>
        <v/>
      </c>
      <c r="Q50" s="839" t="str">
        <f>IF(OR($AF$82="",Q$31&gt;$C$18),"",MAX($AF$82:$AF$879,Q48))</f>
        <v/>
      </c>
      <c r="R50" s="49"/>
      <c r="S50" s="134"/>
      <c r="AD50" s="391">
        <f>IF($O$62="",0,$O$62)</f>
        <v>0</v>
      </c>
      <c r="AE50" s="377">
        <f>IF(AD50=0,0,3)</f>
        <v>0</v>
      </c>
      <c r="AF50" s="392">
        <f>IF($O$64="",0,$O$64)</f>
        <v>0</v>
      </c>
      <c r="AG50" s="377">
        <f>IF(AF50=0,0,2)</f>
        <v>0</v>
      </c>
      <c r="AH50" s="64"/>
      <c r="AI50" s="394"/>
      <c r="AL50" s="123"/>
    </row>
    <row r="51" spans="2:38" x14ac:dyDescent="0.4">
      <c r="B51" s="641" t="s">
        <v>619</v>
      </c>
      <c r="C51" s="839" t="str">
        <f>IF(OR($D$82="",C$31&gt;$C$18),"",AVERAGE($D$82:$D$879,C48))</f>
        <v/>
      </c>
      <c r="D51" s="840" t="str">
        <f>IF(OR($F$82="",D$31&gt;$C$18),"",AVERAGE($F$82:$F$879,D48))</f>
        <v/>
      </c>
      <c r="E51" s="839" t="str">
        <f>IF(OR($H$82="",E$31&gt;$C$18),"",AVERAGE($H$82:$H$879,E48))</f>
        <v/>
      </c>
      <c r="F51" s="839" t="str">
        <f>IF(OR($J$82="",F$31&gt;$C$18),"",AVERAGE($J$82:$J$879,F48))</f>
        <v/>
      </c>
      <c r="G51" s="839" t="str">
        <f>IF(OR($L$82="",G$31&gt;$C$18),"",AVERAGE($L$82:$L$879,G48))</f>
        <v/>
      </c>
      <c r="H51" s="839" t="str">
        <f>IF(OR($N$82="",H$31&gt;$C$18),"",AVERAGE($N$82:$N$879,H48))</f>
        <v/>
      </c>
      <c r="I51" s="839" t="str">
        <f>IF(OR($P$82="",I$31&gt;$C$18),"",AVERAGE($P$82:$P$879,I48))</f>
        <v/>
      </c>
      <c r="J51" s="839" t="str">
        <f>IF(OR($R$82="",J$31&gt;$C$18),"",AVERAGE($R$82:$R$879,J48))</f>
        <v/>
      </c>
      <c r="K51" s="839" t="str">
        <f>IF(OR($T$82="",K$31&gt;$C$18),"",AVERAGE($T$82:$T$879,K48))</f>
        <v/>
      </c>
      <c r="L51" s="839" t="str">
        <f>IF(OR($V$82="",L$31&gt;$C$18),"",AVERAGE($V$82:$V$879,L48))</f>
        <v/>
      </c>
      <c r="M51" s="839" t="str">
        <f>IF(OR($X$82="",M$31&gt;$C$18),"",AVERAGE($X$82:$X$879,M48))</f>
        <v/>
      </c>
      <c r="N51" s="839" t="str">
        <f>IF(OR($Z$82="",N$31&gt;$C$18),"",AVERAGE($Z$82:$Z$879,N48))</f>
        <v/>
      </c>
      <c r="O51" s="839" t="str">
        <f>IF(OR($AB$82="",O$31&gt;$C$18),"",AVERAGE($AB$82:$AB$879,O48))</f>
        <v/>
      </c>
      <c r="P51" s="839" t="str">
        <f>IF(OR($AD$82="",P$31&gt;$C$18),"",AVERAGE($AD$82:$AD$879,P48))</f>
        <v/>
      </c>
      <c r="Q51" s="839" t="str">
        <f>IF(OR($AF$82="",Q$31&gt;$C$18),"",AVERAGE($AF$82:$AF$879,Q48))</f>
        <v/>
      </c>
      <c r="R51" s="49"/>
      <c r="S51" s="134"/>
      <c r="AD51" s="391">
        <f>IF($O$63="",0,$O$63)</f>
        <v>0</v>
      </c>
      <c r="AE51" s="377">
        <f>IF(AD51=0,0,3)</f>
        <v>0</v>
      </c>
      <c r="AF51" s="392">
        <f>IF($O$65="",0,$O$65)</f>
        <v>0</v>
      </c>
      <c r="AG51" s="377">
        <f>IF(AF51=0,0,2)</f>
        <v>0</v>
      </c>
      <c r="AH51" s="64"/>
      <c r="AI51" s="394"/>
      <c r="AL51" s="123"/>
    </row>
    <row r="52" spans="2:38" x14ac:dyDescent="0.4">
      <c r="B52" s="50"/>
      <c r="C52" s="842"/>
      <c r="D52" s="841"/>
      <c r="E52" s="841"/>
      <c r="F52" s="841"/>
      <c r="G52" s="841"/>
      <c r="H52" s="841"/>
      <c r="I52" s="842"/>
      <c r="J52" s="842"/>
      <c r="K52" s="842"/>
      <c r="L52" s="842"/>
      <c r="M52" s="843"/>
      <c r="N52" s="843"/>
      <c r="O52" s="835"/>
      <c r="P52" s="842"/>
      <c r="Q52" s="842"/>
      <c r="R52" s="49"/>
      <c r="S52" s="134"/>
      <c r="AD52" s="393"/>
      <c r="AE52" s="64"/>
      <c r="AF52" s="64"/>
      <c r="AG52" s="64"/>
      <c r="AH52" s="64"/>
      <c r="AI52" s="394"/>
      <c r="AL52" s="123"/>
    </row>
    <row r="53" spans="2:38" x14ac:dyDescent="0.4">
      <c r="B53" s="641" t="s">
        <v>633</v>
      </c>
      <c r="C53" s="839" t="str">
        <f>IF(C44="","",VLOOKUP(AVERAGE(C44),'Water Properties'!$B$13:$D$1013,2,TRUE)+
(VLOOKUP(AVERAGE(C44)+0.1,'Water Properties'!$B$13:$D$1013,2,TRUE)-VLOOKUP(AVERAGE(C44),'Water Properties'!$B$13:$D$1013,2,TRUE))*
(AVERAGE(C44)-VLOOKUP(AVERAGE(C44),'Water Properties'!$B$13:$D$1013,1,TRUE))/
(VLOOKUP(AVERAGE(C44)+0.1,'Water Properties'!$B$13:$D$1013,1,TRUE)-VLOOKUP(AVERAGE(C44),'Water Properties'!$B$13:$D$1013,1,TRUE)))</f>
        <v/>
      </c>
      <c r="D53" s="839" t="str">
        <f>IF(D44="","",VLOOKUP(AVERAGE(D44),'Water Properties'!$B$13:$D$1013,2,TRUE)+
(VLOOKUP(AVERAGE(D44)+0.1,'Water Properties'!$B$13:$D$1013,2,TRUE)-VLOOKUP(AVERAGE(D44),'Water Properties'!$B$13:$D$1013,2,TRUE))*
(AVERAGE(D44)-VLOOKUP(AVERAGE(D44),'Water Properties'!$B$13:$D$1013,1,TRUE))/
(VLOOKUP(AVERAGE(D44)+0.1,'Water Properties'!$B$13:$D$1013,1,TRUE)-VLOOKUP(AVERAGE(D44),'Water Properties'!$B$13:$D$1013,1,TRUE)))</f>
        <v/>
      </c>
      <c r="E53" s="839" t="str">
        <f>IF(E44="","",VLOOKUP(AVERAGE(E44),'Water Properties'!$B$13:$D$1013,2,TRUE)+
(VLOOKUP(AVERAGE(E44)+0.1,'Water Properties'!$B$13:$D$1013,2,TRUE)-VLOOKUP(AVERAGE(E44),'Water Properties'!$B$13:$D$1013,2,TRUE))*
(AVERAGE(E44)-VLOOKUP(AVERAGE(E44),'Water Properties'!$B$13:$D$1013,1,TRUE))/
(VLOOKUP(AVERAGE(E44)+0.1,'Water Properties'!$B$13:$D$1013,1,TRUE)-VLOOKUP(AVERAGE(E44),'Water Properties'!$B$13:$D$1013,1,TRUE)))</f>
        <v/>
      </c>
      <c r="F53" s="839" t="str">
        <f>IF(F44="","",VLOOKUP(AVERAGE(F44),'Water Properties'!$B$13:$D$1013,2,TRUE)+
(VLOOKUP(AVERAGE(F44)+0.1,'Water Properties'!$B$13:$D$1013,2,TRUE)-VLOOKUP(AVERAGE(F44),'Water Properties'!$B$13:$D$1013,2,TRUE))*
(AVERAGE(F44)-VLOOKUP(AVERAGE(F44),'Water Properties'!$B$13:$D$1013,1,TRUE))/
(VLOOKUP(AVERAGE(F44)+0.1,'Water Properties'!$B$13:$D$1013,1,TRUE)-VLOOKUP(AVERAGE(F44),'Water Properties'!$B$13:$D$1013,1,TRUE)))</f>
        <v/>
      </c>
      <c r="G53" s="839" t="str">
        <f>IF(G44="","",VLOOKUP(AVERAGE(G44),'Water Properties'!$B$13:$D$1013,2,TRUE)+
(VLOOKUP(AVERAGE(G44)+0.1,'Water Properties'!$B$13:$D$1013,2,TRUE)-VLOOKUP(AVERAGE(G44),'Water Properties'!$B$13:$D$1013,2,TRUE))*
(AVERAGE(G44)-VLOOKUP(AVERAGE(G44),'Water Properties'!$B$13:$D$1013,1,TRUE))/
(VLOOKUP(AVERAGE(G44)+0.1,'Water Properties'!$B$13:$D$1013,1,TRUE)-VLOOKUP(AVERAGE(G44),'Water Properties'!$B$13:$D$1013,1,TRUE)))</f>
        <v/>
      </c>
      <c r="H53" s="839" t="str">
        <f>IF(H44="","",VLOOKUP(AVERAGE(H44),'Water Properties'!$B$13:$D$1013,2,TRUE)+
(VLOOKUP(AVERAGE(H44)+0.1,'Water Properties'!$B$13:$D$1013,2,TRUE)-VLOOKUP(AVERAGE(H44),'Water Properties'!$B$13:$D$1013,2,TRUE))*
(AVERAGE(H44)-VLOOKUP(AVERAGE(H44),'Water Properties'!$B$13:$D$1013,1,TRUE))/
(VLOOKUP(AVERAGE(H44)+0.1,'Water Properties'!$B$13:$D$1013,1,TRUE)-VLOOKUP(AVERAGE(H44),'Water Properties'!$B$13:$D$1013,1,TRUE)))</f>
        <v/>
      </c>
      <c r="I53" s="839" t="str">
        <f>IF(I44="","",VLOOKUP(AVERAGE(I44),'Water Properties'!$B$13:$D$1013,2,TRUE)+
(VLOOKUP(AVERAGE(I44)+0.1,'Water Properties'!$B$13:$D$1013,2,TRUE)-VLOOKUP(AVERAGE(I44),'Water Properties'!$B$13:$D$1013,2,TRUE))*
(AVERAGE(I44)-VLOOKUP(AVERAGE(I44),'Water Properties'!$B$13:$D$1013,1,TRUE))/
(VLOOKUP(AVERAGE(I44)+0.1,'Water Properties'!$B$13:$D$1013,1,TRUE)-VLOOKUP(AVERAGE(I44),'Water Properties'!$B$13:$D$1013,1,TRUE)))</f>
        <v/>
      </c>
      <c r="J53" s="839" t="str">
        <f>IF(J44="","",VLOOKUP(AVERAGE(J44),'Water Properties'!$B$13:$D$1013,2,TRUE)+
(VLOOKUP(AVERAGE(J44)+0.1,'Water Properties'!$B$13:$D$1013,2,TRUE)-VLOOKUP(AVERAGE(J44),'Water Properties'!$B$13:$D$1013,2,TRUE))*
(AVERAGE(J44)-VLOOKUP(AVERAGE(J44),'Water Properties'!$B$13:$D$1013,1,TRUE))/
(VLOOKUP(AVERAGE(J44)+0.1,'Water Properties'!$B$13:$D$1013,1,TRUE)-VLOOKUP(AVERAGE(J44),'Water Properties'!$B$13:$D$1013,1,TRUE)))</f>
        <v/>
      </c>
      <c r="K53" s="839" t="str">
        <f>IF(K44="","",VLOOKUP(AVERAGE(K44),'Water Properties'!$B$13:$D$1013,2,TRUE)+
(VLOOKUP(AVERAGE(K44)+0.1,'Water Properties'!$B$13:$D$1013,2,TRUE)-VLOOKUP(AVERAGE(K44),'Water Properties'!$B$13:$D$1013,2,TRUE))*
(AVERAGE(K44)-VLOOKUP(AVERAGE(K44),'Water Properties'!$B$13:$D$1013,1,TRUE))/
(VLOOKUP(AVERAGE(K44)+0.1,'Water Properties'!$B$13:$D$1013,1,TRUE)-VLOOKUP(AVERAGE(K44),'Water Properties'!$B$13:$D$1013,1,TRUE)))</f>
        <v/>
      </c>
      <c r="L53" s="839" t="str">
        <f>IF(L44="","",VLOOKUP(AVERAGE(L44),'Water Properties'!$B$13:$D$1013,2,TRUE)+
(VLOOKUP(AVERAGE(L44)+0.1,'Water Properties'!$B$13:$D$1013,2,TRUE)-VLOOKUP(AVERAGE(L44),'Water Properties'!$B$13:$D$1013,2,TRUE))*
(AVERAGE(L44)-VLOOKUP(AVERAGE(L44),'Water Properties'!$B$13:$D$1013,1,TRUE))/
(VLOOKUP(AVERAGE(L44)+0.1,'Water Properties'!$B$13:$D$1013,1,TRUE)-VLOOKUP(AVERAGE(L44),'Water Properties'!$B$13:$D$1013,1,TRUE)))</f>
        <v/>
      </c>
      <c r="M53" s="839" t="str">
        <f>IF(M44="","",VLOOKUP(AVERAGE(M44),'Water Properties'!$B$13:$D$1013,2,TRUE)+
(VLOOKUP(AVERAGE(M44)+0.1,'Water Properties'!$B$13:$D$1013,2,TRUE)-VLOOKUP(AVERAGE(M44),'Water Properties'!$B$13:$D$1013,2,TRUE))*
(AVERAGE(M44)-VLOOKUP(AVERAGE(M44),'Water Properties'!$B$13:$D$1013,1,TRUE))/
(VLOOKUP(AVERAGE(M44)+0.1,'Water Properties'!$B$13:$D$1013,1,TRUE)-VLOOKUP(AVERAGE(M44),'Water Properties'!$B$13:$D$1013,1,TRUE)))</f>
        <v/>
      </c>
      <c r="N53" s="839" t="str">
        <f>IF(N44="","",VLOOKUP(AVERAGE(N44),'Water Properties'!$B$13:$D$1013,2,TRUE)+
(VLOOKUP(AVERAGE(N44)+0.1,'Water Properties'!$B$13:$D$1013,2,TRUE)-VLOOKUP(AVERAGE(N44),'Water Properties'!$B$13:$D$1013,2,TRUE))*
(AVERAGE(N44)-VLOOKUP(AVERAGE(N44),'Water Properties'!$B$13:$D$1013,1,TRUE))/
(VLOOKUP(AVERAGE(N44)+0.1,'Water Properties'!$B$13:$D$1013,1,TRUE)-VLOOKUP(AVERAGE(N44),'Water Properties'!$B$13:$D$1013,1,TRUE)))</f>
        <v/>
      </c>
      <c r="O53" s="839" t="str">
        <f>IF(O44="","",VLOOKUP(AVERAGE(O44),'Water Properties'!$B$13:$D$1013,2,TRUE)+
(VLOOKUP(AVERAGE(O44)+0.1,'Water Properties'!$B$13:$D$1013,2,TRUE)-VLOOKUP(AVERAGE(O44),'Water Properties'!$B$13:$D$1013,2,TRUE))*
(AVERAGE(O44)-VLOOKUP(AVERAGE(O44),'Water Properties'!$B$13:$D$1013,1,TRUE))/
(VLOOKUP(AVERAGE(O44)+0.1,'Water Properties'!$B$13:$D$1013,1,TRUE)-VLOOKUP(AVERAGE(O44),'Water Properties'!$B$13:$D$1013,1,TRUE)))</f>
        <v/>
      </c>
      <c r="P53" s="839" t="str">
        <f>IF(P44="","",VLOOKUP(AVERAGE(P44),'Water Properties'!$B$13:$D$1013,2,TRUE)+
(VLOOKUP(AVERAGE(P44)+0.1,'Water Properties'!$B$13:$D$1013,2,TRUE)-VLOOKUP(AVERAGE(P44),'Water Properties'!$B$13:$D$1013,2,TRUE))*
(AVERAGE(P44)-VLOOKUP(AVERAGE(P44),'Water Properties'!$B$13:$D$1013,1,TRUE))/
(VLOOKUP(AVERAGE(P44)+0.1,'Water Properties'!$B$13:$D$1013,1,TRUE)-VLOOKUP(AVERAGE(P44),'Water Properties'!$B$13:$D$1013,1,TRUE)))</f>
        <v/>
      </c>
      <c r="Q53" s="839" t="str">
        <f>IF(Q44="","",VLOOKUP(AVERAGE(Q44),'Water Properties'!$B$13:$D$1013,2,TRUE)+
(VLOOKUP(AVERAGE(Q44)+0.1,'Water Properties'!$B$13:$D$1013,2,TRUE)-VLOOKUP(AVERAGE(Q44),'Water Properties'!$B$13:$D$1013,2,TRUE))*
(AVERAGE(Q44)-VLOOKUP(AVERAGE(Q44),'Water Properties'!$B$13:$D$1013,1,TRUE))/
(VLOOKUP(AVERAGE(Q44)+0.1,'Water Properties'!$B$13:$D$1013,1,TRUE)-VLOOKUP(AVERAGE(Q44),'Water Properties'!$B$13:$D$1013,1,TRUE)))</f>
        <v/>
      </c>
      <c r="R53" s="49"/>
      <c r="S53" s="134"/>
      <c r="AD53" s="391">
        <f>IF($P$62="",0,$P$62)</f>
        <v>0</v>
      </c>
      <c r="AE53" s="377">
        <f>IF(AD53=0,0,3)</f>
        <v>0</v>
      </c>
      <c r="AF53" s="392">
        <f>IF($P$64="",0,$P$64)</f>
        <v>0</v>
      </c>
      <c r="AG53" s="377">
        <f>IF(AF53=0,0,2)</f>
        <v>0</v>
      </c>
      <c r="AH53" s="64"/>
      <c r="AI53" s="394"/>
      <c r="AL53" s="123"/>
    </row>
    <row r="54" spans="2:38" x14ac:dyDescent="0.4">
      <c r="B54" s="641" t="s">
        <v>634</v>
      </c>
      <c r="C54" s="839" t="str">
        <f>IF(C51="","",VLOOKUP(AVERAGE(C51),'Water Properties'!$B$13:$D$1013,2,TRUE)+
(VLOOKUP(AVERAGE(C51)+0.1,'Water Properties'!$B$13:$D$1013,2,TRUE)-VLOOKUP(AVERAGE(C51),'Water Properties'!$B$13:$D$1013,2,TRUE))*
(AVERAGE(C51)-VLOOKUP(AVERAGE(C51),'Water Properties'!$B$13:$D$1013,1,TRUE))/
(VLOOKUP(AVERAGE(C51)+0.1,'Water Properties'!$B$13:$D$1013,1,TRUE)-VLOOKUP(AVERAGE(C51),'Water Properties'!$B$13:$D$1013,1,TRUE)))</f>
        <v/>
      </c>
      <c r="D54" s="840" t="str">
        <f>IF(D51="","",VLOOKUP(AVERAGE(D51),'Water Properties'!$B$13:$D$1013,2,TRUE)+
(VLOOKUP(AVERAGE(D51)+0.1,'Water Properties'!$B$13:$D$1013,2,TRUE)-VLOOKUP(AVERAGE(D51),'Water Properties'!$B$13:$D$1013,2,TRUE))*
(AVERAGE(D51)-VLOOKUP(AVERAGE(D51),'Water Properties'!$B$13:$D$1013,1,TRUE))/
(VLOOKUP(AVERAGE(D51)+0.1,'Water Properties'!$B$13:$D$1013,1,TRUE)-VLOOKUP(AVERAGE(D51),'Water Properties'!$B$13:$D$1013,1,TRUE)))</f>
        <v/>
      </c>
      <c r="E54" s="839" t="str">
        <f>IF(E51="","",VLOOKUP(AVERAGE(E51),'Water Properties'!$B$13:$D$1013,2,TRUE)+
(VLOOKUP(AVERAGE(E51)+0.1,'Water Properties'!$B$13:$D$1013,2,TRUE)-VLOOKUP(AVERAGE(E51),'Water Properties'!$B$13:$D$1013,2,TRUE))*
(AVERAGE(E51)-VLOOKUP(AVERAGE(E51),'Water Properties'!$B$13:$D$1013,1,TRUE))/
(VLOOKUP(AVERAGE(E51)+0.1,'Water Properties'!$B$13:$D$1013,1,TRUE)-VLOOKUP(AVERAGE(E51),'Water Properties'!$B$13:$D$1013,1,TRUE)))</f>
        <v/>
      </c>
      <c r="F54" s="839" t="str">
        <f>IF(F51="","",VLOOKUP(AVERAGE(F51),'Water Properties'!$B$13:$D$1013,2,TRUE)+
(VLOOKUP(AVERAGE(F51)+0.1,'Water Properties'!$B$13:$D$1013,2,TRUE)-VLOOKUP(AVERAGE(F51),'Water Properties'!$B$13:$D$1013,2,TRUE))*
(AVERAGE(F51)-VLOOKUP(AVERAGE(F51),'Water Properties'!$B$13:$D$1013,1,TRUE))/
(VLOOKUP(AVERAGE(F51)+0.1,'Water Properties'!$B$13:$D$1013,1,TRUE)-VLOOKUP(AVERAGE(F51),'Water Properties'!$B$13:$D$1013,1,TRUE)))</f>
        <v/>
      </c>
      <c r="G54" s="839" t="str">
        <f>IF(G51="","",VLOOKUP(AVERAGE(G51),'Water Properties'!$B$13:$D$1013,2,TRUE)+
(VLOOKUP(AVERAGE(G51)+0.1,'Water Properties'!$B$13:$D$1013,2,TRUE)-VLOOKUP(AVERAGE(G51),'Water Properties'!$B$13:$D$1013,2,TRUE))*
(AVERAGE(G51)-VLOOKUP(AVERAGE(G51),'Water Properties'!$B$13:$D$1013,1,TRUE))/
(VLOOKUP(AVERAGE(G51)+0.1,'Water Properties'!$B$13:$D$1013,1,TRUE)-VLOOKUP(AVERAGE(G51),'Water Properties'!$B$13:$D$1013,1,TRUE)))</f>
        <v/>
      </c>
      <c r="H54" s="839" t="str">
        <f>IF(H51="","",VLOOKUP(AVERAGE(H51),'Water Properties'!$B$13:$D$1013,2,TRUE)+
(VLOOKUP(AVERAGE(H51)+0.1,'Water Properties'!$B$13:$D$1013,2,TRUE)-VLOOKUP(AVERAGE(H51),'Water Properties'!$B$13:$D$1013,2,TRUE))*
(AVERAGE(H51)-VLOOKUP(AVERAGE(H51),'Water Properties'!$B$13:$D$1013,1,TRUE))/
(VLOOKUP(AVERAGE(H51)+0.1,'Water Properties'!$B$13:$D$1013,1,TRUE)-VLOOKUP(AVERAGE(H51),'Water Properties'!$B$13:$D$1013,1,TRUE)))</f>
        <v/>
      </c>
      <c r="I54" s="839" t="str">
        <f>IF(I51="","",VLOOKUP(AVERAGE(I51),'Water Properties'!$B$13:$D$1013,2,TRUE)+
(VLOOKUP(AVERAGE(I51)+0.1,'Water Properties'!$B$13:$D$1013,2,TRUE)-VLOOKUP(AVERAGE(I51),'Water Properties'!$B$13:$D$1013,2,TRUE))*
(AVERAGE(I51)-VLOOKUP(AVERAGE(I51),'Water Properties'!$B$13:$D$1013,1,TRUE))/
(VLOOKUP(AVERAGE(I51)+0.1,'Water Properties'!$B$13:$D$1013,1,TRUE)-VLOOKUP(AVERAGE(I51),'Water Properties'!$B$13:$D$1013,1,TRUE)))</f>
        <v/>
      </c>
      <c r="J54" s="839" t="str">
        <f>IF(J51="","",VLOOKUP(AVERAGE(J51),'Water Properties'!$B$13:$D$1013,2,TRUE)+
(VLOOKUP(AVERAGE(J51)+0.1,'Water Properties'!$B$13:$D$1013,2,TRUE)-VLOOKUP(AVERAGE(J51),'Water Properties'!$B$13:$D$1013,2,TRUE))*
(AVERAGE(J51)-VLOOKUP(AVERAGE(J51),'Water Properties'!$B$13:$D$1013,1,TRUE))/
(VLOOKUP(AVERAGE(J51)+0.1,'Water Properties'!$B$13:$D$1013,1,TRUE)-VLOOKUP(AVERAGE(J51),'Water Properties'!$B$13:$D$1013,1,TRUE)))</f>
        <v/>
      </c>
      <c r="K54" s="839" t="str">
        <f>IF(K51="","",VLOOKUP(AVERAGE(K51),'Water Properties'!$B$13:$D$1013,2,TRUE)+
(VLOOKUP(AVERAGE(K51)+0.1,'Water Properties'!$B$13:$D$1013,2,TRUE)-VLOOKUP(AVERAGE(K51),'Water Properties'!$B$13:$D$1013,2,TRUE))*
(AVERAGE(K51)-VLOOKUP(AVERAGE(K51),'Water Properties'!$B$13:$D$1013,1,TRUE))/
(VLOOKUP(AVERAGE(K51)+0.1,'Water Properties'!$B$13:$D$1013,1,TRUE)-VLOOKUP(AVERAGE(K51),'Water Properties'!$B$13:$D$1013,1,TRUE)))</f>
        <v/>
      </c>
      <c r="L54" s="839" t="str">
        <f>IF(L51="","",VLOOKUP(AVERAGE(L51),'Water Properties'!$B$13:$D$1013,2,TRUE)+
(VLOOKUP(AVERAGE(L51)+0.1,'Water Properties'!$B$13:$D$1013,2,TRUE)-VLOOKUP(AVERAGE(L51),'Water Properties'!$B$13:$D$1013,2,TRUE))*
(AVERAGE(L51)-VLOOKUP(AVERAGE(L51),'Water Properties'!$B$13:$D$1013,1,TRUE))/
(VLOOKUP(AVERAGE(L51)+0.1,'Water Properties'!$B$13:$D$1013,1,TRUE)-VLOOKUP(AVERAGE(L51),'Water Properties'!$B$13:$D$1013,1,TRUE)))</f>
        <v/>
      </c>
      <c r="M54" s="839" t="str">
        <f>IF(M51="","",VLOOKUP(AVERAGE(M51),'Water Properties'!$B$13:$D$1013,2,TRUE)+
(VLOOKUP(AVERAGE(M51)+0.1,'Water Properties'!$B$13:$D$1013,2,TRUE)-VLOOKUP(AVERAGE(M51),'Water Properties'!$B$13:$D$1013,2,TRUE))*
(AVERAGE(M51)-VLOOKUP(AVERAGE(M51),'Water Properties'!$B$13:$D$1013,1,TRUE))/
(VLOOKUP(AVERAGE(M51)+0.1,'Water Properties'!$B$13:$D$1013,1,TRUE)-VLOOKUP(AVERAGE(M51),'Water Properties'!$B$13:$D$1013,1,TRUE)))</f>
        <v/>
      </c>
      <c r="N54" s="839" t="str">
        <f>IF(N51="","",VLOOKUP(AVERAGE(N51),'Water Properties'!$B$13:$D$1013,2,TRUE)+
(VLOOKUP(AVERAGE(N51)+0.1,'Water Properties'!$B$13:$D$1013,2,TRUE)-VLOOKUP(AVERAGE(N51),'Water Properties'!$B$13:$D$1013,2,TRUE))*
(AVERAGE(N51)-VLOOKUP(AVERAGE(N51),'Water Properties'!$B$13:$D$1013,1,TRUE))/
(VLOOKUP(AVERAGE(N51)+0.1,'Water Properties'!$B$13:$D$1013,1,TRUE)-VLOOKUP(AVERAGE(N51),'Water Properties'!$B$13:$D$1013,1,TRUE)))</f>
        <v/>
      </c>
      <c r="O54" s="839" t="str">
        <f>IF(O51="","",VLOOKUP(AVERAGE(O51),'Water Properties'!$B$13:$D$1013,2,TRUE)+
(VLOOKUP(AVERAGE(O51)+0.1,'Water Properties'!$B$13:$D$1013,2,TRUE)-VLOOKUP(AVERAGE(O51),'Water Properties'!$B$13:$D$1013,2,TRUE))*
(AVERAGE(O51)-VLOOKUP(AVERAGE(O51),'Water Properties'!$B$13:$D$1013,1,TRUE))/
(VLOOKUP(AVERAGE(O51)+0.1,'Water Properties'!$B$13:$D$1013,1,TRUE)-VLOOKUP(AVERAGE(O51),'Water Properties'!$B$13:$D$1013,1,TRUE)))</f>
        <v/>
      </c>
      <c r="P54" s="839" t="str">
        <f>IF(P51="","",VLOOKUP(AVERAGE(P51),'Water Properties'!$B$13:$D$1013,2,TRUE)+
(VLOOKUP(AVERAGE(P51)+0.1,'Water Properties'!$B$13:$D$1013,2,TRUE)-VLOOKUP(AVERAGE(P51),'Water Properties'!$B$13:$D$1013,2,TRUE))*
(AVERAGE(P51)-VLOOKUP(AVERAGE(P51),'Water Properties'!$B$13:$D$1013,1,TRUE))/
(VLOOKUP(AVERAGE(P51)+0.1,'Water Properties'!$B$13:$D$1013,1,TRUE)-VLOOKUP(AVERAGE(P51),'Water Properties'!$B$13:$D$1013,1,TRUE)))</f>
        <v/>
      </c>
      <c r="Q54" s="839" t="str">
        <f>IF(Q51="","",VLOOKUP(AVERAGE(Q51),'Water Properties'!$B$13:$D$1013,2,TRUE)+
(VLOOKUP(AVERAGE(Q51)+0.1,'Water Properties'!$B$13:$D$1013,2,TRUE)-VLOOKUP(AVERAGE(Q51),'Water Properties'!$B$13:$D$1013,2,TRUE))*
(AVERAGE(Q51)-VLOOKUP(AVERAGE(Q51),'Water Properties'!$B$13:$D$1013,1,TRUE))/
(VLOOKUP(AVERAGE(Q51)+0.1,'Water Properties'!$B$13:$D$1013,1,TRUE)-VLOOKUP(AVERAGE(Q51),'Water Properties'!$B$13:$D$1013,1,TRUE)))</f>
        <v/>
      </c>
      <c r="R54" s="49"/>
      <c r="S54" s="134"/>
      <c r="AD54" s="391">
        <f>IF($P$63="",0,$P$63)</f>
        <v>0</v>
      </c>
      <c r="AE54" s="377">
        <f>IF(AD54=0,0,3)</f>
        <v>0</v>
      </c>
      <c r="AF54" s="392">
        <f>IF($P$65="",0,$P$65)</f>
        <v>0</v>
      </c>
      <c r="AG54" s="377">
        <f>IF(AF54=0,0,2)</f>
        <v>0</v>
      </c>
      <c r="AH54" s="64"/>
      <c r="AI54" s="394"/>
      <c r="AL54" s="123"/>
    </row>
    <row r="55" spans="2:38" x14ac:dyDescent="0.4">
      <c r="B55" s="641" t="s">
        <v>621</v>
      </c>
      <c r="C55" s="839" t="str">
        <f>IF(C54="","",
IF($C$14="Mass",C32/IF($C$15="Inlet",C53,C54),
IF($C$14="Volume",C32,"")))</f>
        <v/>
      </c>
      <c r="D55" s="839" t="str">
        <f t="shared" ref="D55:Q55" si="2">IF(D54="","",
IF($C$14="Mass",D32/IF($C$15="Inlet",D53,D54),
IF($C$14="Volume",D32,"")))</f>
        <v/>
      </c>
      <c r="E55" s="839" t="str">
        <f t="shared" si="2"/>
        <v/>
      </c>
      <c r="F55" s="839" t="str">
        <f t="shared" si="2"/>
        <v/>
      </c>
      <c r="G55" s="839" t="str">
        <f t="shared" si="2"/>
        <v/>
      </c>
      <c r="H55" s="839" t="str">
        <f t="shared" si="2"/>
        <v/>
      </c>
      <c r="I55" s="839" t="str">
        <f t="shared" si="2"/>
        <v/>
      </c>
      <c r="J55" s="839" t="str">
        <f t="shared" si="2"/>
        <v/>
      </c>
      <c r="K55" s="839" t="str">
        <f t="shared" si="2"/>
        <v/>
      </c>
      <c r="L55" s="839" t="str">
        <f t="shared" si="2"/>
        <v/>
      </c>
      <c r="M55" s="839" t="str">
        <f t="shared" si="2"/>
        <v/>
      </c>
      <c r="N55" s="839" t="str">
        <f t="shared" si="2"/>
        <v/>
      </c>
      <c r="O55" s="839" t="str">
        <f t="shared" si="2"/>
        <v/>
      </c>
      <c r="P55" s="839" t="str">
        <f t="shared" si="2"/>
        <v/>
      </c>
      <c r="Q55" s="839" t="str">
        <f t="shared" si="2"/>
        <v/>
      </c>
      <c r="R55" s="49"/>
      <c r="S55" s="134"/>
      <c r="AD55" s="929"/>
      <c r="AE55" s="64"/>
      <c r="AF55" s="930"/>
      <c r="AG55" s="64"/>
      <c r="AH55" s="64"/>
      <c r="AI55" s="394"/>
      <c r="AL55" s="123"/>
    </row>
    <row r="56" spans="2:38" x14ac:dyDescent="0.4">
      <c r="B56" s="50"/>
      <c r="C56" s="842"/>
      <c r="D56" s="842"/>
      <c r="E56" s="842"/>
      <c r="F56" s="842"/>
      <c r="G56" s="842"/>
      <c r="H56" s="842"/>
      <c r="I56" s="842"/>
      <c r="J56" s="842"/>
      <c r="K56" s="842"/>
      <c r="L56" s="842"/>
      <c r="M56" s="842"/>
      <c r="N56" s="842"/>
      <c r="O56" s="842"/>
      <c r="P56" s="842"/>
      <c r="Q56" s="842"/>
      <c r="R56" s="49"/>
      <c r="S56" s="134"/>
      <c r="AD56" s="391">
        <f>IF($Q$62="",0,$Q$62)</f>
        <v>0</v>
      </c>
      <c r="AE56" s="377">
        <f>IF(AD56=0,0,3)</f>
        <v>0</v>
      </c>
      <c r="AF56" s="392">
        <f>IF($Q$64="",0,$Q$64)</f>
        <v>0</v>
      </c>
      <c r="AG56" s="377">
        <f>IF(AF56=0,0,2)</f>
        <v>0</v>
      </c>
      <c r="AH56" s="64"/>
      <c r="AI56" s="394"/>
      <c r="AL56" s="123"/>
    </row>
    <row r="57" spans="2:38" ht="16" thickBot="1" x14ac:dyDescent="0.45">
      <c r="B57" s="639" t="s">
        <v>441</v>
      </c>
      <c r="C57" s="839" t="str">
        <f>IF($AJ$81="","",MIN($AJ$81:$AJ$211,C59))</f>
        <v/>
      </c>
      <c r="D57" s="842"/>
      <c r="E57" s="842"/>
      <c r="F57" s="842"/>
      <c r="G57" s="842"/>
      <c r="H57" s="842"/>
      <c r="I57" s="842"/>
      <c r="J57" s="842"/>
      <c r="K57" s="842"/>
      <c r="L57" s="842"/>
      <c r="M57" s="842"/>
      <c r="N57" s="842"/>
      <c r="O57" s="842"/>
      <c r="P57" s="842"/>
      <c r="Q57" s="842"/>
      <c r="R57" s="49"/>
      <c r="S57" s="134"/>
      <c r="AD57" s="397">
        <f>IF($Q$63="",0,$Q$63)</f>
        <v>0</v>
      </c>
      <c r="AE57" s="398">
        <f>IF(AD57=0,0,3)</f>
        <v>0</v>
      </c>
      <c r="AF57" s="399">
        <f>IF($Q$65="",0,$Q$65)</f>
        <v>0</v>
      </c>
      <c r="AG57" s="398">
        <f>IF(AF57=0,0,2)</f>
        <v>0</v>
      </c>
      <c r="AH57" s="400"/>
      <c r="AI57" s="401"/>
      <c r="AL57" s="123"/>
    </row>
    <row r="58" spans="2:38" x14ac:dyDescent="0.4">
      <c r="B58" s="639" t="s">
        <v>442</v>
      </c>
      <c r="C58" s="839" t="str">
        <f>IF($AJ$81="","",MAX($AJ$81:$AJ$211,C59))</f>
        <v/>
      </c>
      <c r="D58" s="842"/>
      <c r="E58" s="842"/>
      <c r="F58" s="842"/>
      <c r="G58" s="842"/>
      <c r="H58" s="842"/>
      <c r="I58" s="842"/>
      <c r="J58" s="842"/>
      <c r="K58" s="842"/>
      <c r="L58" s="842"/>
      <c r="M58" s="842"/>
      <c r="N58" s="842"/>
      <c r="O58" s="842"/>
      <c r="P58" s="842"/>
      <c r="Q58" s="842"/>
      <c r="R58" s="49"/>
      <c r="S58" s="134"/>
      <c r="AL58" s="123"/>
    </row>
    <row r="59" spans="2:38" x14ac:dyDescent="0.4">
      <c r="B59" s="639" t="s">
        <v>615</v>
      </c>
      <c r="C59" s="832"/>
      <c r="D59" s="842"/>
      <c r="E59" s="842"/>
      <c r="F59" s="842"/>
      <c r="G59" s="842"/>
      <c r="H59" s="842"/>
      <c r="I59" s="842"/>
      <c r="J59" s="842"/>
      <c r="K59" s="842"/>
      <c r="L59" s="842"/>
      <c r="M59" s="842"/>
      <c r="N59" s="842"/>
      <c r="O59" s="842"/>
      <c r="P59" s="842"/>
      <c r="Q59" s="842"/>
      <c r="R59" s="49"/>
      <c r="S59" s="134"/>
      <c r="AL59" s="123"/>
    </row>
    <row r="60" spans="2:38" x14ac:dyDescent="0.4">
      <c r="B60" s="639" t="str">
        <f>"Ambient Temperature Within Tolerance of " &amp; TEXT(Constants!$C$46,"#.#") &amp; "°F ± " &amp; TEXT(Constants!$E$46,"#.##") &amp; " °F?"</f>
        <v>Ambient Temperature Within Tolerance of 67.5°F ± 2.5 °F?</v>
      </c>
      <c r="C60" s="844" t="str">
        <f>IF(OR($C$58="",C59=""),"",IF(AND($C$57&gt;=Constants!$C$46-Constants!$E$46,$C$58&lt;=Constants!$C$46+Constants!$E$46),"Yes","No"))</f>
        <v/>
      </c>
      <c r="D60" s="842"/>
      <c r="E60" s="842"/>
      <c r="F60" s="842"/>
      <c r="G60" s="842"/>
      <c r="H60" s="842"/>
      <c r="I60" s="842"/>
      <c r="J60" s="842"/>
      <c r="K60" s="842"/>
      <c r="L60" s="842"/>
      <c r="M60" s="842"/>
      <c r="N60" s="842"/>
      <c r="O60" s="842"/>
      <c r="P60" s="842"/>
      <c r="Q60" s="842"/>
      <c r="R60" s="49"/>
      <c r="S60" s="134"/>
      <c r="AL60" s="123"/>
    </row>
    <row r="61" spans="2:38" x14ac:dyDescent="0.4">
      <c r="B61" s="50"/>
      <c r="C61" s="134"/>
      <c r="D61" s="134"/>
      <c r="E61" s="134"/>
      <c r="F61" s="134"/>
      <c r="G61" s="134"/>
      <c r="H61" s="134"/>
      <c r="I61" s="134"/>
      <c r="J61" s="134"/>
      <c r="K61" s="134"/>
      <c r="L61" s="134"/>
      <c r="M61" s="134"/>
      <c r="N61" s="134"/>
      <c r="O61" s="134"/>
      <c r="P61" s="134"/>
      <c r="Q61" s="134"/>
      <c r="R61" s="49"/>
      <c r="S61" s="134"/>
      <c r="AL61" s="123"/>
    </row>
    <row r="62" spans="2:38" x14ac:dyDescent="0.4">
      <c r="B62" s="646" t="s">
        <v>435</v>
      </c>
      <c r="C62" s="832"/>
      <c r="D62" s="836"/>
      <c r="E62" s="832"/>
      <c r="F62" s="832"/>
      <c r="G62" s="832"/>
      <c r="H62" s="832"/>
      <c r="I62" s="832"/>
      <c r="J62" s="832"/>
      <c r="K62" s="832"/>
      <c r="L62" s="832"/>
      <c r="M62" s="832"/>
      <c r="N62" s="832"/>
      <c r="O62" s="832"/>
      <c r="P62" s="832"/>
      <c r="Q62" s="832"/>
      <c r="R62" s="49"/>
      <c r="S62" s="134"/>
      <c r="W62" s="63"/>
      <c r="AL62" s="123"/>
    </row>
    <row r="63" spans="2:38" x14ac:dyDescent="0.4">
      <c r="B63" s="646" t="s">
        <v>440</v>
      </c>
      <c r="C63" s="832"/>
      <c r="D63" s="836"/>
      <c r="E63" s="832"/>
      <c r="F63" s="832"/>
      <c r="G63" s="832"/>
      <c r="H63" s="832"/>
      <c r="I63" s="832"/>
      <c r="J63" s="832"/>
      <c r="K63" s="832"/>
      <c r="L63" s="832"/>
      <c r="M63" s="832"/>
      <c r="N63" s="832"/>
      <c r="O63" s="832"/>
      <c r="P63" s="832"/>
      <c r="Q63" s="832"/>
      <c r="R63" s="49"/>
      <c r="S63" s="134"/>
      <c r="W63" s="63"/>
      <c r="AL63" s="123"/>
    </row>
    <row r="64" spans="2:38" x14ac:dyDescent="0.4">
      <c r="B64" s="646" t="s">
        <v>436</v>
      </c>
      <c r="C64" s="845"/>
      <c r="D64" s="846"/>
      <c r="E64" s="845"/>
      <c r="F64" s="845"/>
      <c r="G64" s="845"/>
      <c r="H64" s="845"/>
      <c r="I64" s="845"/>
      <c r="J64" s="845"/>
      <c r="K64" s="845"/>
      <c r="L64" s="845"/>
      <c r="M64" s="845"/>
      <c r="N64" s="845"/>
      <c r="O64" s="845"/>
      <c r="P64" s="845"/>
      <c r="Q64" s="845"/>
      <c r="R64" s="49"/>
      <c r="S64" s="134"/>
      <c r="W64" s="63"/>
      <c r="AL64" s="123"/>
    </row>
    <row r="65" spans="2:38" ht="17.25" customHeight="1" x14ac:dyDescent="0.4">
      <c r="B65" s="646" t="s">
        <v>437</v>
      </c>
      <c r="C65" s="845"/>
      <c r="D65" s="846"/>
      <c r="E65" s="845"/>
      <c r="F65" s="845"/>
      <c r="G65" s="845"/>
      <c r="H65" s="845"/>
      <c r="I65" s="845"/>
      <c r="J65" s="845"/>
      <c r="K65" s="845"/>
      <c r="L65" s="845"/>
      <c r="M65" s="845"/>
      <c r="N65" s="845"/>
      <c r="O65" s="845"/>
      <c r="P65" s="845"/>
      <c r="Q65" s="845"/>
      <c r="R65" s="49"/>
      <c r="S65" s="134"/>
      <c r="W65" s="63"/>
      <c r="AL65" s="123"/>
    </row>
    <row r="66" spans="2:38" ht="16" thickBot="1" x14ac:dyDescent="0.45">
      <c r="B66" s="213"/>
      <c r="C66" s="253"/>
      <c r="D66" s="253"/>
      <c r="E66" s="253"/>
      <c r="F66" s="253"/>
      <c r="G66" s="253"/>
      <c r="H66" s="253"/>
      <c r="I66" s="253"/>
      <c r="J66" s="253"/>
      <c r="K66" s="253"/>
      <c r="L66" s="253"/>
      <c r="M66" s="253"/>
      <c r="N66" s="253"/>
      <c r="O66" s="253"/>
      <c r="P66" s="253"/>
      <c r="Q66" s="253"/>
      <c r="R66" s="158"/>
      <c r="S66" s="134"/>
      <c r="W66" s="63"/>
      <c r="AL66" s="123"/>
    </row>
    <row r="67" spans="2:38" x14ac:dyDescent="0.4">
      <c r="B67" s="134"/>
      <c r="C67" s="134"/>
      <c r="D67" s="134"/>
      <c r="E67" s="134"/>
      <c r="F67" s="134"/>
      <c r="G67" s="134"/>
      <c r="H67" s="134"/>
      <c r="I67" s="134"/>
      <c r="J67" s="134"/>
      <c r="K67" s="134"/>
      <c r="L67" s="134"/>
      <c r="M67" s="134"/>
      <c r="N67" s="134"/>
      <c r="O67" s="134"/>
      <c r="P67" s="134"/>
      <c r="Q67" s="134"/>
      <c r="R67" s="134"/>
      <c r="S67" s="134"/>
      <c r="W67" s="63"/>
      <c r="AL67" s="123"/>
    </row>
    <row r="68" spans="2:38" x14ac:dyDescent="0.4">
      <c r="B68" s="134"/>
      <c r="C68" s="134"/>
      <c r="D68" s="134"/>
      <c r="E68" s="134"/>
      <c r="F68" s="134"/>
      <c r="G68" s="134"/>
      <c r="H68" s="134"/>
      <c r="I68" s="134"/>
      <c r="J68" s="134"/>
      <c r="K68" s="134"/>
      <c r="L68" s="134"/>
      <c r="M68" s="134"/>
      <c r="N68" s="134"/>
      <c r="O68" s="134"/>
      <c r="P68" s="134"/>
      <c r="Q68" s="134"/>
      <c r="R68" s="134"/>
      <c r="S68" s="134"/>
      <c r="W68" s="63"/>
      <c r="AL68" s="123"/>
    </row>
    <row r="69" spans="2:38" x14ac:dyDescent="0.4">
      <c r="B69" s="134"/>
      <c r="C69" s="134"/>
      <c r="D69" s="134"/>
      <c r="E69" s="134"/>
      <c r="F69" s="134"/>
      <c r="G69" s="134"/>
      <c r="H69" s="134"/>
      <c r="I69" s="134"/>
      <c r="J69" s="134"/>
      <c r="K69" s="134"/>
      <c r="L69" s="134"/>
      <c r="M69" s="134"/>
      <c r="N69" s="134"/>
      <c r="O69" s="134"/>
      <c r="P69" s="134"/>
      <c r="Q69" s="134"/>
      <c r="R69" s="134"/>
      <c r="S69" s="134"/>
      <c r="W69" s="63"/>
      <c r="AL69" s="123"/>
    </row>
    <row r="70" spans="2:38" x14ac:dyDescent="0.4">
      <c r="S70" s="134"/>
      <c r="W70" s="63"/>
      <c r="AL70" s="123"/>
    </row>
    <row r="71" spans="2:38" x14ac:dyDescent="0.4">
      <c r="S71" s="134"/>
      <c r="W71" s="63"/>
      <c r="AL71" s="123"/>
    </row>
    <row r="72" spans="2:38" x14ac:dyDescent="0.4">
      <c r="S72" s="134"/>
      <c r="W72" s="63"/>
      <c r="AL72" s="123"/>
    </row>
    <row r="73" spans="2:38" x14ac:dyDescent="0.4">
      <c r="S73" s="134"/>
      <c r="W73" s="63"/>
      <c r="AL73" s="123"/>
    </row>
    <row r="74" spans="2:38" x14ac:dyDescent="0.4">
      <c r="S74" s="134"/>
      <c r="W74" s="63"/>
      <c r="AL74" s="123"/>
    </row>
    <row r="75" spans="2:38" x14ac:dyDescent="0.4">
      <c r="S75" s="134"/>
      <c r="W75" s="63"/>
      <c r="AL75" s="123"/>
    </row>
    <row r="76" spans="2:38" x14ac:dyDescent="0.4">
      <c r="S76" s="134"/>
      <c r="W76" s="63"/>
      <c r="AL76" s="123"/>
    </row>
    <row r="77" spans="2:38" x14ac:dyDescent="0.4">
      <c r="S77" s="134"/>
      <c r="W77" s="63"/>
      <c r="AL77" s="123"/>
    </row>
    <row r="78" spans="2:38" ht="16" thickBot="1" x14ac:dyDescent="0.45">
      <c r="S78" s="134"/>
      <c r="W78" s="63"/>
      <c r="AL78" s="123"/>
    </row>
    <row r="79" spans="2:38" ht="16" thickBot="1" x14ac:dyDescent="0.45">
      <c r="B79" s="1072" t="s">
        <v>132</v>
      </c>
      <c r="C79" s="1073"/>
      <c r="D79" s="1073"/>
      <c r="E79" s="1073"/>
      <c r="F79" s="1073"/>
      <c r="G79" s="1073"/>
      <c r="H79" s="1073"/>
      <c r="I79" s="1073"/>
      <c r="J79" s="1073"/>
      <c r="K79" s="1073"/>
      <c r="L79" s="1073"/>
      <c r="M79" s="1073"/>
      <c r="N79" s="1073"/>
      <c r="O79" s="1073"/>
      <c r="P79" s="1073"/>
      <c r="Q79" s="1073"/>
      <c r="R79" s="1073"/>
      <c r="S79" s="1073"/>
      <c r="T79" s="1073"/>
      <c r="U79" s="1073"/>
      <c r="V79" s="1073"/>
      <c r="W79" s="1073"/>
      <c r="X79" s="1073"/>
      <c r="Y79" s="1073"/>
      <c r="Z79" s="1073"/>
      <c r="AA79" s="1073"/>
      <c r="AB79" s="1073"/>
      <c r="AC79" s="1073"/>
      <c r="AD79" s="1073"/>
      <c r="AE79" s="1073"/>
      <c r="AF79" s="1073"/>
      <c r="AG79" s="1074"/>
      <c r="AI79" s="1072" t="s">
        <v>314</v>
      </c>
      <c r="AJ79" s="1074"/>
      <c r="AL79" s="123"/>
    </row>
    <row r="80" spans="2:38" ht="17.25" customHeight="1" x14ac:dyDescent="0.4">
      <c r="B80" s="1098" t="s">
        <v>431</v>
      </c>
      <c r="C80" s="1104" t="s">
        <v>161</v>
      </c>
      <c r="D80" s="1105"/>
      <c r="E80" s="1106" t="s">
        <v>162</v>
      </c>
      <c r="F80" s="1106"/>
      <c r="G80" s="1104" t="s">
        <v>163</v>
      </c>
      <c r="H80" s="1105"/>
      <c r="I80" s="1106" t="s">
        <v>164</v>
      </c>
      <c r="J80" s="1106"/>
      <c r="K80" s="1104" t="s">
        <v>165</v>
      </c>
      <c r="L80" s="1105"/>
      <c r="M80" s="1106" t="s">
        <v>166</v>
      </c>
      <c r="N80" s="1106"/>
      <c r="O80" s="1104" t="s">
        <v>167</v>
      </c>
      <c r="P80" s="1105"/>
      <c r="Q80" s="1106" t="s">
        <v>168</v>
      </c>
      <c r="R80" s="1106"/>
      <c r="S80" s="1104" t="s">
        <v>169</v>
      </c>
      <c r="T80" s="1105"/>
      <c r="U80" s="1106" t="s">
        <v>170</v>
      </c>
      <c r="V80" s="1106"/>
      <c r="W80" s="1104" t="s">
        <v>171</v>
      </c>
      <c r="X80" s="1105"/>
      <c r="Y80" s="1106" t="s">
        <v>172</v>
      </c>
      <c r="Z80" s="1106"/>
      <c r="AA80" s="1104" t="s">
        <v>173</v>
      </c>
      <c r="AB80" s="1105"/>
      <c r="AC80" s="1106" t="s">
        <v>174</v>
      </c>
      <c r="AD80" s="1106"/>
      <c r="AE80" s="1104" t="s">
        <v>352</v>
      </c>
      <c r="AF80" s="1105"/>
      <c r="AG80" s="1115" t="s">
        <v>431</v>
      </c>
      <c r="AI80" s="373" t="s">
        <v>180</v>
      </c>
      <c r="AJ80" s="375" t="s">
        <v>315</v>
      </c>
      <c r="AL80" s="123"/>
    </row>
    <row r="81" spans="2:38" ht="21.5" thickBot="1" x14ac:dyDescent="0.45">
      <c r="B81" s="1099"/>
      <c r="C81" s="359" t="s">
        <v>430</v>
      </c>
      <c r="D81" s="360" t="s">
        <v>432</v>
      </c>
      <c r="E81" s="361" t="s">
        <v>430</v>
      </c>
      <c r="F81" s="362" t="s">
        <v>432</v>
      </c>
      <c r="G81" s="359" t="s">
        <v>430</v>
      </c>
      <c r="H81" s="360" t="s">
        <v>432</v>
      </c>
      <c r="I81" s="361" t="s">
        <v>430</v>
      </c>
      <c r="J81" s="362" t="s">
        <v>432</v>
      </c>
      <c r="K81" s="359" t="s">
        <v>430</v>
      </c>
      <c r="L81" s="360" t="s">
        <v>432</v>
      </c>
      <c r="M81" s="361" t="s">
        <v>430</v>
      </c>
      <c r="N81" s="362" t="s">
        <v>432</v>
      </c>
      <c r="O81" s="359" t="s">
        <v>430</v>
      </c>
      <c r="P81" s="360" t="s">
        <v>432</v>
      </c>
      <c r="Q81" s="361" t="s">
        <v>430</v>
      </c>
      <c r="R81" s="362" t="s">
        <v>432</v>
      </c>
      <c r="S81" s="359" t="s">
        <v>430</v>
      </c>
      <c r="T81" s="360" t="s">
        <v>432</v>
      </c>
      <c r="U81" s="361" t="s">
        <v>430</v>
      </c>
      <c r="V81" s="362" t="s">
        <v>432</v>
      </c>
      <c r="W81" s="359" t="s">
        <v>430</v>
      </c>
      <c r="X81" s="360" t="s">
        <v>432</v>
      </c>
      <c r="Y81" s="361" t="s">
        <v>430</v>
      </c>
      <c r="Z81" s="362" t="s">
        <v>432</v>
      </c>
      <c r="AA81" s="359" t="s">
        <v>430</v>
      </c>
      <c r="AB81" s="360" t="s">
        <v>432</v>
      </c>
      <c r="AC81" s="361" t="s">
        <v>430</v>
      </c>
      <c r="AD81" s="362" t="s">
        <v>432</v>
      </c>
      <c r="AE81" s="359" t="s">
        <v>430</v>
      </c>
      <c r="AF81" s="360" t="s">
        <v>432</v>
      </c>
      <c r="AG81" s="1116"/>
      <c r="AI81" s="246">
        <v>0</v>
      </c>
      <c r="AJ81" s="787"/>
      <c r="AL81" s="123"/>
    </row>
    <row r="82" spans="2:38" x14ac:dyDescent="0.4">
      <c r="B82" s="357">
        <v>15</v>
      </c>
      <c r="C82" s="847"/>
      <c r="D82" s="848"/>
      <c r="E82" s="849"/>
      <c r="F82" s="850"/>
      <c r="G82" s="847"/>
      <c r="H82" s="848"/>
      <c r="I82" s="849"/>
      <c r="J82" s="850"/>
      <c r="K82" s="847"/>
      <c r="L82" s="848"/>
      <c r="M82" s="849"/>
      <c r="N82" s="850"/>
      <c r="O82" s="847"/>
      <c r="P82" s="848"/>
      <c r="Q82" s="849"/>
      <c r="R82" s="850"/>
      <c r="S82" s="847"/>
      <c r="T82" s="848"/>
      <c r="U82" s="849"/>
      <c r="V82" s="850"/>
      <c r="W82" s="847"/>
      <c r="X82" s="848"/>
      <c r="Y82" s="849"/>
      <c r="Z82" s="850"/>
      <c r="AA82" s="847"/>
      <c r="AB82" s="848"/>
      <c r="AC82" s="849"/>
      <c r="AD82" s="850"/>
      <c r="AE82" s="847"/>
      <c r="AF82" s="848"/>
      <c r="AG82" s="358">
        <v>15</v>
      </c>
      <c r="AI82" s="246">
        <v>1</v>
      </c>
      <c r="AJ82" s="787"/>
      <c r="AL82" s="123"/>
    </row>
    <row r="83" spans="2:38" x14ac:dyDescent="0.4">
      <c r="B83" s="356">
        <v>20</v>
      </c>
      <c r="C83" s="851"/>
      <c r="D83" s="787"/>
      <c r="E83" s="829"/>
      <c r="F83" s="852"/>
      <c r="G83" s="851"/>
      <c r="H83" s="787"/>
      <c r="I83" s="829"/>
      <c r="J83" s="852"/>
      <c r="K83" s="851"/>
      <c r="L83" s="787"/>
      <c r="M83" s="829"/>
      <c r="N83" s="852"/>
      <c r="O83" s="851"/>
      <c r="P83" s="787"/>
      <c r="Q83" s="829"/>
      <c r="R83" s="852"/>
      <c r="S83" s="851"/>
      <c r="T83" s="787"/>
      <c r="U83" s="829"/>
      <c r="V83" s="852"/>
      <c r="W83" s="851"/>
      <c r="X83" s="787"/>
      <c r="Y83" s="829"/>
      <c r="Z83" s="852"/>
      <c r="AA83" s="851"/>
      <c r="AB83" s="787"/>
      <c r="AC83" s="829"/>
      <c r="AD83" s="852"/>
      <c r="AE83" s="851"/>
      <c r="AF83" s="787"/>
      <c r="AG83" s="355">
        <v>20</v>
      </c>
      <c r="AI83" s="246">
        <v>2</v>
      </c>
      <c r="AJ83" s="787"/>
      <c r="AL83" s="123"/>
    </row>
    <row r="84" spans="2:38" x14ac:dyDescent="0.4">
      <c r="B84" s="356">
        <v>25</v>
      </c>
      <c r="C84" s="851"/>
      <c r="D84" s="787"/>
      <c r="E84" s="829"/>
      <c r="F84" s="852"/>
      <c r="G84" s="851"/>
      <c r="H84" s="787"/>
      <c r="I84" s="829"/>
      <c r="J84" s="852"/>
      <c r="K84" s="851"/>
      <c r="L84" s="787"/>
      <c r="M84" s="829"/>
      <c r="N84" s="852"/>
      <c r="O84" s="851"/>
      <c r="P84" s="787"/>
      <c r="Q84" s="829"/>
      <c r="R84" s="852"/>
      <c r="S84" s="851"/>
      <c r="T84" s="787"/>
      <c r="U84" s="829"/>
      <c r="V84" s="852"/>
      <c r="W84" s="851"/>
      <c r="X84" s="787"/>
      <c r="Y84" s="829"/>
      <c r="Z84" s="852"/>
      <c r="AA84" s="851"/>
      <c r="AB84" s="787"/>
      <c r="AC84" s="829"/>
      <c r="AD84" s="852"/>
      <c r="AE84" s="851"/>
      <c r="AF84" s="787"/>
      <c r="AG84" s="355">
        <v>25</v>
      </c>
      <c r="AI84" s="246">
        <v>3</v>
      </c>
      <c r="AJ84" s="787"/>
      <c r="AL84" s="123"/>
    </row>
    <row r="85" spans="2:38" x14ac:dyDescent="0.4">
      <c r="B85" s="356">
        <v>30</v>
      </c>
      <c r="C85" s="851"/>
      <c r="D85" s="787"/>
      <c r="E85" s="829"/>
      <c r="F85" s="852"/>
      <c r="G85" s="851"/>
      <c r="H85" s="787"/>
      <c r="I85" s="829"/>
      <c r="J85" s="852"/>
      <c r="K85" s="851"/>
      <c r="L85" s="787"/>
      <c r="M85" s="829"/>
      <c r="N85" s="852"/>
      <c r="O85" s="851"/>
      <c r="P85" s="787"/>
      <c r="Q85" s="829"/>
      <c r="R85" s="852"/>
      <c r="S85" s="851"/>
      <c r="T85" s="787"/>
      <c r="U85" s="829"/>
      <c r="V85" s="852"/>
      <c r="W85" s="851"/>
      <c r="X85" s="787"/>
      <c r="Y85" s="829"/>
      <c r="Z85" s="852"/>
      <c r="AA85" s="851"/>
      <c r="AB85" s="787"/>
      <c r="AC85" s="829"/>
      <c r="AD85" s="852"/>
      <c r="AE85" s="851"/>
      <c r="AF85" s="787"/>
      <c r="AG85" s="355">
        <v>30</v>
      </c>
      <c r="AI85" s="246">
        <v>4</v>
      </c>
      <c r="AJ85" s="787"/>
      <c r="AL85" s="123"/>
    </row>
    <row r="86" spans="2:38" x14ac:dyDescent="0.4">
      <c r="B86" s="356">
        <v>35</v>
      </c>
      <c r="C86" s="851"/>
      <c r="D86" s="787"/>
      <c r="E86" s="829"/>
      <c r="F86" s="852"/>
      <c r="G86" s="851"/>
      <c r="H86" s="787"/>
      <c r="I86" s="829"/>
      <c r="J86" s="852"/>
      <c r="K86" s="851"/>
      <c r="L86" s="787"/>
      <c r="M86" s="829"/>
      <c r="N86" s="852"/>
      <c r="O86" s="851"/>
      <c r="P86" s="787"/>
      <c r="Q86" s="829"/>
      <c r="R86" s="852"/>
      <c r="S86" s="851"/>
      <c r="T86" s="787"/>
      <c r="U86" s="829"/>
      <c r="V86" s="852"/>
      <c r="W86" s="851"/>
      <c r="X86" s="787"/>
      <c r="Y86" s="829"/>
      <c r="Z86" s="852"/>
      <c r="AA86" s="851"/>
      <c r="AB86" s="787"/>
      <c r="AC86" s="829"/>
      <c r="AD86" s="852"/>
      <c r="AE86" s="851"/>
      <c r="AF86" s="787"/>
      <c r="AG86" s="355">
        <v>35</v>
      </c>
      <c r="AI86" s="246">
        <v>5</v>
      </c>
      <c r="AJ86" s="787"/>
      <c r="AL86" s="123"/>
    </row>
    <row r="87" spans="2:38" x14ac:dyDescent="0.4">
      <c r="B87" s="356">
        <v>40</v>
      </c>
      <c r="C87" s="851"/>
      <c r="D87" s="787"/>
      <c r="E87" s="829"/>
      <c r="F87" s="852"/>
      <c r="G87" s="851"/>
      <c r="H87" s="787"/>
      <c r="I87" s="829"/>
      <c r="J87" s="852"/>
      <c r="K87" s="851"/>
      <c r="L87" s="787"/>
      <c r="M87" s="829"/>
      <c r="N87" s="852"/>
      <c r="O87" s="851"/>
      <c r="P87" s="787"/>
      <c r="Q87" s="829"/>
      <c r="R87" s="852"/>
      <c r="S87" s="851"/>
      <c r="T87" s="787"/>
      <c r="U87" s="829"/>
      <c r="V87" s="852"/>
      <c r="W87" s="851"/>
      <c r="X87" s="787"/>
      <c r="Y87" s="829"/>
      <c r="Z87" s="852"/>
      <c r="AA87" s="851"/>
      <c r="AB87" s="787"/>
      <c r="AC87" s="829"/>
      <c r="AD87" s="852"/>
      <c r="AE87" s="851"/>
      <c r="AF87" s="787"/>
      <c r="AG87" s="355">
        <v>40</v>
      </c>
      <c r="AI87" s="246">
        <v>6</v>
      </c>
      <c r="AJ87" s="787"/>
      <c r="AL87" s="123"/>
    </row>
    <row r="88" spans="2:38" x14ac:dyDescent="0.4">
      <c r="B88" s="356">
        <v>45</v>
      </c>
      <c r="C88" s="851"/>
      <c r="D88" s="787"/>
      <c r="E88" s="829"/>
      <c r="F88" s="852"/>
      <c r="G88" s="851"/>
      <c r="H88" s="787"/>
      <c r="I88" s="829"/>
      <c r="J88" s="852"/>
      <c r="K88" s="851"/>
      <c r="L88" s="787"/>
      <c r="M88" s="829"/>
      <c r="N88" s="852"/>
      <c r="O88" s="851"/>
      <c r="P88" s="787"/>
      <c r="Q88" s="829"/>
      <c r="R88" s="852"/>
      <c r="S88" s="851"/>
      <c r="T88" s="787"/>
      <c r="U88" s="829"/>
      <c r="V88" s="852"/>
      <c r="W88" s="851"/>
      <c r="X88" s="787"/>
      <c r="Y88" s="829"/>
      <c r="Z88" s="852"/>
      <c r="AA88" s="851"/>
      <c r="AB88" s="787"/>
      <c r="AC88" s="829"/>
      <c r="AD88" s="852"/>
      <c r="AE88" s="851"/>
      <c r="AF88" s="787"/>
      <c r="AG88" s="355">
        <v>45</v>
      </c>
      <c r="AI88" s="246">
        <v>7</v>
      </c>
      <c r="AJ88" s="787"/>
      <c r="AL88" s="123"/>
    </row>
    <row r="89" spans="2:38" x14ac:dyDescent="0.4">
      <c r="B89" s="356">
        <v>50</v>
      </c>
      <c r="C89" s="851"/>
      <c r="D89" s="787"/>
      <c r="E89" s="829"/>
      <c r="F89" s="852"/>
      <c r="G89" s="851"/>
      <c r="H89" s="787"/>
      <c r="I89" s="829"/>
      <c r="J89" s="852"/>
      <c r="K89" s="851"/>
      <c r="L89" s="787"/>
      <c r="M89" s="829"/>
      <c r="N89" s="852"/>
      <c r="O89" s="851"/>
      <c r="P89" s="787"/>
      <c r="Q89" s="829"/>
      <c r="R89" s="852"/>
      <c r="S89" s="851"/>
      <c r="T89" s="787"/>
      <c r="U89" s="829"/>
      <c r="V89" s="852"/>
      <c r="W89" s="851"/>
      <c r="X89" s="787"/>
      <c r="Y89" s="829"/>
      <c r="Z89" s="852"/>
      <c r="AA89" s="851"/>
      <c r="AB89" s="787"/>
      <c r="AC89" s="829"/>
      <c r="AD89" s="852"/>
      <c r="AE89" s="851"/>
      <c r="AF89" s="787"/>
      <c r="AG89" s="355">
        <v>50</v>
      </c>
      <c r="AI89" s="246">
        <v>8</v>
      </c>
      <c r="AJ89" s="787"/>
      <c r="AL89" s="123"/>
    </row>
    <row r="90" spans="2:38" x14ac:dyDescent="0.4">
      <c r="B90" s="356">
        <v>55</v>
      </c>
      <c r="C90" s="851"/>
      <c r="D90" s="787"/>
      <c r="E90" s="829"/>
      <c r="F90" s="852"/>
      <c r="G90" s="851"/>
      <c r="H90" s="787"/>
      <c r="I90" s="829"/>
      <c r="J90" s="852"/>
      <c r="K90" s="851"/>
      <c r="L90" s="787"/>
      <c r="M90" s="829"/>
      <c r="N90" s="852"/>
      <c r="O90" s="851"/>
      <c r="P90" s="787"/>
      <c r="Q90" s="829"/>
      <c r="R90" s="852"/>
      <c r="S90" s="851"/>
      <c r="T90" s="787"/>
      <c r="U90" s="829"/>
      <c r="V90" s="852"/>
      <c r="W90" s="851"/>
      <c r="X90" s="787"/>
      <c r="Y90" s="829"/>
      <c r="Z90" s="852"/>
      <c r="AA90" s="851"/>
      <c r="AB90" s="787"/>
      <c r="AC90" s="829"/>
      <c r="AD90" s="852"/>
      <c r="AE90" s="851"/>
      <c r="AF90" s="787"/>
      <c r="AG90" s="355">
        <v>55</v>
      </c>
      <c r="AI90" s="246">
        <v>9</v>
      </c>
      <c r="AJ90" s="787"/>
      <c r="AL90" s="123"/>
    </row>
    <row r="91" spans="2:38" x14ac:dyDescent="0.4">
      <c r="B91" s="356">
        <v>60</v>
      </c>
      <c r="C91" s="851"/>
      <c r="D91" s="787"/>
      <c r="E91" s="829"/>
      <c r="F91" s="852"/>
      <c r="G91" s="851"/>
      <c r="H91" s="787"/>
      <c r="I91" s="829"/>
      <c r="J91" s="852"/>
      <c r="K91" s="851"/>
      <c r="L91" s="787"/>
      <c r="M91" s="829"/>
      <c r="N91" s="852"/>
      <c r="O91" s="851"/>
      <c r="P91" s="787"/>
      <c r="Q91" s="829"/>
      <c r="R91" s="852"/>
      <c r="S91" s="851"/>
      <c r="T91" s="787"/>
      <c r="U91" s="829"/>
      <c r="V91" s="852"/>
      <c r="W91" s="851"/>
      <c r="X91" s="787"/>
      <c r="Y91" s="829"/>
      <c r="Z91" s="852"/>
      <c r="AA91" s="851"/>
      <c r="AB91" s="787"/>
      <c r="AC91" s="829"/>
      <c r="AD91" s="852"/>
      <c r="AE91" s="851"/>
      <c r="AF91" s="787"/>
      <c r="AG91" s="355">
        <v>60</v>
      </c>
      <c r="AI91" s="246">
        <v>10</v>
      </c>
      <c r="AJ91" s="787"/>
      <c r="AL91" s="123"/>
    </row>
    <row r="92" spans="2:38" x14ac:dyDescent="0.4">
      <c r="B92" s="356">
        <v>65</v>
      </c>
      <c r="C92" s="851"/>
      <c r="D92" s="787"/>
      <c r="E92" s="829"/>
      <c r="F92" s="852"/>
      <c r="G92" s="851"/>
      <c r="H92" s="787"/>
      <c r="I92" s="829"/>
      <c r="J92" s="852"/>
      <c r="K92" s="851"/>
      <c r="L92" s="787"/>
      <c r="M92" s="829"/>
      <c r="N92" s="852"/>
      <c r="O92" s="851"/>
      <c r="P92" s="787"/>
      <c r="Q92" s="829"/>
      <c r="R92" s="852"/>
      <c r="S92" s="851"/>
      <c r="T92" s="787"/>
      <c r="U92" s="829"/>
      <c r="V92" s="852"/>
      <c r="W92" s="851"/>
      <c r="X92" s="787"/>
      <c r="Y92" s="829"/>
      <c r="Z92" s="852"/>
      <c r="AA92" s="851"/>
      <c r="AB92" s="787"/>
      <c r="AC92" s="829"/>
      <c r="AD92" s="852"/>
      <c r="AE92" s="851"/>
      <c r="AF92" s="787"/>
      <c r="AG92" s="355">
        <v>65</v>
      </c>
      <c r="AI92" s="246">
        <v>11</v>
      </c>
      <c r="AJ92" s="787"/>
      <c r="AL92" s="123"/>
    </row>
    <row r="93" spans="2:38" x14ac:dyDescent="0.4">
      <c r="B93" s="356">
        <v>70</v>
      </c>
      <c r="C93" s="851"/>
      <c r="D93" s="787"/>
      <c r="E93" s="829"/>
      <c r="F93" s="852"/>
      <c r="G93" s="851"/>
      <c r="H93" s="787"/>
      <c r="I93" s="829"/>
      <c r="J93" s="852"/>
      <c r="K93" s="851"/>
      <c r="L93" s="787"/>
      <c r="M93" s="829"/>
      <c r="N93" s="852"/>
      <c r="O93" s="851"/>
      <c r="P93" s="787"/>
      <c r="Q93" s="829"/>
      <c r="R93" s="852"/>
      <c r="S93" s="851"/>
      <c r="T93" s="787"/>
      <c r="U93" s="829"/>
      <c r="V93" s="852"/>
      <c r="W93" s="851"/>
      <c r="X93" s="787"/>
      <c r="Y93" s="829"/>
      <c r="Z93" s="852"/>
      <c r="AA93" s="851"/>
      <c r="AB93" s="787"/>
      <c r="AC93" s="829"/>
      <c r="AD93" s="852"/>
      <c r="AE93" s="851"/>
      <c r="AF93" s="787"/>
      <c r="AG93" s="355">
        <v>70</v>
      </c>
      <c r="AI93" s="246">
        <v>12</v>
      </c>
      <c r="AJ93" s="787"/>
      <c r="AL93" s="123"/>
    </row>
    <row r="94" spans="2:38" x14ac:dyDescent="0.4">
      <c r="B94" s="356">
        <v>75</v>
      </c>
      <c r="C94" s="851"/>
      <c r="D94" s="787"/>
      <c r="E94" s="829"/>
      <c r="F94" s="852"/>
      <c r="G94" s="851"/>
      <c r="H94" s="787"/>
      <c r="I94" s="829"/>
      <c r="J94" s="852"/>
      <c r="K94" s="851"/>
      <c r="L94" s="787"/>
      <c r="M94" s="829"/>
      <c r="N94" s="852"/>
      <c r="O94" s="851"/>
      <c r="P94" s="787"/>
      <c r="Q94" s="829"/>
      <c r="R94" s="852"/>
      <c r="S94" s="851"/>
      <c r="T94" s="787"/>
      <c r="U94" s="829"/>
      <c r="V94" s="852"/>
      <c r="W94" s="851"/>
      <c r="X94" s="787"/>
      <c r="Y94" s="829"/>
      <c r="Z94" s="852"/>
      <c r="AA94" s="851"/>
      <c r="AB94" s="787"/>
      <c r="AC94" s="829"/>
      <c r="AD94" s="852"/>
      <c r="AE94" s="851"/>
      <c r="AF94" s="787"/>
      <c r="AG94" s="355">
        <v>75</v>
      </c>
      <c r="AI94" s="246">
        <v>13</v>
      </c>
      <c r="AJ94" s="787"/>
      <c r="AL94" s="123"/>
    </row>
    <row r="95" spans="2:38" x14ac:dyDescent="0.4">
      <c r="B95" s="356">
        <v>80</v>
      </c>
      <c r="C95" s="851"/>
      <c r="D95" s="787"/>
      <c r="E95" s="829"/>
      <c r="F95" s="852"/>
      <c r="G95" s="851"/>
      <c r="H95" s="787"/>
      <c r="I95" s="829"/>
      <c r="J95" s="852"/>
      <c r="K95" s="851"/>
      <c r="L95" s="787"/>
      <c r="M95" s="829"/>
      <c r="N95" s="852"/>
      <c r="O95" s="851"/>
      <c r="P95" s="787"/>
      <c r="Q95" s="829"/>
      <c r="R95" s="852"/>
      <c r="S95" s="851"/>
      <c r="T95" s="787"/>
      <c r="U95" s="829"/>
      <c r="V95" s="852"/>
      <c r="W95" s="851"/>
      <c r="X95" s="787"/>
      <c r="Y95" s="829"/>
      <c r="Z95" s="852"/>
      <c r="AA95" s="851"/>
      <c r="AB95" s="787"/>
      <c r="AC95" s="829"/>
      <c r="AD95" s="852"/>
      <c r="AE95" s="851"/>
      <c r="AF95" s="787"/>
      <c r="AG95" s="355">
        <v>80</v>
      </c>
      <c r="AI95" s="246">
        <v>14</v>
      </c>
      <c r="AJ95" s="787"/>
      <c r="AL95" s="123"/>
    </row>
    <row r="96" spans="2:38" x14ac:dyDescent="0.4">
      <c r="B96" s="356">
        <v>85</v>
      </c>
      <c r="C96" s="851"/>
      <c r="D96" s="787"/>
      <c r="E96" s="829"/>
      <c r="F96" s="852"/>
      <c r="G96" s="851"/>
      <c r="H96" s="787"/>
      <c r="I96" s="829"/>
      <c r="J96" s="852"/>
      <c r="K96" s="851"/>
      <c r="L96" s="787"/>
      <c r="M96" s="829"/>
      <c r="N96" s="852"/>
      <c r="O96" s="851"/>
      <c r="P96" s="787"/>
      <c r="Q96" s="829"/>
      <c r="R96" s="852"/>
      <c r="S96" s="851"/>
      <c r="T96" s="787"/>
      <c r="U96" s="829"/>
      <c r="V96" s="852"/>
      <c r="W96" s="851"/>
      <c r="X96" s="787"/>
      <c r="Y96" s="829"/>
      <c r="Z96" s="852"/>
      <c r="AA96" s="851"/>
      <c r="AB96" s="787"/>
      <c r="AC96" s="829"/>
      <c r="AD96" s="852"/>
      <c r="AE96" s="851"/>
      <c r="AF96" s="787"/>
      <c r="AG96" s="355">
        <v>85</v>
      </c>
      <c r="AI96" s="246">
        <v>15</v>
      </c>
      <c r="AJ96" s="787"/>
      <c r="AL96" s="123"/>
    </row>
    <row r="97" spans="2:38" x14ac:dyDescent="0.4">
      <c r="B97" s="356">
        <v>90</v>
      </c>
      <c r="C97" s="851"/>
      <c r="D97" s="787"/>
      <c r="E97" s="829"/>
      <c r="F97" s="852"/>
      <c r="G97" s="851"/>
      <c r="H97" s="787"/>
      <c r="I97" s="829"/>
      <c r="J97" s="852"/>
      <c r="K97" s="851"/>
      <c r="L97" s="787"/>
      <c r="M97" s="829"/>
      <c r="N97" s="852"/>
      <c r="O97" s="851"/>
      <c r="P97" s="787"/>
      <c r="Q97" s="829"/>
      <c r="R97" s="852"/>
      <c r="S97" s="851"/>
      <c r="T97" s="787"/>
      <c r="U97" s="829"/>
      <c r="V97" s="852"/>
      <c r="W97" s="851"/>
      <c r="X97" s="787"/>
      <c r="Y97" s="829"/>
      <c r="Z97" s="852"/>
      <c r="AA97" s="851"/>
      <c r="AB97" s="787"/>
      <c r="AC97" s="829"/>
      <c r="AD97" s="852"/>
      <c r="AE97" s="851"/>
      <c r="AF97" s="787"/>
      <c r="AG97" s="355">
        <v>90</v>
      </c>
      <c r="AI97" s="246">
        <v>16</v>
      </c>
      <c r="AJ97" s="787"/>
      <c r="AL97" s="123"/>
    </row>
    <row r="98" spans="2:38" x14ac:dyDescent="0.4">
      <c r="B98" s="356">
        <v>95</v>
      </c>
      <c r="C98" s="851"/>
      <c r="D98" s="787"/>
      <c r="E98" s="829"/>
      <c r="F98" s="852"/>
      <c r="G98" s="851"/>
      <c r="H98" s="787"/>
      <c r="I98" s="829"/>
      <c r="J98" s="852"/>
      <c r="K98" s="851"/>
      <c r="L98" s="787"/>
      <c r="M98" s="829"/>
      <c r="N98" s="852"/>
      <c r="O98" s="851"/>
      <c r="P98" s="787"/>
      <c r="Q98" s="829"/>
      <c r="R98" s="852"/>
      <c r="S98" s="851"/>
      <c r="T98" s="787"/>
      <c r="U98" s="829"/>
      <c r="V98" s="852"/>
      <c r="W98" s="851"/>
      <c r="X98" s="787"/>
      <c r="Y98" s="829"/>
      <c r="Z98" s="852"/>
      <c r="AA98" s="851"/>
      <c r="AB98" s="787"/>
      <c r="AC98" s="829"/>
      <c r="AD98" s="852"/>
      <c r="AE98" s="851"/>
      <c r="AF98" s="787"/>
      <c r="AG98" s="355">
        <v>95</v>
      </c>
      <c r="AI98" s="246">
        <v>17</v>
      </c>
      <c r="AJ98" s="787"/>
      <c r="AL98" s="123"/>
    </row>
    <row r="99" spans="2:38" x14ac:dyDescent="0.4">
      <c r="B99" s="356">
        <v>100</v>
      </c>
      <c r="C99" s="851"/>
      <c r="D99" s="787"/>
      <c r="E99" s="829"/>
      <c r="F99" s="852"/>
      <c r="G99" s="851"/>
      <c r="H99" s="787"/>
      <c r="I99" s="829"/>
      <c r="J99" s="852"/>
      <c r="K99" s="851"/>
      <c r="L99" s="787"/>
      <c r="M99" s="829"/>
      <c r="N99" s="852"/>
      <c r="O99" s="851"/>
      <c r="P99" s="787"/>
      <c r="Q99" s="829"/>
      <c r="R99" s="852"/>
      <c r="S99" s="851"/>
      <c r="T99" s="787"/>
      <c r="U99" s="829"/>
      <c r="V99" s="852"/>
      <c r="W99" s="851"/>
      <c r="X99" s="787"/>
      <c r="Y99" s="829"/>
      <c r="Z99" s="852"/>
      <c r="AA99" s="851"/>
      <c r="AB99" s="787"/>
      <c r="AC99" s="829"/>
      <c r="AD99" s="852"/>
      <c r="AE99" s="851"/>
      <c r="AF99" s="787"/>
      <c r="AG99" s="355">
        <v>100</v>
      </c>
      <c r="AI99" s="246">
        <v>18</v>
      </c>
      <c r="AJ99" s="787"/>
      <c r="AL99" s="123"/>
    </row>
    <row r="100" spans="2:38" x14ac:dyDescent="0.4">
      <c r="B100" s="356">
        <v>105</v>
      </c>
      <c r="C100" s="851"/>
      <c r="D100" s="787"/>
      <c r="E100" s="829"/>
      <c r="F100" s="852"/>
      <c r="G100" s="851"/>
      <c r="H100" s="787"/>
      <c r="I100" s="829"/>
      <c r="J100" s="852"/>
      <c r="K100" s="851"/>
      <c r="L100" s="787"/>
      <c r="M100" s="829"/>
      <c r="N100" s="852"/>
      <c r="O100" s="851"/>
      <c r="P100" s="787"/>
      <c r="Q100" s="829"/>
      <c r="R100" s="852"/>
      <c r="S100" s="851"/>
      <c r="T100" s="787"/>
      <c r="U100" s="829"/>
      <c r="V100" s="852"/>
      <c r="W100" s="851"/>
      <c r="X100" s="787"/>
      <c r="Y100" s="829"/>
      <c r="Z100" s="852"/>
      <c r="AA100" s="851"/>
      <c r="AB100" s="787"/>
      <c r="AC100" s="829"/>
      <c r="AD100" s="852"/>
      <c r="AE100" s="851"/>
      <c r="AF100" s="787"/>
      <c r="AG100" s="355">
        <v>105</v>
      </c>
      <c r="AI100" s="246">
        <v>19</v>
      </c>
      <c r="AJ100" s="787"/>
      <c r="AL100" s="123"/>
    </row>
    <row r="101" spans="2:38" x14ac:dyDescent="0.4">
      <c r="B101" s="356">
        <v>110</v>
      </c>
      <c r="C101" s="851"/>
      <c r="D101" s="787"/>
      <c r="E101" s="829"/>
      <c r="F101" s="852"/>
      <c r="G101" s="851"/>
      <c r="H101" s="787"/>
      <c r="I101" s="829"/>
      <c r="J101" s="852"/>
      <c r="K101" s="851"/>
      <c r="L101" s="787"/>
      <c r="M101" s="829"/>
      <c r="N101" s="852"/>
      <c r="O101" s="851"/>
      <c r="P101" s="787"/>
      <c r="Q101" s="829"/>
      <c r="R101" s="852"/>
      <c r="S101" s="851"/>
      <c r="T101" s="787"/>
      <c r="U101" s="829"/>
      <c r="V101" s="852"/>
      <c r="W101" s="851"/>
      <c r="X101" s="787"/>
      <c r="Y101" s="829"/>
      <c r="Z101" s="852"/>
      <c r="AA101" s="851"/>
      <c r="AB101" s="787"/>
      <c r="AC101" s="829"/>
      <c r="AD101" s="852"/>
      <c r="AE101" s="851"/>
      <c r="AF101" s="787"/>
      <c r="AG101" s="355">
        <v>110</v>
      </c>
      <c r="AI101" s="246">
        <v>20</v>
      </c>
      <c r="AJ101" s="787"/>
      <c r="AL101" s="123"/>
    </row>
    <row r="102" spans="2:38" x14ac:dyDescent="0.4">
      <c r="B102" s="356">
        <v>115</v>
      </c>
      <c r="C102" s="851"/>
      <c r="D102" s="787"/>
      <c r="E102" s="829"/>
      <c r="F102" s="852"/>
      <c r="G102" s="851"/>
      <c r="H102" s="787"/>
      <c r="I102" s="829"/>
      <c r="J102" s="852"/>
      <c r="K102" s="851"/>
      <c r="L102" s="787"/>
      <c r="M102" s="829"/>
      <c r="N102" s="852"/>
      <c r="O102" s="851"/>
      <c r="P102" s="787"/>
      <c r="Q102" s="829"/>
      <c r="R102" s="852"/>
      <c r="S102" s="851"/>
      <c r="T102" s="787"/>
      <c r="U102" s="829"/>
      <c r="V102" s="852"/>
      <c r="W102" s="851"/>
      <c r="X102" s="787"/>
      <c r="Y102" s="829"/>
      <c r="Z102" s="852"/>
      <c r="AA102" s="851"/>
      <c r="AB102" s="787"/>
      <c r="AC102" s="829"/>
      <c r="AD102" s="852"/>
      <c r="AE102" s="851"/>
      <c r="AF102" s="787"/>
      <c r="AG102" s="355">
        <v>115</v>
      </c>
      <c r="AI102" s="246">
        <v>21</v>
      </c>
      <c r="AJ102" s="787"/>
      <c r="AL102" s="123"/>
    </row>
    <row r="103" spans="2:38" x14ac:dyDescent="0.4">
      <c r="B103" s="356">
        <v>120</v>
      </c>
      <c r="C103" s="851"/>
      <c r="D103" s="787"/>
      <c r="E103" s="829"/>
      <c r="F103" s="852"/>
      <c r="G103" s="851"/>
      <c r="H103" s="787"/>
      <c r="I103" s="829"/>
      <c r="J103" s="852"/>
      <c r="K103" s="851"/>
      <c r="L103" s="787"/>
      <c r="M103" s="829"/>
      <c r="N103" s="852"/>
      <c r="O103" s="851"/>
      <c r="P103" s="787"/>
      <c r="Q103" s="829"/>
      <c r="R103" s="852"/>
      <c r="S103" s="851"/>
      <c r="T103" s="787"/>
      <c r="U103" s="829"/>
      <c r="V103" s="852"/>
      <c r="W103" s="851"/>
      <c r="X103" s="787"/>
      <c r="Y103" s="829"/>
      <c r="Z103" s="852"/>
      <c r="AA103" s="851"/>
      <c r="AB103" s="787"/>
      <c r="AC103" s="829"/>
      <c r="AD103" s="852"/>
      <c r="AE103" s="851"/>
      <c r="AF103" s="787"/>
      <c r="AG103" s="355">
        <v>120</v>
      </c>
      <c r="AI103" s="246">
        <v>22</v>
      </c>
      <c r="AJ103" s="787"/>
      <c r="AL103" s="123"/>
    </row>
    <row r="104" spans="2:38" x14ac:dyDescent="0.4">
      <c r="B104" s="356">
        <v>125</v>
      </c>
      <c r="C104" s="851"/>
      <c r="D104" s="787"/>
      <c r="E104" s="829"/>
      <c r="F104" s="852"/>
      <c r="G104" s="851"/>
      <c r="H104" s="787"/>
      <c r="I104" s="829"/>
      <c r="J104" s="852"/>
      <c r="K104" s="851"/>
      <c r="L104" s="787"/>
      <c r="M104" s="829"/>
      <c r="N104" s="852"/>
      <c r="O104" s="851"/>
      <c r="P104" s="787"/>
      <c r="Q104" s="829"/>
      <c r="R104" s="852"/>
      <c r="S104" s="851"/>
      <c r="T104" s="787"/>
      <c r="U104" s="829"/>
      <c r="V104" s="852"/>
      <c r="W104" s="851"/>
      <c r="X104" s="787"/>
      <c r="Y104" s="829"/>
      <c r="Z104" s="852"/>
      <c r="AA104" s="851"/>
      <c r="AB104" s="787"/>
      <c r="AC104" s="829"/>
      <c r="AD104" s="852"/>
      <c r="AE104" s="851"/>
      <c r="AF104" s="787"/>
      <c r="AG104" s="355">
        <v>125</v>
      </c>
      <c r="AI104" s="246">
        <v>23</v>
      </c>
      <c r="AJ104" s="787"/>
      <c r="AL104" s="123"/>
    </row>
    <row r="105" spans="2:38" x14ac:dyDescent="0.4">
      <c r="B105" s="356">
        <v>130</v>
      </c>
      <c r="C105" s="851"/>
      <c r="D105" s="787"/>
      <c r="E105" s="829"/>
      <c r="F105" s="852"/>
      <c r="G105" s="851"/>
      <c r="H105" s="787"/>
      <c r="I105" s="829"/>
      <c r="J105" s="852"/>
      <c r="K105" s="851"/>
      <c r="L105" s="787"/>
      <c r="M105" s="829"/>
      <c r="N105" s="852"/>
      <c r="O105" s="851"/>
      <c r="P105" s="787"/>
      <c r="Q105" s="829"/>
      <c r="R105" s="852"/>
      <c r="S105" s="851"/>
      <c r="T105" s="787"/>
      <c r="U105" s="829"/>
      <c r="V105" s="852"/>
      <c r="W105" s="851"/>
      <c r="X105" s="787"/>
      <c r="Y105" s="829"/>
      <c r="Z105" s="852"/>
      <c r="AA105" s="851"/>
      <c r="AB105" s="787"/>
      <c r="AC105" s="829"/>
      <c r="AD105" s="852"/>
      <c r="AE105" s="851"/>
      <c r="AF105" s="787"/>
      <c r="AG105" s="355">
        <v>130</v>
      </c>
      <c r="AI105" s="246">
        <v>24</v>
      </c>
      <c r="AJ105" s="787"/>
      <c r="AL105" s="123"/>
    </row>
    <row r="106" spans="2:38" x14ac:dyDescent="0.4">
      <c r="B106" s="356">
        <v>135</v>
      </c>
      <c r="C106" s="851"/>
      <c r="D106" s="787"/>
      <c r="E106" s="829"/>
      <c r="F106" s="852"/>
      <c r="G106" s="851"/>
      <c r="H106" s="787"/>
      <c r="I106" s="829"/>
      <c r="J106" s="852"/>
      <c r="K106" s="851"/>
      <c r="L106" s="787"/>
      <c r="M106" s="829"/>
      <c r="N106" s="852"/>
      <c r="O106" s="851"/>
      <c r="P106" s="787"/>
      <c r="Q106" s="829"/>
      <c r="R106" s="852"/>
      <c r="S106" s="851"/>
      <c r="T106" s="787"/>
      <c r="U106" s="829"/>
      <c r="V106" s="852"/>
      <c r="W106" s="851"/>
      <c r="X106" s="787"/>
      <c r="Y106" s="829"/>
      <c r="Z106" s="852"/>
      <c r="AA106" s="851"/>
      <c r="AB106" s="787"/>
      <c r="AC106" s="829"/>
      <c r="AD106" s="852"/>
      <c r="AE106" s="851"/>
      <c r="AF106" s="787"/>
      <c r="AG106" s="355">
        <v>135</v>
      </c>
      <c r="AI106" s="246">
        <v>25</v>
      </c>
      <c r="AJ106" s="787"/>
      <c r="AL106" s="123"/>
    </row>
    <row r="107" spans="2:38" x14ac:dyDescent="0.4">
      <c r="B107" s="356">
        <v>140</v>
      </c>
      <c r="C107" s="851"/>
      <c r="D107" s="787"/>
      <c r="E107" s="829"/>
      <c r="F107" s="852"/>
      <c r="G107" s="851"/>
      <c r="H107" s="787"/>
      <c r="I107" s="829"/>
      <c r="J107" s="852"/>
      <c r="K107" s="851"/>
      <c r="L107" s="787"/>
      <c r="M107" s="829"/>
      <c r="N107" s="852"/>
      <c r="O107" s="851"/>
      <c r="P107" s="787"/>
      <c r="Q107" s="829"/>
      <c r="R107" s="852"/>
      <c r="S107" s="851"/>
      <c r="T107" s="787"/>
      <c r="U107" s="829"/>
      <c r="V107" s="852"/>
      <c r="W107" s="851"/>
      <c r="X107" s="787"/>
      <c r="Y107" s="829"/>
      <c r="Z107" s="852"/>
      <c r="AA107" s="851"/>
      <c r="AB107" s="787"/>
      <c r="AC107" s="829"/>
      <c r="AD107" s="852"/>
      <c r="AE107" s="851"/>
      <c r="AF107" s="787"/>
      <c r="AG107" s="355">
        <v>140</v>
      </c>
      <c r="AI107" s="246">
        <v>26</v>
      </c>
      <c r="AJ107" s="787"/>
      <c r="AL107" s="123"/>
    </row>
    <row r="108" spans="2:38" x14ac:dyDescent="0.4">
      <c r="B108" s="356">
        <v>145</v>
      </c>
      <c r="C108" s="851"/>
      <c r="D108" s="787"/>
      <c r="E108" s="829"/>
      <c r="F108" s="852"/>
      <c r="G108" s="851"/>
      <c r="H108" s="787"/>
      <c r="I108" s="829"/>
      <c r="J108" s="852"/>
      <c r="K108" s="851"/>
      <c r="L108" s="787"/>
      <c r="M108" s="829"/>
      <c r="N108" s="852"/>
      <c r="O108" s="851"/>
      <c r="P108" s="787"/>
      <c r="Q108" s="829"/>
      <c r="R108" s="852"/>
      <c r="S108" s="851"/>
      <c r="T108" s="787"/>
      <c r="U108" s="829"/>
      <c r="V108" s="852"/>
      <c r="W108" s="851"/>
      <c r="X108" s="787"/>
      <c r="Y108" s="829"/>
      <c r="Z108" s="852"/>
      <c r="AA108" s="851"/>
      <c r="AB108" s="787"/>
      <c r="AC108" s="829"/>
      <c r="AD108" s="852"/>
      <c r="AE108" s="851"/>
      <c r="AF108" s="787"/>
      <c r="AG108" s="355">
        <v>145</v>
      </c>
      <c r="AI108" s="246">
        <v>27</v>
      </c>
      <c r="AJ108" s="787"/>
      <c r="AL108" s="123"/>
    </row>
    <row r="109" spans="2:38" x14ac:dyDescent="0.4">
      <c r="B109" s="356">
        <v>150</v>
      </c>
      <c r="C109" s="851"/>
      <c r="D109" s="787"/>
      <c r="E109" s="829"/>
      <c r="F109" s="852"/>
      <c r="G109" s="851"/>
      <c r="H109" s="787"/>
      <c r="I109" s="829"/>
      <c r="J109" s="852"/>
      <c r="K109" s="851"/>
      <c r="L109" s="787"/>
      <c r="M109" s="829"/>
      <c r="N109" s="852"/>
      <c r="O109" s="851"/>
      <c r="P109" s="787"/>
      <c r="Q109" s="829"/>
      <c r="R109" s="852"/>
      <c r="S109" s="851"/>
      <c r="T109" s="787"/>
      <c r="U109" s="829"/>
      <c r="V109" s="852"/>
      <c r="W109" s="851"/>
      <c r="X109" s="787"/>
      <c r="Y109" s="829"/>
      <c r="Z109" s="852"/>
      <c r="AA109" s="851"/>
      <c r="AB109" s="787"/>
      <c r="AC109" s="829"/>
      <c r="AD109" s="852"/>
      <c r="AE109" s="851"/>
      <c r="AF109" s="787"/>
      <c r="AG109" s="355">
        <v>150</v>
      </c>
      <c r="AI109" s="246">
        <v>28</v>
      </c>
      <c r="AJ109" s="787"/>
      <c r="AL109" s="123"/>
    </row>
    <row r="110" spans="2:38" x14ac:dyDescent="0.4">
      <c r="B110" s="356">
        <v>155</v>
      </c>
      <c r="C110" s="851"/>
      <c r="D110" s="787"/>
      <c r="E110" s="829"/>
      <c r="F110" s="852"/>
      <c r="G110" s="851"/>
      <c r="H110" s="787"/>
      <c r="I110" s="829"/>
      <c r="J110" s="852"/>
      <c r="K110" s="851"/>
      <c r="L110" s="787"/>
      <c r="M110" s="829"/>
      <c r="N110" s="852"/>
      <c r="O110" s="851"/>
      <c r="P110" s="787"/>
      <c r="Q110" s="829"/>
      <c r="R110" s="852"/>
      <c r="S110" s="851"/>
      <c r="T110" s="787"/>
      <c r="U110" s="829"/>
      <c r="V110" s="852"/>
      <c r="W110" s="851"/>
      <c r="X110" s="787"/>
      <c r="Y110" s="829"/>
      <c r="Z110" s="852"/>
      <c r="AA110" s="851"/>
      <c r="AB110" s="787"/>
      <c r="AC110" s="829"/>
      <c r="AD110" s="852"/>
      <c r="AE110" s="851"/>
      <c r="AF110" s="787"/>
      <c r="AG110" s="355">
        <v>155</v>
      </c>
      <c r="AI110" s="246">
        <v>29</v>
      </c>
      <c r="AJ110" s="787"/>
      <c r="AL110" s="123"/>
    </row>
    <row r="111" spans="2:38" x14ac:dyDescent="0.4">
      <c r="B111" s="356">
        <v>160</v>
      </c>
      <c r="C111" s="851"/>
      <c r="D111" s="787"/>
      <c r="E111" s="829"/>
      <c r="F111" s="852"/>
      <c r="G111" s="851"/>
      <c r="H111" s="787"/>
      <c r="I111" s="829"/>
      <c r="J111" s="852"/>
      <c r="K111" s="851"/>
      <c r="L111" s="787"/>
      <c r="M111" s="829"/>
      <c r="N111" s="852"/>
      <c r="O111" s="851"/>
      <c r="P111" s="787"/>
      <c r="Q111" s="829"/>
      <c r="R111" s="852"/>
      <c r="S111" s="851"/>
      <c r="T111" s="787"/>
      <c r="U111" s="829"/>
      <c r="V111" s="852"/>
      <c r="W111" s="851"/>
      <c r="X111" s="787"/>
      <c r="Y111" s="829"/>
      <c r="Z111" s="852"/>
      <c r="AA111" s="851"/>
      <c r="AB111" s="787"/>
      <c r="AC111" s="829"/>
      <c r="AD111" s="852"/>
      <c r="AE111" s="851"/>
      <c r="AF111" s="787"/>
      <c r="AG111" s="355">
        <v>160</v>
      </c>
      <c r="AI111" s="246">
        <v>30</v>
      </c>
      <c r="AJ111" s="787"/>
      <c r="AL111" s="123"/>
    </row>
    <row r="112" spans="2:38" x14ac:dyDescent="0.4">
      <c r="B112" s="356">
        <v>165</v>
      </c>
      <c r="C112" s="851"/>
      <c r="D112" s="787"/>
      <c r="E112" s="829"/>
      <c r="F112" s="852"/>
      <c r="G112" s="851"/>
      <c r="H112" s="787"/>
      <c r="I112" s="829"/>
      <c r="J112" s="852"/>
      <c r="K112" s="851"/>
      <c r="L112" s="787"/>
      <c r="M112" s="829"/>
      <c r="N112" s="852"/>
      <c r="O112" s="851"/>
      <c r="P112" s="787"/>
      <c r="Q112" s="829"/>
      <c r="R112" s="852"/>
      <c r="S112" s="851"/>
      <c r="T112" s="787"/>
      <c r="U112" s="829"/>
      <c r="V112" s="852"/>
      <c r="W112" s="851"/>
      <c r="X112" s="787"/>
      <c r="Y112" s="829"/>
      <c r="Z112" s="852"/>
      <c r="AA112" s="851"/>
      <c r="AB112" s="787"/>
      <c r="AC112" s="829"/>
      <c r="AD112" s="852"/>
      <c r="AE112" s="851"/>
      <c r="AF112" s="787"/>
      <c r="AG112" s="355">
        <v>165</v>
      </c>
      <c r="AI112" s="246">
        <v>31</v>
      </c>
      <c r="AJ112" s="787"/>
      <c r="AL112" s="123"/>
    </row>
    <row r="113" spans="2:38" x14ac:dyDescent="0.4">
      <c r="B113" s="356">
        <v>170</v>
      </c>
      <c r="C113" s="851"/>
      <c r="D113" s="787"/>
      <c r="E113" s="829"/>
      <c r="F113" s="852"/>
      <c r="G113" s="851"/>
      <c r="H113" s="787"/>
      <c r="I113" s="829"/>
      <c r="J113" s="852"/>
      <c r="K113" s="851"/>
      <c r="L113" s="787"/>
      <c r="M113" s="829"/>
      <c r="N113" s="852"/>
      <c r="O113" s="851"/>
      <c r="P113" s="787"/>
      <c r="Q113" s="829"/>
      <c r="R113" s="852"/>
      <c r="S113" s="851"/>
      <c r="T113" s="787"/>
      <c r="U113" s="829"/>
      <c r="V113" s="852"/>
      <c r="W113" s="851"/>
      <c r="X113" s="787"/>
      <c r="Y113" s="829"/>
      <c r="Z113" s="852"/>
      <c r="AA113" s="851"/>
      <c r="AB113" s="787"/>
      <c r="AC113" s="829"/>
      <c r="AD113" s="852"/>
      <c r="AE113" s="851"/>
      <c r="AF113" s="787"/>
      <c r="AG113" s="355">
        <v>170</v>
      </c>
      <c r="AI113" s="246">
        <v>32</v>
      </c>
      <c r="AJ113" s="787"/>
      <c r="AL113" s="123"/>
    </row>
    <row r="114" spans="2:38" x14ac:dyDescent="0.4">
      <c r="B114" s="356">
        <v>175</v>
      </c>
      <c r="C114" s="851"/>
      <c r="D114" s="787"/>
      <c r="E114" s="829"/>
      <c r="F114" s="852"/>
      <c r="G114" s="851"/>
      <c r="H114" s="787"/>
      <c r="I114" s="829"/>
      <c r="J114" s="852"/>
      <c r="K114" s="851"/>
      <c r="L114" s="787"/>
      <c r="M114" s="829"/>
      <c r="N114" s="852"/>
      <c r="O114" s="851"/>
      <c r="P114" s="787"/>
      <c r="Q114" s="829"/>
      <c r="R114" s="852"/>
      <c r="S114" s="851"/>
      <c r="T114" s="787"/>
      <c r="U114" s="829"/>
      <c r="V114" s="852"/>
      <c r="W114" s="851"/>
      <c r="X114" s="787"/>
      <c r="Y114" s="829"/>
      <c r="Z114" s="852"/>
      <c r="AA114" s="851"/>
      <c r="AB114" s="787"/>
      <c r="AC114" s="829"/>
      <c r="AD114" s="852"/>
      <c r="AE114" s="851"/>
      <c r="AF114" s="787"/>
      <c r="AG114" s="355">
        <v>175</v>
      </c>
      <c r="AI114" s="246">
        <v>33</v>
      </c>
      <c r="AJ114" s="787"/>
      <c r="AL114" s="123"/>
    </row>
    <row r="115" spans="2:38" x14ac:dyDescent="0.4">
      <c r="B115" s="356">
        <v>180</v>
      </c>
      <c r="C115" s="851"/>
      <c r="D115" s="787"/>
      <c r="E115" s="829"/>
      <c r="F115" s="852"/>
      <c r="G115" s="851"/>
      <c r="H115" s="787"/>
      <c r="I115" s="829"/>
      <c r="J115" s="852"/>
      <c r="K115" s="851"/>
      <c r="L115" s="787"/>
      <c r="M115" s="829"/>
      <c r="N115" s="852"/>
      <c r="O115" s="851"/>
      <c r="P115" s="787"/>
      <c r="Q115" s="829"/>
      <c r="R115" s="852"/>
      <c r="S115" s="851"/>
      <c r="T115" s="787"/>
      <c r="U115" s="829"/>
      <c r="V115" s="852"/>
      <c r="W115" s="851"/>
      <c r="X115" s="787"/>
      <c r="Y115" s="829"/>
      <c r="Z115" s="852"/>
      <c r="AA115" s="851"/>
      <c r="AB115" s="787"/>
      <c r="AC115" s="829"/>
      <c r="AD115" s="852"/>
      <c r="AE115" s="851"/>
      <c r="AF115" s="787"/>
      <c r="AG115" s="355">
        <v>180</v>
      </c>
      <c r="AI115" s="246">
        <v>34</v>
      </c>
      <c r="AJ115" s="787"/>
      <c r="AL115" s="123"/>
    </row>
    <row r="116" spans="2:38" x14ac:dyDescent="0.4">
      <c r="B116" s="356">
        <v>185</v>
      </c>
      <c r="C116" s="851"/>
      <c r="D116" s="787"/>
      <c r="E116" s="829"/>
      <c r="F116" s="852"/>
      <c r="G116" s="851"/>
      <c r="H116" s="787"/>
      <c r="I116" s="829"/>
      <c r="J116" s="852"/>
      <c r="K116" s="851"/>
      <c r="L116" s="787"/>
      <c r="M116" s="829"/>
      <c r="N116" s="852"/>
      <c r="O116" s="851"/>
      <c r="P116" s="787"/>
      <c r="Q116" s="829"/>
      <c r="R116" s="852"/>
      <c r="S116" s="851"/>
      <c r="T116" s="787"/>
      <c r="U116" s="829"/>
      <c r="V116" s="852"/>
      <c r="W116" s="851"/>
      <c r="X116" s="787"/>
      <c r="Y116" s="829"/>
      <c r="Z116" s="852"/>
      <c r="AA116" s="851"/>
      <c r="AB116" s="787"/>
      <c r="AC116" s="829"/>
      <c r="AD116" s="852"/>
      <c r="AE116" s="851"/>
      <c r="AF116" s="787"/>
      <c r="AG116" s="355">
        <v>185</v>
      </c>
      <c r="AI116" s="246">
        <v>35</v>
      </c>
      <c r="AJ116" s="787"/>
      <c r="AL116" s="123"/>
    </row>
    <row r="117" spans="2:38" x14ac:dyDescent="0.4">
      <c r="B117" s="356">
        <v>190</v>
      </c>
      <c r="C117" s="851"/>
      <c r="D117" s="787"/>
      <c r="E117" s="829"/>
      <c r="F117" s="852"/>
      <c r="G117" s="851"/>
      <c r="H117" s="787"/>
      <c r="I117" s="829"/>
      <c r="J117" s="852"/>
      <c r="K117" s="851"/>
      <c r="L117" s="787"/>
      <c r="M117" s="829"/>
      <c r="N117" s="852"/>
      <c r="O117" s="851"/>
      <c r="P117" s="787"/>
      <c r="Q117" s="829"/>
      <c r="R117" s="852"/>
      <c r="S117" s="851"/>
      <c r="T117" s="787"/>
      <c r="U117" s="829"/>
      <c r="V117" s="852"/>
      <c r="W117" s="851"/>
      <c r="X117" s="787"/>
      <c r="Y117" s="829"/>
      <c r="Z117" s="852"/>
      <c r="AA117" s="851"/>
      <c r="AB117" s="787"/>
      <c r="AC117" s="829"/>
      <c r="AD117" s="852"/>
      <c r="AE117" s="851"/>
      <c r="AF117" s="787"/>
      <c r="AG117" s="355">
        <v>190</v>
      </c>
      <c r="AI117" s="246">
        <v>36</v>
      </c>
      <c r="AJ117" s="787"/>
      <c r="AL117" s="123"/>
    </row>
    <row r="118" spans="2:38" x14ac:dyDescent="0.4">
      <c r="B118" s="356">
        <v>195</v>
      </c>
      <c r="C118" s="851"/>
      <c r="D118" s="787"/>
      <c r="E118" s="829"/>
      <c r="F118" s="852"/>
      <c r="G118" s="851"/>
      <c r="H118" s="787"/>
      <c r="I118" s="829"/>
      <c r="J118" s="852"/>
      <c r="K118" s="851"/>
      <c r="L118" s="787"/>
      <c r="M118" s="829"/>
      <c r="N118" s="852"/>
      <c r="O118" s="851"/>
      <c r="P118" s="787"/>
      <c r="Q118" s="829"/>
      <c r="R118" s="852"/>
      <c r="S118" s="851"/>
      <c r="T118" s="787"/>
      <c r="U118" s="829"/>
      <c r="V118" s="852"/>
      <c r="W118" s="851"/>
      <c r="X118" s="787"/>
      <c r="Y118" s="829"/>
      <c r="Z118" s="852"/>
      <c r="AA118" s="851"/>
      <c r="AB118" s="787"/>
      <c r="AC118" s="829"/>
      <c r="AD118" s="852"/>
      <c r="AE118" s="851"/>
      <c r="AF118" s="787"/>
      <c r="AG118" s="355">
        <v>195</v>
      </c>
      <c r="AI118" s="246">
        <v>37</v>
      </c>
      <c r="AJ118" s="787"/>
      <c r="AL118" s="123"/>
    </row>
    <row r="119" spans="2:38" x14ac:dyDescent="0.4">
      <c r="B119" s="356">
        <v>200</v>
      </c>
      <c r="C119" s="851"/>
      <c r="D119" s="787"/>
      <c r="E119" s="829"/>
      <c r="F119" s="852"/>
      <c r="G119" s="851"/>
      <c r="H119" s="787"/>
      <c r="I119" s="829"/>
      <c r="J119" s="852"/>
      <c r="K119" s="851"/>
      <c r="L119" s="787"/>
      <c r="M119" s="829"/>
      <c r="N119" s="852"/>
      <c r="O119" s="851"/>
      <c r="P119" s="787"/>
      <c r="Q119" s="829"/>
      <c r="R119" s="852"/>
      <c r="S119" s="851"/>
      <c r="T119" s="787"/>
      <c r="U119" s="829"/>
      <c r="V119" s="852"/>
      <c r="W119" s="851"/>
      <c r="X119" s="787"/>
      <c r="Y119" s="829"/>
      <c r="Z119" s="852"/>
      <c r="AA119" s="851"/>
      <c r="AB119" s="787"/>
      <c r="AC119" s="829"/>
      <c r="AD119" s="852"/>
      <c r="AE119" s="851"/>
      <c r="AF119" s="787"/>
      <c r="AG119" s="355">
        <v>200</v>
      </c>
      <c r="AI119" s="246">
        <v>38</v>
      </c>
      <c r="AJ119" s="787"/>
      <c r="AL119" s="123"/>
    </row>
    <row r="120" spans="2:38" x14ac:dyDescent="0.4">
      <c r="B120" s="356">
        <v>205</v>
      </c>
      <c r="C120" s="851"/>
      <c r="D120" s="787"/>
      <c r="E120" s="829"/>
      <c r="F120" s="852"/>
      <c r="G120" s="851"/>
      <c r="H120" s="787"/>
      <c r="I120" s="829"/>
      <c r="J120" s="852"/>
      <c r="K120" s="851"/>
      <c r="L120" s="787"/>
      <c r="M120" s="829"/>
      <c r="N120" s="852"/>
      <c r="O120" s="851"/>
      <c r="P120" s="787"/>
      <c r="Q120" s="829"/>
      <c r="R120" s="852"/>
      <c r="S120" s="851"/>
      <c r="T120" s="787"/>
      <c r="U120" s="829"/>
      <c r="V120" s="852"/>
      <c r="W120" s="851"/>
      <c r="X120" s="787"/>
      <c r="Y120" s="829"/>
      <c r="Z120" s="852"/>
      <c r="AA120" s="851"/>
      <c r="AB120" s="787"/>
      <c r="AC120" s="829"/>
      <c r="AD120" s="852"/>
      <c r="AE120" s="851"/>
      <c r="AF120" s="787"/>
      <c r="AG120" s="355">
        <v>205</v>
      </c>
      <c r="AI120" s="246">
        <v>39</v>
      </c>
      <c r="AJ120" s="787"/>
      <c r="AL120" s="123"/>
    </row>
    <row r="121" spans="2:38" x14ac:dyDescent="0.4">
      <c r="B121" s="356">
        <v>210</v>
      </c>
      <c r="C121" s="851"/>
      <c r="D121" s="787"/>
      <c r="E121" s="829"/>
      <c r="F121" s="852"/>
      <c r="G121" s="851"/>
      <c r="H121" s="787"/>
      <c r="I121" s="829"/>
      <c r="J121" s="852"/>
      <c r="K121" s="851"/>
      <c r="L121" s="787"/>
      <c r="M121" s="829"/>
      <c r="N121" s="852"/>
      <c r="O121" s="851"/>
      <c r="P121" s="787"/>
      <c r="Q121" s="829"/>
      <c r="R121" s="852"/>
      <c r="S121" s="851"/>
      <c r="T121" s="787"/>
      <c r="U121" s="829"/>
      <c r="V121" s="852"/>
      <c r="W121" s="851"/>
      <c r="X121" s="787"/>
      <c r="Y121" s="829"/>
      <c r="Z121" s="852"/>
      <c r="AA121" s="851"/>
      <c r="AB121" s="787"/>
      <c r="AC121" s="829"/>
      <c r="AD121" s="852"/>
      <c r="AE121" s="851"/>
      <c r="AF121" s="787"/>
      <c r="AG121" s="355">
        <v>210</v>
      </c>
      <c r="AI121" s="246">
        <v>40</v>
      </c>
      <c r="AJ121" s="787"/>
      <c r="AL121" s="123"/>
    </row>
    <row r="122" spans="2:38" x14ac:dyDescent="0.4">
      <c r="B122" s="356">
        <v>215</v>
      </c>
      <c r="C122" s="851"/>
      <c r="D122" s="787"/>
      <c r="E122" s="829"/>
      <c r="F122" s="852"/>
      <c r="G122" s="851"/>
      <c r="H122" s="787"/>
      <c r="I122" s="829"/>
      <c r="J122" s="852"/>
      <c r="K122" s="851"/>
      <c r="L122" s="787"/>
      <c r="M122" s="829"/>
      <c r="N122" s="852"/>
      <c r="O122" s="851"/>
      <c r="P122" s="787"/>
      <c r="Q122" s="829"/>
      <c r="R122" s="852"/>
      <c r="S122" s="851"/>
      <c r="T122" s="787"/>
      <c r="U122" s="829"/>
      <c r="V122" s="852"/>
      <c r="W122" s="851"/>
      <c r="X122" s="787"/>
      <c r="Y122" s="829"/>
      <c r="Z122" s="852"/>
      <c r="AA122" s="851"/>
      <c r="AB122" s="787"/>
      <c r="AC122" s="829"/>
      <c r="AD122" s="852"/>
      <c r="AE122" s="851"/>
      <c r="AF122" s="787"/>
      <c r="AG122" s="355">
        <v>215</v>
      </c>
      <c r="AI122" s="246">
        <v>41</v>
      </c>
      <c r="AJ122" s="787"/>
      <c r="AL122" s="123"/>
    </row>
    <row r="123" spans="2:38" x14ac:dyDescent="0.4">
      <c r="B123" s="356">
        <v>220</v>
      </c>
      <c r="C123" s="851"/>
      <c r="D123" s="787"/>
      <c r="E123" s="829"/>
      <c r="F123" s="852"/>
      <c r="G123" s="851"/>
      <c r="H123" s="787"/>
      <c r="I123" s="829"/>
      <c r="J123" s="852"/>
      <c r="K123" s="851"/>
      <c r="L123" s="787"/>
      <c r="M123" s="829"/>
      <c r="N123" s="852"/>
      <c r="O123" s="851"/>
      <c r="P123" s="787"/>
      <c r="Q123" s="829"/>
      <c r="R123" s="852"/>
      <c r="S123" s="851"/>
      <c r="T123" s="787"/>
      <c r="U123" s="829"/>
      <c r="V123" s="852"/>
      <c r="W123" s="851"/>
      <c r="X123" s="787"/>
      <c r="Y123" s="829"/>
      <c r="Z123" s="852"/>
      <c r="AA123" s="851"/>
      <c r="AB123" s="787"/>
      <c r="AC123" s="829"/>
      <c r="AD123" s="852"/>
      <c r="AE123" s="851"/>
      <c r="AF123" s="787"/>
      <c r="AG123" s="355">
        <v>220</v>
      </c>
      <c r="AI123" s="246">
        <v>42</v>
      </c>
      <c r="AJ123" s="787"/>
      <c r="AL123" s="123"/>
    </row>
    <row r="124" spans="2:38" x14ac:dyDescent="0.4">
      <c r="B124" s="356">
        <v>225</v>
      </c>
      <c r="C124" s="851"/>
      <c r="D124" s="787"/>
      <c r="E124" s="829"/>
      <c r="F124" s="852"/>
      <c r="G124" s="851"/>
      <c r="H124" s="787"/>
      <c r="I124" s="829"/>
      <c r="J124" s="852"/>
      <c r="K124" s="851"/>
      <c r="L124" s="787"/>
      <c r="M124" s="829"/>
      <c r="N124" s="852"/>
      <c r="O124" s="851"/>
      <c r="P124" s="787"/>
      <c r="Q124" s="829"/>
      <c r="R124" s="852"/>
      <c r="S124" s="851"/>
      <c r="T124" s="787"/>
      <c r="U124" s="829"/>
      <c r="V124" s="852"/>
      <c r="W124" s="851"/>
      <c r="X124" s="787"/>
      <c r="Y124" s="829"/>
      <c r="Z124" s="852"/>
      <c r="AA124" s="851"/>
      <c r="AB124" s="787"/>
      <c r="AC124" s="829"/>
      <c r="AD124" s="852"/>
      <c r="AE124" s="851"/>
      <c r="AF124" s="787"/>
      <c r="AG124" s="355">
        <v>225</v>
      </c>
      <c r="AI124" s="246">
        <v>43</v>
      </c>
      <c r="AJ124" s="787"/>
      <c r="AL124" s="123"/>
    </row>
    <row r="125" spans="2:38" x14ac:dyDescent="0.4">
      <c r="B125" s="356">
        <v>230</v>
      </c>
      <c r="C125" s="851"/>
      <c r="D125" s="787"/>
      <c r="E125" s="829"/>
      <c r="F125" s="852"/>
      <c r="G125" s="851"/>
      <c r="H125" s="787"/>
      <c r="I125" s="829"/>
      <c r="J125" s="852"/>
      <c r="K125" s="851"/>
      <c r="L125" s="787"/>
      <c r="M125" s="829"/>
      <c r="N125" s="852"/>
      <c r="O125" s="851"/>
      <c r="P125" s="787"/>
      <c r="Q125" s="829"/>
      <c r="R125" s="852"/>
      <c r="S125" s="851"/>
      <c r="T125" s="787"/>
      <c r="U125" s="829"/>
      <c r="V125" s="852"/>
      <c r="W125" s="851"/>
      <c r="X125" s="787"/>
      <c r="Y125" s="829"/>
      <c r="Z125" s="852"/>
      <c r="AA125" s="851"/>
      <c r="AB125" s="787"/>
      <c r="AC125" s="829"/>
      <c r="AD125" s="852"/>
      <c r="AE125" s="851"/>
      <c r="AF125" s="787"/>
      <c r="AG125" s="355">
        <v>230</v>
      </c>
      <c r="AI125" s="246">
        <v>44</v>
      </c>
      <c r="AJ125" s="787"/>
      <c r="AL125" s="123"/>
    </row>
    <row r="126" spans="2:38" x14ac:dyDescent="0.4">
      <c r="B126" s="356">
        <v>235</v>
      </c>
      <c r="C126" s="851"/>
      <c r="D126" s="787"/>
      <c r="E126" s="829"/>
      <c r="F126" s="852"/>
      <c r="G126" s="851"/>
      <c r="H126" s="787"/>
      <c r="I126" s="829"/>
      <c r="J126" s="852"/>
      <c r="K126" s="851"/>
      <c r="L126" s="787"/>
      <c r="M126" s="829"/>
      <c r="N126" s="852"/>
      <c r="O126" s="851"/>
      <c r="P126" s="787"/>
      <c r="Q126" s="829"/>
      <c r="R126" s="852"/>
      <c r="S126" s="851"/>
      <c r="T126" s="787"/>
      <c r="U126" s="829"/>
      <c r="V126" s="852"/>
      <c r="W126" s="851"/>
      <c r="X126" s="787"/>
      <c r="Y126" s="829"/>
      <c r="Z126" s="852"/>
      <c r="AA126" s="851"/>
      <c r="AB126" s="787"/>
      <c r="AC126" s="829"/>
      <c r="AD126" s="852"/>
      <c r="AE126" s="851"/>
      <c r="AF126" s="787"/>
      <c r="AG126" s="355">
        <v>235</v>
      </c>
      <c r="AI126" s="246">
        <v>45</v>
      </c>
      <c r="AJ126" s="787"/>
      <c r="AL126" s="123"/>
    </row>
    <row r="127" spans="2:38" x14ac:dyDescent="0.4">
      <c r="B127" s="356">
        <v>240</v>
      </c>
      <c r="C127" s="851"/>
      <c r="D127" s="787"/>
      <c r="E127" s="829"/>
      <c r="F127" s="852"/>
      <c r="G127" s="851"/>
      <c r="H127" s="787"/>
      <c r="I127" s="829"/>
      <c r="J127" s="852"/>
      <c r="K127" s="851"/>
      <c r="L127" s="787"/>
      <c r="M127" s="829"/>
      <c r="N127" s="852"/>
      <c r="O127" s="851"/>
      <c r="P127" s="787"/>
      <c r="Q127" s="829"/>
      <c r="R127" s="852"/>
      <c r="S127" s="851"/>
      <c r="T127" s="787"/>
      <c r="U127" s="829"/>
      <c r="V127" s="852"/>
      <c r="W127" s="851"/>
      <c r="X127" s="787"/>
      <c r="Y127" s="829"/>
      <c r="Z127" s="852"/>
      <c r="AA127" s="851"/>
      <c r="AB127" s="787"/>
      <c r="AC127" s="829"/>
      <c r="AD127" s="852"/>
      <c r="AE127" s="851"/>
      <c r="AF127" s="787"/>
      <c r="AG127" s="355">
        <v>240</v>
      </c>
      <c r="AI127" s="246">
        <v>46</v>
      </c>
      <c r="AJ127" s="787"/>
      <c r="AL127" s="123"/>
    </row>
    <row r="128" spans="2:38" x14ac:dyDescent="0.4">
      <c r="B128" s="356">
        <v>245</v>
      </c>
      <c r="C128" s="851"/>
      <c r="D128" s="787"/>
      <c r="E128" s="829"/>
      <c r="F128" s="852"/>
      <c r="G128" s="851"/>
      <c r="H128" s="787"/>
      <c r="I128" s="829"/>
      <c r="J128" s="852"/>
      <c r="K128" s="851"/>
      <c r="L128" s="787"/>
      <c r="M128" s="829"/>
      <c r="N128" s="852"/>
      <c r="O128" s="851"/>
      <c r="P128" s="787"/>
      <c r="Q128" s="829"/>
      <c r="R128" s="852"/>
      <c r="S128" s="851"/>
      <c r="T128" s="787"/>
      <c r="U128" s="829"/>
      <c r="V128" s="852"/>
      <c r="W128" s="851"/>
      <c r="X128" s="787"/>
      <c r="Y128" s="829"/>
      <c r="Z128" s="852"/>
      <c r="AA128" s="851"/>
      <c r="AB128" s="787"/>
      <c r="AC128" s="829"/>
      <c r="AD128" s="852"/>
      <c r="AE128" s="851"/>
      <c r="AF128" s="787"/>
      <c r="AG128" s="355">
        <v>245</v>
      </c>
      <c r="AI128" s="246">
        <v>47</v>
      </c>
      <c r="AJ128" s="787"/>
      <c r="AL128" s="123"/>
    </row>
    <row r="129" spans="2:38" x14ac:dyDescent="0.4">
      <c r="B129" s="356">
        <v>250</v>
      </c>
      <c r="C129" s="851"/>
      <c r="D129" s="787"/>
      <c r="E129" s="829"/>
      <c r="F129" s="852"/>
      <c r="G129" s="851"/>
      <c r="H129" s="787"/>
      <c r="I129" s="829"/>
      <c r="J129" s="852"/>
      <c r="K129" s="851"/>
      <c r="L129" s="787"/>
      <c r="M129" s="829"/>
      <c r="N129" s="852"/>
      <c r="O129" s="851"/>
      <c r="P129" s="787"/>
      <c r="Q129" s="829"/>
      <c r="R129" s="852"/>
      <c r="S129" s="851"/>
      <c r="T129" s="787"/>
      <c r="U129" s="829"/>
      <c r="V129" s="852"/>
      <c r="W129" s="851"/>
      <c r="X129" s="787"/>
      <c r="Y129" s="829"/>
      <c r="Z129" s="852"/>
      <c r="AA129" s="851"/>
      <c r="AB129" s="787"/>
      <c r="AC129" s="829"/>
      <c r="AD129" s="852"/>
      <c r="AE129" s="851"/>
      <c r="AF129" s="787"/>
      <c r="AG129" s="355">
        <v>250</v>
      </c>
      <c r="AI129" s="246">
        <v>48</v>
      </c>
      <c r="AJ129" s="787"/>
      <c r="AL129" s="123"/>
    </row>
    <row r="130" spans="2:38" x14ac:dyDescent="0.4">
      <c r="B130" s="356">
        <v>255</v>
      </c>
      <c r="C130" s="851"/>
      <c r="D130" s="787"/>
      <c r="E130" s="829"/>
      <c r="F130" s="852"/>
      <c r="G130" s="851"/>
      <c r="H130" s="787"/>
      <c r="I130" s="829"/>
      <c r="J130" s="852"/>
      <c r="K130" s="851"/>
      <c r="L130" s="787"/>
      <c r="M130" s="829"/>
      <c r="N130" s="852"/>
      <c r="O130" s="851"/>
      <c r="P130" s="787"/>
      <c r="Q130" s="829"/>
      <c r="R130" s="852"/>
      <c r="S130" s="851"/>
      <c r="T130" s="787"/>
      <c r="U130" s="829"/>
      <c r="V130" s="852"/>
      <c r="W130" s="851"/>
      <c r="X130" s="787"/>
      <c r="Y130" s="829"/>
      <c r="Z130" s="852"/>
      <c r="AA130" s="851"/>
      <c r="AB130" s="787"/>
      <c r="AC130" s="829"/>
      <c r="AD130" s="852"/>
      <c r="AE130" s="851"/>
      <c r="AF130" s="787"/>
      <c r="AG130" s="355">
        <v>255</v>
      </c>
      <c r="AI130" s="246">
        <v>49</v>
      </c>
      <c r="AJ130" s="787"/>
      <c r="AL130" s="123"/>
    </row>
    <row r="131" spans="2:38" x14ac:dyDescent="0.4">
      <c r="B131" s="356">
        <v>260</v>
      </c>
      <c r="C131" s="851"/>
      <c r="D131" s="787"/>
      <c r="E131" s="829"/>
      <c r="F131" s="852"/>
      <c r="G131" s="851"/>
      <c r="H131" s="787"/>
      <c r="I131" s="829"/>
      <c r="J131" s="852"/>
      <c r="K131" s="851"/>
      <c r="L131" s="787"/>
      <c r="M131" s="829"/>
      <c r="N131" s="852"/>
      <c r="O131" s="851"/>
      <c r="P131" s="787"/>
      <c r="Q131" s="829"/>
      <c r="R131" s="852"/>
      <c r="S131" s="851"/>
      <c r="T131" s="787"/>
      <c r="U131" s="829"/>
      <c r="V131" s="852"/>
      <c r="W131" s="851"/>
      <c r="X131" s="787"/>
      <c r="Y131" s="829"/>
      <c r="Z131" s="852"/>
      <c r="AA131" s="851"/>
      <c r="AB131" s="787"/>
      <c r="AC131" s="829"/>
      <c r="AD131" s="852"/>
      <c r="AE131" s="851"/>
      <c r="AF131" s="787"/>
      <c r="AG131" s="355">
        <v>260</v>
      </c>
      <c r="AI131" s="246">
        <v>50</v>
      </c>
      <c r="AJ131" s="787"/>
      <c r="AL131" s="123"/>
    </row>
    <row r="132" spans="2:38" x14ac:dyDescent="0.4">
      <c r="B132" s="356">
        <v>265</v>
      </c>
      <c r="C132" s="851"/>
      <c r="D132" s="787"/>
      <c r="E132" s="829"/>
      <c r="F132" s="852"/>
      <c r="G132" s="851"/>
      <c r="H132" s="787"/>
      <c r="I132" s="829"/>
      <c r="J132" s="852"/>
      <c r="K132" s="851"/>
      <c r="L132" s="787"/>
      <c r="M132" s="829"/>
      <c r="N132" s="852"/>
      <c r="O132" s="851"/>
      <c r="P132" s="787"/>
      <c r="Q132" s="829"/>
      <c r="R132" s="852"/>
      <c r="S132" s="851"/>
      <c r="T132" s="787"/>
      <c r="U132" s="829"/>
      <c r="V132" s="852"/>
      <c r="W132" s="851"/>
      <c r="X132" s="787"/>
      <c r="Y132" s="829"/>
      <c r="Z132" s="852"/>
      <c r="AA132" s="851"/>
      <c r="AB132" s="787"/>
      <c r="AC132" s="829"/>
      <c r="AD132" s="852"/>
      <c r="AE132" s="851"/>
      <c r="AF132" s="787"/>
      <c r="AG132" s="355">
        <v>265</v>
      </c>
      <c r="AI132" s="246">
        <v>51</v>
      </c>
      <c r="AJ132" s="787"/>
      <c r="AL132" s="123"/>
    </row>
    <row r="133" spans="2:38" x14ac:dyDescent="0.4">
      <c r="B133" s="356">
        <v>270</v>
      </c>
      <c r="C133" s="851"/>
      <c r="D133" s="787"/>
      <c r="E133" s="829"/>
      <c r="F133" s="852"/>
      <c r="G133" s="851"/>
      <c r="H133" s="787"/>
      <c r="I133" s="829"/>
      <c r="J133" s="852"/>
      <c r="K133" s="851"/>
      <c r="L133" s="787"/>
      <c r="M133" s="829"/>
      <c r="N133" s="852"/>
      <c r="O133" s="851"/>
      <c r="P133" s="787"/>
      <c r="Q133" s="829"/>
      <c r="R133" s="852"/>
      <c r="S133" s="851"/>
      <c r="T133" s="787"/>
      <c r="U133" s="829"/>
      <c r="V133" s="852"/>
      <c r="W133" s="851"/>
      <c r="X133" s="787"/>
      <c r="Y133" s="829"/>
      <c r="Z133" s="852"/>
      <c r="AA133" s="851"/>
      <c r="AB133" s="787"/>
      <c r="AC133" s="829"/>
      <c r="AD133" s="852"/>
      <c r="AE133" s="851"/>
      <c r="AF133" s="787"/>
      <c r="AG133" s="355">
        <v>270</v>
      </c>
      <c r="AI133" s="246">
        <v>52</v>
      </c>
      <c r="AJ133" s="787"/>
      <c r="AL133" s="123"/>
    </row>
    <row r="134" spans="2:38" x14ac:dyDescent="0.4">
      <c r="B134" s="356">
        <v>275</v>
      </c>
      <c r="C134" s="851"/>
      <c r="D134" s="787"/>
      <c r="E134" s="829"/>
      <c r="F134" s="852"/>
      <c r="G134" s="851"/>
      <c r="H134" s="787"/>
      <c r="I134" s="829"/>
      <c r="J134" s="852"/>
      <c r="K134" s="851"/>
      <c r="L134" s="787"/>
      <c r="M134" s="829"/>
      <c r="N134" s="852"/>
      <c r="O134" s="851"/>
      <c r="P134" s="787"/>
      <c r="Q134" s="829"/>
      <c r="R134" s="852"/>
      <c r="S134" s="851"/>
      <c r="T134" s="787"/>
      <c r="U134" s="829"/>
      <c r="V134" s="852"/>
      <c r="W134" s="851"/>
      <c r="X134" s="787"/>
      <c r="Y134" s="829"/>
      <c r="Z134" s="852"/>
      <c r="AA134" s="851"/>
      <c r="AB134" s="787"/>
      <c r="AC134" s="829"/>
      <c r="AD134" s="852"/>
      <c r="AE134" s="851"/>
      <c r="AF134" s="787"/>
      <c r="AG134" s="355">
        <v>275</v>
      </c>
      <c r="AI134" s="246">
        <v>53</v>
      </c>
      <c r="AJ134" s="787"/>
      <c r="AL134" s="123"/>
    </row>
    <row r="135" spans="2:38" x14ac:dyDescent="0.4">
      <c r="B135" s="356">
        <v>280</v>
      </c>
      <c r="C135" s="851"/>
      <c r="D135" s="787"/>
      <c r="E135" s="829"/>
      <c r="F135" s="852"/>
      <c r="G135" s="851"/>
      <c r="H135" s="787"/>
      <c r="I135" s="829"/>
      <c r="J135" s="852"/>
      <c r="K135" s="851"/>
      <c r="L135" s="787"/>
      <c r="M135" s="829"/>
      <c r="N135" s="852"/>
      <c r="O135" s="851"/>
      <c r="P135" s="787"/>
      <c r="Q135" s="829"/>
      <c r="R135" s="852"/>
      <c r="S135" s="851"/>
      <c r="T135" s="787"/>
      <c r="U135" s="829"/>
      <c r="V135" s="852"/>
      <c r="W135" s="851"/>
      <c r="X135" s="787"/>
      <c r="Y135" s="829"/>
      <c r="Z135" s="852"/>
      <c r="AA135" s="851"/>
      <c r="AB135" s="787"/>
      <c r="AC135" s="829"/>
      <c r="AD135" s="852"/>
      <c r="AE135" s="851"/>
      <c r="AF135" s="787"/>
      <c r="AG135" s="355">
        <v>280</v>
      </c>
      <c r="AI135" s="246">
        <v>54</v>
      </c>
      <c r="AJ135" s="787"/>
      <c r="AL135" s="123"/>
    </row>
    <row r="136" spans="2:38" x14ac:dyDescent="0.4">
      <c r="B136" s="356">
        <v>285</v>
      </c>
      <c r="C136" s="851"/>
      <c r="D136" s="787"/>
      <c r="E136" s="829"/>
      <c r="F136" s="852"/>
      <c r="G136" s="851"/>
      <c r="H136" s="787"/>
      <c r="I136" s="829"/>
      <c r="J136" s="852"/>
      <c r="K136" s="851"/>
      <c r="L136" s="787"/>
      <c r="M136" s="829"/>
      <c r="N136" s="852"/>
      <c r="O136" s="851"/>
      <c r="P136" s="787"/>
      <c r="Q136" s="829"/>
      <c r="R136" s="852"/>
      <c r="S136" s="851"/>
      <c r="T136" s="787"/>
      <c r="U136" s="829"/>
      <c r="V136" s="852"/>
      <c r="W136" s="851"/>
      <c r="X136" s="787"/>
      <c r="Y136" s="829"/>
      <c r="Z136" s="852"/>
      <c r="AA136" s="851"/>
      <c r="AB136" s="787"/>
      <c r="AC136" s="829"/>
      <c r="AD136" s="852"/>
      <c r="AE136" s="851"/>
      <c r="AF136" s="787"/>
      <c r="AG136" s="355">
        <v>285</v>
      </c>
      <c r="AI136" s="246">
        <v>55</v>
      </c>
      <c r="AJ136" s="787"/>
      <c r="AL136" s="123"/>
    </row>
    <row r="137" spans="2:38" x14ac:dyDescent="0.4">
      <c r="B137" s="356">
        <v>290</v>
      </c>
      <c r="C137" s="851"/>
      <c r="D137" s="787"/>
      <c r="E137" s="829"/>
      <c r="F137" s="852"/>
      <c r="G137" s="851"/>
      <c r="H137" s="787"/>
      <c r="I137" s="829"/>
      <c r="J137" s="852"/>
      <c r="K137" s="851"/>
      <c r="L137" s="787"/>
      <c r="M137" s="829"/>
      <c r="N137" s="852"/>
      <c r="O137" s="851"/>
      <c r="P137" s="787"/>
      <c r="Q137" s="829"/>
      <c r="R137" s="852"/>
      <c r="S137" s="851"/>
      <c r="T137" s="787"/>
      <c r="U137" s="829"/>
      <c r="V137" s="852"/>
      <c r="W137" s="851"/>
      <c r="X137" s="787"/>
      <c r="Y137" s="829"/>
      <c r="Z137" s="852"/>
      <c r="AA137" s="851"/>
      <c r="AB137" s="787"/>
      <c r="AC137" s="829"/>
      <c r="AD137" s="852"/>
      <c r="AE137" s="851"/>
      <c r="AF137" s="787"/>
      <c r="AG137" s="355">
        <v>290</v>
      </c>
      <c r="AI137" s="246">
        <v>56</v>
      </c>
      <c r="AJ137" s="787"/>
      <c r="AL137" s="123"/>
    </row>
    <row r="138" spans="2:38" x14ac:dyDescent="0.4">
      <c r="B138" s="356">
        <v>295</v>
      </c>
      <c r="C138" s="851"/>
      <c r="D138" s="787"/>
      <c r="E138" s="829"/>
      <c r="F138" s="852"/>
      <c r="G138" s="851"/>
      <c r="H138" s="787"/>
      <c r="I138" s="829"/>
      <c r="J138" s="852"/>
      <c r="K138" s="851"/>
      <c r="L138" s="787"/>
      <c r="M138" s="829"/>
      <c r="N138" s="852"/>
      <c r="O138" s="851"/>
      <c r="P138" s="787"/>
      <c r="Q138" s="829"/>
      <c r="R138" s="852"/>
      <c r="S138" s="851"/>
      <c r="T138" s="787"/>
      <c r="U138" s="829"/>
      <c r="V138" s="852"/>
      <c r="W138" s="851"/>
      <c r="X138" s="787"/>
      <c r="Y138" s="829"/>
      <c r="Z138" s="852"/>
      <c r="AA138" s="851"/>
      <c r="AB138" s="787"/>
      <c r="AC138" s="829"/>
      <c r="AD138" s="852"/>
      <c r="AE138" s="851"/>
      <c r="AF138" s="787"/>
      <c r="AG138" s="355">
        <v>295</v>
      </c>
      <c r="AI138" s="246">
        <v>57</v>
      </c>
      <c r="AJ138" s="787"/>
      <c r="AL138" s="123"/>
    </row>
    <row r="139" spans="2:38" x14ac:dyDescent="0.4">
      <c r="B139" s="356">
        <v>300</v>
      </c>
      <c r="C139" s="851"/>
      <c r="D139" s="787"/>
      <c r="E139" s="829"/>
      <c r="F139" s="852"/>
      <c r="G139" s="851"/>
      <c r="H139" s="787"/>
      <c r="I139" s="829"/>
      <c r="J139" s="852"/>
      <c r="K139" s="851"/>
      <c r="L139" s="787"/>
      <c r="M139" s="829"/>
      <c r="N139" s="852"/>
      <c r="O139" s="851"/>
      <c r="P139" s="787"/>
      <c r="Q139" s="829"/>
      <c r="R139" s="852"/>
      <c r="S139" s="851"/>
      <c r="T139" s="787"/>
      <c r="U139" s="829"/>
      <c r="V139" s="852"/>
      <c r="W139" s="851"/>
      <c r="X139" s="787"/>
      <c r="Y139" s="829"/>
      <c r="Z139" s="852"/>
      <c r="AA139" s="851"/>
      <c r="AB139" s="787"/>
      <c r="AC139" s="829"/>
      <c r="AD139" s="852"/>
      <c r="AE139" s="851"/>
      <c r="AF139" s="787"/>
      <c r="AG139" s="355">
        <v>300</v>
      </c>
      <c r="AI139" s="246">
        <v>58</v>
      </c>
      <c r="AJ139" s="787"/>
      <c r="AL139" s="123"/>
    </row>
    <row r="140" spans="2:38" x14ac:dyDescent="0.4">
      <c r="B140" s="356">
        <v>305</v>
      </c>
      <c r="C140" s="851"/>
      <c r="D140" s="787"/>
      <c r="E140" s="829"/>
      <c r="F140" s="852"/>
      <c r="G140" s="851"/>
      <c r="H140" s="787"/>
      <c r="I140" s="829"/>
      <c r="J140" s="852"/>
      <c r="K140" s="851"/>
      <c r="L140" s="787"/>
      <c r="M140" s="829"/>
      <c r="N140" s="852"/>
      <c r="O140" s="851"/>
      <c r="P140" s="787"/>
      <c r="Q140" s="829"/>
      <c r="R140" s="852"/>
      <c r="S140" s="851"/>
      <c r="T140" s="787"/>
      <c r="U140" s="829"/>
      <c r="V140" s="852"/>
      <c r="W140" s="851"/>
      <c r="X140" s="787"/>
      <c r="Y140" s="829"/>
      <c r="Z140" s="852"/>
      <c r="AA140" s="851"/>
      <c r="AB140" s="787"/>
      <c r="AC140" s="829"/>
      <c r="AD140" s="852"/>
      <c r="AE140" s="851"/>
      <c r="AF140" s="787"/>
      <c r="AG140" s="355">
        <v>305</v>
      </c>
      <c r="AI140" s="246">
        <v>59</v>
      </c>
      <c r="AJ140" s="787"/>
      <c r="AL140" s="123"/>
    </row>
    <row r="141" spans="2:38" x14ac:dyDescent="0.4">
      <c r="B141" s="356">
        <v>310</v>
      </c>
      <c r="C141" s="851"/>
      <c r="D141" s="787"/>
      <c r="E141" s="829"/>
      <c r="F141" s="852"/>
      <c r="G141" s="851"/>
      <c r="H141" s="787"/>
      <c r="I141" s="829"/>
      <c r="J141" s="852"/>
      <c r="K141" s="851"/>
      <c r="L141" s="787"/>
      <c r="M141" s="829"/>
      <c r="N141" s="852"/>
      <c r="O141" s="851"/>
      <c r="P141" s="787"/>
      <c r="Q141" s="829"/>
      <c r="R141" s="852"/>
      <c r="S141" s="851"/>
      <c r="T141" s="787"/>
      <c r="U141" s="829"/>
      <c r="V141" s="852"/>
      <c r="W141" s="851"/>
      <c r="X141" s="787"/>
      <c r="Y141" s="829"/>
      <c r="Z141" s="852"/>
      <c r="AA141" s="851"/>
      <c r="AB141" s="787"/>
      <c r="AC141" s="829"/>
      <c r="AD141" s="852"/>
      <c r="AE141" s="851"/>
      <c r="AF141" s="787"/>
      <c r="AG141" s="355">
        <v>310</v>
      </c>
      <c r="AI141" s="246">
        <v>60</v>
      </c>
      <c r="AJ141" s="787"/>
      <c r="AL141" s="123"/>
    </row>
    <row r="142" spans="2:38" x14ac:dyDescent="0.4">
      <c r="B142" s="356">
        <v>315</v>
      </c>
      <c r="C142" s="851"/>
      <c r="D142" s="787"/>
      <c r="E142" s="829"/>
      <c r="F142" s="852"/>
      <c r="G142" s="851"/>
      <c r="H142" s="787"/>
      <c r="I142" s="829"/>
      <c r="J142" s="852"/>
      <c r="K142" s="851"/>
      <c r="L142" s="787"/>
      <c r="M142" s="829"/>
      <c r="N142" s="852"/>
      <c r="O142" s="851"/>
      <c r="P142" s="787"/>
      <c r="Q142" s="829"/>
      <c r="R142" s="852"/>
      <c r="S142" s="851"/>
      <c r="T142" s="787"/>
      <c r="U142" s="829"/>
      <c r="V142" s="852"/>
      <c r="W142" s="851"/>
      <c r="X142" s="787"/>
      <c r="Y142" s="829"/>
      <c r="Z142" s="852"/>
      <c r="AA142" s="851"/>
      <c r="AB142" s="787"/>
      <c r="AC142" s="829"/>
      <c r="AD142" s="852"/>
      <c r="AE142" s="851"/>
      <c r="AF142" s="787"/>
      <c r="AG142" s="355">
        <v>315</v>
      </c>
      <c r="AI142" s="246">
        <v>61</v>
      </c>
      <c r="AJ142" s="787"/>
      <c r="AL142" s="123"/>
    </row>
    <row r="143" spans="2:38" x14ac:dyDescent="0.4">
      <c r="B143" s="356">
        <v>320</v>
      </c>
      <c r="C143" s="851"/>
      <c r="D143" s="787"/>
      <c r="E143" s="829"/>
      <c r="F143" s="852"/>
      <c r="G143" s="851"/>
      <c r="H143" s="787"/>
      <c r="I143" s="829"/>
      <c r="J143" s="852"/>
      <c r="K143" s="851"/>
      <c r="L143" s="787"/>
      <c r="M143" s="829"/>
      <c r="N143" s="852"/>
      <c r="O143" s="851"/>
      <c r="P143" s="787"/>
      <c r="Q143" s="829"/>
      <c r="R143" s="852"/>
      <c r="S143" s="851"/>
      <c r="T143" s="787"/>
      <c r="U143" s="829"/>
      <c r="V143" s="852"/>
      <c r="W143" s="851"/>
      <c r="X143" s="787"/>
      <c r="Y143" s="829"/>
      <c r="Z143" s="852"/>
      <c r="AA143" s="851"/>
      <c r="AB143" s="787"/>
      <c r="AC143" s="829"/>
      <c r="AD143" s="852"/>
      <c r="AE143" s="851"/>
      <c r="AF143" s="787"/>
      <c r="AG143" s="355">
        <v>320</v>
      </c>
      <c r="AI143" s="246">
        <v>62</v>
      </c>
      <c r="AJ143" s="787"/>
      <c r="AL143" s="123"/>
    </row>
    <row r="144" spans="2:38" x14ac:dyDescent="0.4">
      <c r="B144" s="356">
        <v>325</v>
      </c>
      <c r="C144" s="851"/>
      <c r="D144" s="787"/>
      <c r="E144" s="829"/>
      <c r="F144" s="852"/>
      <c r="G144" s="851"/>
      <c r="H144" s="787"/>
      <c r="I144" s="829"/>
      <c r="J144" s="852"/>
      <c r="K144" s="851"/>
      <c r="L144" s="787"/>
      <c r="M144" s="829"/>
      <c r="N144" s="852"/>
      <c r="O144" s="851"/>
      <c r="P144" s="787"/>
      <c r="Q144" s="829"/>
      <c r="R144" s="852"/>
      <c r="S144" s="851"/>
      <c r="T144" s="787"/>
      <c r="U144" s="829"/>
      <c r="V144" s="852"/>
      <c r="W144" s="851"/>
      <c r="X144" s="787"/>
      <c r="Y144" s="829"/>
      <c r="Z144" s="852"/>
      <c r="AA144" s="851"/>
      <c r="AB144" s="787"/>
      <c r="AC144" s="829"/>
      <c r="AD144" s="852"/>
      <c r="AE144" s="851"/>
      <c r="AF144" s="787"/>
      <c r="AG144" s="355">
        <v>325</v>
      </c>
      <c r="AI144" s="246">
        <v>63</v>
      </c>
      <c r="AJ144" s="787"/>
      <c r="AL144" s="123"/>
    </row>
    <row r="145" spans="2:38" x14ac:dyDescent="0.4">
      <c r="B145" s="356">
        <v>330</v>
      </c>
      <c r="C145" s="851"/>
      <c r="D145" s="787"/>
      <c r="E145" s="829"/>
      <c r="F145" s="852"/>
      <c r="G145" s="851"/>
      <c r="H145" s="787"/>
      <c r="I145" s="829"/>
      <c r="J145" s="852"/>
      <c r="K145" s="851"/>
      <c r="L145" s="787"/>
      <c r="M145" s="829"/>
      <c r="N145" s="852"/>
      <c r="O145" s="851"/>
      <c r="P145" s="787"/>
      <c r="Q145" s="829"/>
      <c r="R145" s="852"/>
      <c r="S145" s="851"/>
      <c r="T145" s="787"/>
      <c r="U145" s="829"/>
      <c r="V145" s="852"/>
      <c r="W145" s="851"/>
      <c r="X145" s="787"/>
      <c r="Y145" s="829"/>
      <c r="Z145" s="852"/>
      <c r="AA145" s="851"/>
      <c r="AB145" s="787"/>
      <c r="AC145" s="829"/>
      <c r="AD145" s="852"/>
      <c r="AE145" s="851"/>
      <c r="AF145" s="787"/>
      <c r="AG145" s="355">
        <v>330</v>
      </c>
      <c r="AI145" s="246">
        <v>64</v>
      </c>
      <c r="AJ145" s="787"/>
      <c r="AL145" s="123"/>
    </row>
    <row r="146" spans="2:38" x14ac:dyDescent="0.4">
      <c r="B146" s="356">
        <v>335</v>
      </c>
      <c r="C146" s="851"/>
      <c r="D146" s="787"/>
      <c r="E146" s="829"/>
      <c r="F146" s="852"/>
      <c r="G146" s="851"/>
      <c r="H146" s="787"/>
      <c r="I146" s="829"/>
      <c r="J146" s="852"/>
      <c r="K146" s="851"/>
      <c r="L146" s="787"/>
      <c r="M146" s="829"/>
      <c r="N146" s="852"/>
      <c r="O146" s="851"/>
      <c r="P146" s="787"/>
      <c r="Q146" s="829"/>
      <c r="R146" s="852"/>
      <c r="S146" s="851"/>
      <c r="T146" s="787"/>
      <c r="U146" s="829"/>
      <c r="V146" s="852"/>
      <c r="W146" s="851"/>
      <c r="X146" s="787"/>
      <c r="Y146" s="829"/>
      <c r="Z146" s="852"/>
      <c r="AA146" s="851"/>
      <c r="AB146" s="787"/>
      <c r="AC146" s="829"/>
      <c r="AD146" s="852"/>
      <c r="AE146" s="851"/>
      <c r="AF146" s="787"/>
      <c r="AG146" s="355">
        <v>335</v>
      </c>
      <c r="AI146" s="246">
        <v>65</v>
      </c>
      <c r="AJ146" s="787"/>
      <c r="AL146" s="123"/>
    </row>
    <row r="147" spans="2:38" x14ac:dyDescent="0.4">
      <c r="B147" s="356">
        <v>340</v>
      </c>
      <c r="C147" s="851"/>
      <c r="D147" s="787"/>
      <c r="E147" s="829"/>
      <c r="F147" s="852"/>
      <c r="G147" s="851"/>
      <c r="H147" s="787"/>
      <c r="I147" s="829"/>
      <c r="J147" s="852"/>
      <c r="K147" s="851"/>
      <c r="L147" s="787"/>
      <c r="M147" s="829"/>
      <c r="N147" s="852"/>
      <c r="O147" s="851"/>
      <c r="P147" s="787"/>
      <c r="Q147" s="829"/>
      <c r="R147" s="852"/>
      <c r="S147" s="851"/>
      <c r="T147" s="787"/>
      <c r="U147" s="829"/>
      <c r="V147" s="852"/>
      <c r="W147" s="851"/>
      <c r="X147" s="787"/>
      <c r="Y147" s="829"/>
      <c r="Z147" s="852"/>
      <c r="AA147" s="851"/>
      <c r="AB147" s="787"/>
      <c r="AC147" s="829"/>
      <c r="AD147" s="852"/>
      <c r="AE147" s="851"/>
      <c r="AF147" s="787"/>
      <c r="AG147" s="355">
        <v>340</v>
      </c>
      <c r="AI147" s="246">
        <v>66</v>
      </c>
      <c r="AJ147" s="787"/>
      <c r="AL147" s="123"/>
    </row>
    <row r="148" spans="2:38" x14ac:dyDescent="0.4">
      <c r="B148" s="356">
        <v>345</v>
      </c>
      <c r="C148" s="851"/>
      <c r="D148" s="787"/>
      <c r="E148" s="829"/>
      <c r="F148" s="852"/>
      <c r="G148" s="851"/>
      <c r="H148" s="787"/>
      <c r="I148" s="829"/>
      <c r="J148" s="852"/>
      <c r="K148" s="851"/>
      <c r="L148" s="787"/>
      <c r="M148" s="829"/>
      <c r="N148" s="852"/>
      <c r="O148" s="851"/>
      <c r="P148" s="787"/>
      <c r="Q148" s="829"/>
      <c r="R148" s="852"/>
      <c r="S148" s="851"/>
      <c r="T148" s="787"/>
      <c r="U148" s="829"/>
      <c r="V148" s="852"/>
      <c r="W148" s="851"/>
      <c r="X148" s="787"/>
      <c r="Y148" s="829"/>
      <c r="Z148" s="852"/>
      <c r="AA148" s="851"/>
      <c r="AB148" s="787"/>
      <c r="AC148" s="829"/>
      <c r="AD148" s="852"/>
      <c r="AE148" s="851"/>
      <c r="AF148" s="787"/>
      <c r="AG148" s="355">
        <v>345</v>
      </c>
      <c r="AI148" s="246">
        <v>67</v>
      </c>
      <c r="AJ148" s="787"/>
      <c r="AL148" s="123"/>
    </row>
    <row r="149" spans="2:38" x14ac:dyDescent="0.4">
      <c r="B149" s="356">
        <v>350</v>
      </c>
      <c r="C149" s="851"/>
      <c r="D149" s="787"/>
      <c r="E149" s="829"/>
      <c r="F149" s="852"/>
      <c r="G149" s="851"/>
      <c r="H149" s="787"/>
      <c r="I149" s="829"/>
      <c r="J149" s="852"/>
      <c r="K149" s="851"/>
      <c r="L149" s="787"/>
      <c r="M149" s="829"/>
      <c r="N149" s="852"/>
      <c r="O149" s="851"/>
      <c r="P149" s="787"/>
      <c r="Q149" s="829"/>
      <c r="R149" s="852"/>
      <c r="S149" s="851"/>
      <c r="T149" s="787"/>
      <c r="U149" s="829"/>
      <c r="V149" s="852"/>
      <c r="W149" s="851"/>
      <c r="X149" s="787"/>
      <c r="Y149" s="829"/>
      <c r="Z149" s="852"/>
      <c r="AA149" s="851"/>
      <c r="AB149" s="787"/>
      <c r="AC149" s="829"/>
      <c r="AD149" s="852"/>
      <c r="AE149" s="851"/>
      <c r="AF149" s="787"/>
      <c r="AG149" s="355">
        <v>350</v>
      </c>
      <c r="AI149" s="246">
        <v>68</v>
      </c>
      <c r="AJ149" s="787"/>
      <c r="AL149" s="123"/>
    </row>
    <row r="150" spans="2:38" x14ac:dyDescent="0.4">
      <c r="B150" s="356">
        <v>355</v>
      </c>
      <c r="C150" s="851"/>
      <c r="D150" s="787"/>
      <c r="E150" s="829"/>
      <c r="F150" s="852"/>
      <c r="G150" s="851"/>
      <c r="H150" s="787"/>
      <c r="I150" s="829"/>
      <c r="J150" s="852"/>
      <c r="K150" s="851"/>
      <c r="L150" s="787"/>
      <c r="M150" s="829"/>
      <c r="N150" s="852"/>
      <c r="O150" s="851"/>
      <c r="P150" s="787"/>
      <c r="Q150" s="829"/>
      <c r="R150" s="852"/>
      <c r="S150" s="851"/>
      <c r="T150" s="787"/>
      <c r="U150" s="829"/>
      <c r="V150" s="852"/>
      <c r="W150" s="851"/>
      <c r="X150" s="787"/>
      <c r="Y150" s="829"/>
      <c r="Z150" s="852"/>
      <c r="AA150" s="851"/>
      <c r="AB150" s="787"/>
      <c r="AC150" s="829"/>
      <c r="AD150" s="852"/>
      <c r="AE150" s="851"/>
      <c r="AF150" s="787"/>
      <c r="AG150" s="355">
        <v>355</v>
      </c>
      <c r="AI150" s="246">
        <v>69</v>
      </c>
      <c r="AJ150" s="787"/>
      <c r="AL150" s="123"/>
    </row>
    <row r="151" spans="2:38" x14ac:dyDescent="0.4">
      <c r="B151" s="356">
        <v>360</v>
      </c>
      <c r="C151" s="851"/>
      <c r="D151" s="787"/>
      <c r="E151" s="829"/>
      <c r="F151" s="852"/>
      <c r="G151" s="851"/>
      <c r="H151" s="787"/>
      <c r="I151" s="829"/>
      <c r="J151" s="852"/>
      <c r="K151" s="851"/>
      <c r="L151" s="787"/>
      <c r="M151" s="829"/>
      <c r="N151" s="852"/>
      <c r="O151" s="851"/>
      <c r="P151" s="787"/>
      <c r="Q151" s="829"/>
      <c r="R151" s="852"/>
      <c r="S151" s="851"/>
      <c r="T151" s="787"/>
      <c r="U151" s="829"/>
      <c r="V151" s="852"/>
      <c r="W151" s="851"/>
      <c r="X151" s="787"/>
      <c r="Y151" s="829"/>
      <c r="Z151" s="852"/>
      <c r="AA151" s="851"/>
      <c r="AB151" s="787"/>
      <c r="AC151" s="829"/>
      <c r="AD151" s="852"/>
      <c r="AE151" s="851"/>
      <c r="AF151" s="787"/>
      <c r="AG151" s="355">
        <v>360</v>
      </c>
      <c r="AI151" s="246">
        <v>70</v>
      </c>
      <c r="AJ151" s="787"/>
      <c r="AL151" s="123"/>
    </row>
    <row r="152" spans="2:38" x14ac:dyDescent="0.4">
      <c r="B152" s="356">
        <v>365</v>
      </c>
      <c r="C152" s="851"/>
      <c r="D152" s="787"/>
      <c r="E152" s="829"/>
      <c r="F152" s="852"/>
      <c r="G152" s="851"/>
      <c r="H152" s="787"/>
      <c r="I152" s="829"/>
      <c r="J152" s="852"/>
      <c r="K152" s="851"/>
      <c r="L152" s="787"/>
      <c r="M152" s="829"/>
      <c r="N152" s="852"/>
      <c r="O152" s="851"/>
      <c r="P152" s="787"/>
      <c r="Q152" s="829"/>
      <c r="R152" s="852"/>
      <c r="S152" s="851"/>
      <c r="T152" s="787"/>
      <c r="U152" s="829"/>
      <c r="V152" s="852"/>
      <c r="W152" s="851"/>
      <c r="X152" s="787"/>
      <c r="Y152" s="829"/>
      <c r="Z152" s="852"/>
      <c r="AA152" s="851"/>
      <c r="AB152" s="787"/>
      <c r="AC152" s="829"/>
      <c r="AD152" s="852"/>
      <c r="AE152" s="851"/>
      <c r="AF152" s="787"/>
      <c r="AG152" s="355">
        <v>365</v>
      </c>
      <c r="AI152" s="246">
        <v>71</v>
      </c>
      <c r="AJ152" s="787"/>
      <c r="AL152" s="123"/>
    </row>
    <row r="153" spans="2:38" x14ac:dyDescent="0.4">
      <c r="B153" s="356">
        <v>370</v>
      </c>
      <c r="C153" s="851"/>
      <c r="D153" s="787"/>
      <c r="E153" s="829"/>
      <c r="F153" s="852"/>
      <c r="G153" s="851"/>
      <c r="H153" s="787"/>
      <c r="I153" s="829"/>
      <c r="J153" s="852"/>
      <c r="K153" s="851"/>
      <c r="L153" s="787"/>
      <c r="M153" s="829"/>
      <c r="N153" s="852"/>
      <c r="O153" s="851"/>
      <c r="P153" s="787"/>
      <c r="Q153" s="829"/>
      <c r="R153" s="852"/>
      <c r="S153" s="851"/>
      <c r="T153" s="787"/>
      <c r="U153" s="829"/>
      <c r="V153" s="852"/>
      <c r="W153" s="851"/>
      <c r="X153" s="787"/>
      <c r="Y153" s="829"/>
      <c r="Z153" s="852"/>
      <c r="AA153" s="851"/>
      <c r="AB153" s="787"/>
      <c r="AC153" s="829"/>
      <c r="AD153" s="852"/>
      <c r="AE153" s="851"/>
      <c r="AF153" s="787"/>
      <c r="AG153" s="355">
        <v>370</v>
      </c>
      <c r="AI153" s="246">
        <v>72</v>
      </c>
      <c r="AJ153" s="787"/>
      <c r="AL153" s="123"/>
    </row>
    <row r="154" spans="2:38" x14ac:dyDescent="0.4">
      <c r="B154" s="356">
        <v>375</v>
      </c>
      <c r="C154" s="851"/>
      <c r="D154" s="787"/>
      <c r="E154" s="829"/>
      <c r="F154" s="852"/>
      <c r="G154" s="851"/>
      <c r="H154" s="787"/>
      <c r="I154" s="829"/>
      <c r="J154" s="852"/>
      <c r="K154" s="851"/>
      <c r="L154" s="787"/>
      <c r="M154" s="829"/>
      <c r="N154" s="852"/>
      <c r="O154" s="851"/>
      <c r="P154" s="787"/>
      <c r="Q154" s="829"/>
      <c r="R154" s="852"/>
      <c r="S154" s="851"/>
      <c r="T154" s="787"/>
      <c r="U154" s="829"/>
      <c r="V154" s="852"/>
      <c r="W154" s="851"/>
      <c r="X154" s="787"/>
      <c r="Y154" s="829"/>
      <c r="Z154" s="852"/>
      <c r="AA154" s="851"/>
      <c r="AB154" s="787"/>
      <c r="AC154" s="829"/>
      <c r="AD154" s="852"/>
      <c r="AE154" s="851"/>
      <c r="AF154" s="787"/>
      <c r="AG154" s="355">
        <v>375</v>
      </c>
      <c r="AI154" s="246">
        <v>73</v>
      </c>
      <c r="AJ154" s="787"/>
      <c r="AL154" s="123"/>
    </row>
    <row r="155" spans="2:38" x14ac:dyDescent="0.4">
      <c r="B155" s="356">
        <v>380</v>
      </c>
      <c r="C155" s="851"/>
      <c r="D155" s="787"/>
      <c r="E155" s="829"/>
      <c r="F155" s="852"/>
      <c r="G155" s="851"/>
      <c r="H155" s="787"/>
      <c r="I155" s="829"/>
      <c r="J155" s="852"/>
      <c r="K155" s="851"/>
      <c r="L155" s="787"/>
      <c r="M155" s="829"/>
      <c r="N155" s="852"/>
      <c r="O155" s="851"/>
      <c r="P155" s="787"/>
      <c r="Q155" s="829"/>
      <c r="R155" s="852"/>
      <c r="S155" s="851"/>
      <c r="T155" s="787"/>
      <c r="U155" s="829"/>
      <c r="V155" s="852"/>
      <c r="W155" s="851"/>
      <c r="X155" s="787"/>
      <c r="Y155" s="829"/>
      <c r="Z155" s="852"/>
      <c r="AA155" s="851"/>
      <c r="AB155" s="787"/>
      <c r="AC155" s="829"/>
      <c r="AD155" s="852"/>
      <c r="AE155" s="851"/>
      <c r="AF155" s="787"/>
      <c r="AG155" s="355">
        <v>380</v>
      </c>
      <c r="AI155" s="246">
        <v>74</v>
      </c>
      <c r="AJ155" s="787"/>
      <c r="AL155" s="123"/>
    </row>
    <row r="156" spans="2:38" x14ac:dyDescent="0.4">
      <c r="B156" s="356">
        <v>385</v>
      </c>
      <c r="C156" s="851"/>
      <c r="D156" s="787"/>
      <c r="E156" s="829"/>
      <c r="F156" s="852"/>
      <c r="G156" s="851"/>
      <c r="H156" s="787"/>
      <c r="I156" s="829"/>
      <c r="J156" s="852"/>
      <c r="K156" s="851"/>
      <c r="L156" s="787"/>
      <c r="M156" s="829"/>
      <c r="N156" s="852"/>
      <c r="O156" s="851"/>
      <c r="P156" s="787"/>
      <c r="Q156" s="829"/>
      <c r="R156" s="852"/>
      <c r="S156" s="851"/>
      <c r="T156" s="787"/>
      <c r="U156" s="829"/>
      <c r="V156" s="852"/>
      <c r="W156" s="851"/>
      <c r="X156" s="787"/>
      <c r="Y156" s="829"/>
      <c r="Z156" s="852"/>
      <c r="AA156" s="851"/>
      <c r="AB156" s="787"/>
      <c r="AC156" s="829"/>
      <c r="AD156" s="852"/>
      <c r="AE156" s="851"/>
      <c r="AF156" s="787"/>
      <c r="AG156" s="355">
        <v>385</v>
      </c>
      <c r="AI156" s="246">
        <v>75</v>
      </c>
      <c r="AJ156" s="787"/>
      <c r="AL156" s="123"/>
    </row>
    <row r="157" spans="2:38" x14ac:dyDescent="0.4">
      <c r="B157" s="356">
        <v>390</v>
      </c>
      <c r="C157" s="851"/>
      <c r="D157" s="787"/>
      <c r="E157" s="829"/>
      <c r="F157" s="852"/>
      <c r="G157" s="851"/>
      <c r="H157" s="787"/>
      <c r="I157" s="829"/>
      <c r="J157" s="852"/>
      <c r="K157" s="851"/>
      <c r="L157" s="787"/>
      <c r="M157" s="829"/>
      <c r="N157" s="852"/>
      <c r="O157" s="851"/>
      <c r="P157" s="787"/>
      <c r="Q157" s="829"/>
      <c r="R157" s="852"/>
      <c r="S157" s="851"/>
      <c r="T157" s="787"/>
      <c r="U157" s="829"/>
      <c r="V157" s="852"/>
      <c r="W157" s="851"/>
      <c r="X157" s="787"/>
      <c r="Y157" s="829"/>
      <c r="Z157" s="852"/>
      <c r="AA157" s="851"/>
      <c r="AB157" s="787"/>
      <c r="AC157" s="829"/>
      <c r="AD157" s="852"/>
      <c r="AE157" s="851"/>
      <c r="AF157" s="787"/>
      <c r="AG157" s="355">
        <v>390</v>
      </c>
      <c r="AI157" s="246">
        <v>76</v>
      </c>
      <c r="AJ157" s="787"/>
      <c r="AL157" s="123"/>
    </row>
    <row r="158" spans="2:38" x14ac:dyDescent="0.4">
      <c r="B158" s="356">
        <v>395</v>
      </c>
      <c r="C158" s="851"/>
      <c r="D158" s="787"/>
      <c r="E158" s="829"/>
      <c r="F158" s="852"/>
      <c r="G158" s="851"/>
      <c r="H158" s="787"/>
      <c r="I158" s="829"/>
      <c r="J158" s="852"/>
      <c r="K158" s="851"/>
      <c r="L158" s="787"/>
      <c r="M158" s="829"/>
      <c r="N158" s="852"/>
      <c r="O158" s="851"/>
      <c r="P158" s="787"/>
      <c r="Q158" s="829"/>
      <c r="R158" s="852"/>
      <c r="S158" s="851"/>
      <c r="T158" s="787"/>
      <c r="U158" s="829"/>
      <c r="V158" s="852"/>
      <c r="W158" s="851"/>
      <c r="X158" s="787"/>
      <c r="Y158" s="829"/>
      <c r="Z158" s="852"/>
      <c r="AA158" s="851"/>
      <c r="AB158" s="787"/>
      <c r="AC158" s="829"/>
      <c r="AD158" s="852"/>
      <c r="AE158" s="851"/>
      <c r="AF158" s="787"/>
      <c r="AG158" s="355">
        <v>395</v>
      </c>
      <c r="AI158" s="246">
        <v>77</v>
      </c>
      <c r="AJ158" s="787"/>
      <c r="AL158" s="123"/>
    </row>
    <row r="159" spans="2:38" x14ac:dyDescent="0.4">
      <c r="B159" s="356">
        <v>400</v>
      </c>
      <c r="C159" s="851"/>
      <c r="D159" s="787"/>
      <c r="E159" s="829"/>
      <c r="F159" s="852"/>
      <c r="G159" s="851"/>
      <c r="H159" s="787"/>
      <c r="I159" s="829"/>
      <c r="J159" s="852"/>
      <c r="K159" s="851"/>
      <c r="L159" s="787"/>
      <c r="M159" s="829"/>
      <c r="N159" s="852"/>
      <c r="O159" s="851"/>
      <c r="P159" s="787"/>
      <c r="Q159" s="829"/>
      <c r="R159" s="852"/>
      <c r="S159" s="851"/>
      <c r="T159" s="787"/>
      <c r="U159" s="829"/>
      <c r="V159" s="852"/>
      <c r="W159" s="851"/>
      <c r="X159" s="787"/>
      <c r="Y159" s="829"/>
      <c r="Z159" s="852"/>
      <c r="AA159" s="851"/>
      <c r="AB159" s="787"/>
      <c r="AC159" s="829"/>
      <c r="AD159" s="852"/>
      <c r="AE159" s="851"/>
      <c r="AF159" s="787"/>
      <c r="AG159" s="355">
        <v>400</v>
      </c>
      <c r="AI159" s="246">
        <v>78</v>
      </c>
      <c r="AJ159" s="787"/>
      <c r="AL159" s="123"/>
    </row>
    <row r="160" spans="2:38" x14ac:dyDescent="0.4">
      <c r="B160" s="356">
        <v>405</v>
      </c>
      <c r="C160" s="851"/>
      <c r="D160" s="787"/>
      <c r="E160" s="829"/>
      <c r="F160" s="852"/>
      <c r="G160" s="851"/>
      <c r="H160" s="787"/>
      <c r="I160" s="829"/>
      <c r="J160" s="852"/>
      <c r="K160" s="851"/>
      <c r="L160" s="787"/>
      <c r="M160" s="829"/>
      <c r="N160" s="852"/>
      <c r="O160" s="851"/>
      <c r="P160" s="787"/>
      <c r="Q160" s="829"/>
      <c r="R160" s="852"/>
      <c r="S160" s="851"/>
      <c r="T160" s="787"/>
      <c r="U160" s="829"/>
      <c r="V160" s="852"/>
      <c r="W160" s="851"/>
      <c r="X160" s="787"/>
      <c r="Y160" s="829"/>
      <c r="Z160" s="852"/>
      <c r="AA160" s="851"/>
      <c r="AB160" s="787"/>
      <c r="AC160" s="829"/>
      <c r="AD160" s="852"/>
      <c r="AE160" s="851"/>
      <c r="AF160" s="787"/>
      <c r="AG160" s="355">
        <v>405</v>
      </c>
      <c r="AI160" s="246">
        <v>79</v>
      </c>
      <c r="AJ160" s="787"/>
      <c r="AL160" s="123"/>
    </row>
    <row r="161" spans="2:38" x14ac:dyDescent="0.4">
      <c r="B161" s="356">
        <v>410</v>
      </c>
      <c r="C161" s="851"/>
      <c r="D161" s="787"/>
      <c r="E161" s="829"/>
      <c r="F161" s="852"/>
      <c r="G161" s="851"/>
      <c r="H161" s="787"/>
      <c r="I161" s="829"/>
      <c r="J161" s="852"/>
      <c r="K161" s="851"/>
      <c r="L161" s="787"/>
      <c r="M161" s="829"/>
      <c r="N161" s="852"/>
      <c r="O161" s="851"/>
      <c r="P161" s="787"/>
      <c r="Q161" s="829"/>
      <c r="R161" s="852"/>
      <c r="S161" s="851"/>
      <c r="T161" s="787"/>
      <c r="U161" s="829"/>
      <c r="V161" s="852"/>
      <c r="W161" s="851"/>
      <c r="X161" s="787"/>
      <c r="Y161" s="829"/>
      <c r="Z161" s="852"/>
      <c r="AA161" s="851"/>
      <c r="AB161" s="787"/>
      <c r="AC161" s="829"/>
      <c r="AD161" s="852"/>
      <c r="AE161" s="851"/>
      <c r="AF161" s="787"/>
      <c r="AG161" s="355">
        <v>410</v>
      </c>
      <c r="AI161" s="246">
        <v>80</v>
      </c>
      <c r="AJ161" s="787"/>
      <c r="AL161" s="123"/>
    </row>
    <row r="162" spans="2:38" x14ac:dyDescent="0.4">
      <c r="B162" s="356">
        <v>415</v>
      </c>
      <c r="C162" s="851"/>
      <c r="D162" s="787"/>
      <c r="E162" s="829"/>
      <c r="F162" s="852"/>
      <c r="G162" s="851"/>
      <c r="H162" s="787"/>
      <c r="I162" s="829"/>
      <c r="J162" s="852"/>
      <c r="K162" s="851"/>
      <c r="L162" s="787"/>
      <c r="M162" s="829"/>
      <c r="N162" s="852"/>
      <c r="O162" s="851"/>
      <c r="P162" s="787"/>
      <c r="Q162" s="829"/>
      <c r="R162" s="852"/>
      <c r="S162" s="851"/>
      <c r="T162" s="787"/>
      <c r="U162" s="829"/>
      <c r="V162" s="852"/>
      <c r="W162" s="851"/>
      <c r="X162" s="787"/>
      <c r="Y162" s="829"/>
      <c r="Z162" s="852"/>
      <c r="AA162" s="851"/>
      <c r="AB162" s="787"/>
      <c r="AC162" s="829"/>
      <c r="AD162" s="852"/>
      <c r="AE162" s="851"/>
      <c r="AF162" s="787"/>
      <c r="AG162" s="355">
        <v>415</v>
      </c>
      <c r="AI162" s="246">
        <v>81</v>
      </c>
      <c r="AJ162" s="787"/>
      <c r="AL162" s="123"/>
    </row>
    <row r="163" spans="2:38" x14ac:dyDescent="0.4">
      <c r="B163" s="356">
        <v>420</v>
      </c>
      <c r="C163" s="851"/>
      <c r="D163" s="787"/>
      <c r="E163" s="829"/>
      <c r="F163" s="852"/>
      <c r="G163" s="851"/>
      <c r="H163" s="787"/>
      <c r="I163" s="829"/>
      <c r="J163" s="852"/>
      <c r="K163" s="851"/>
      <c r="L163" s="787"/>
      <c r="M163" s="829"/>
      <c r="N163" s="852"/>
      <c r="O163" s="851"/>
      <c r="P163" s="787"/>
      <c r="Q163" s="829"/>
      <c r="R163" s="852"/>
      <c r="S163" s="851"/>
      <c r="T163" s="787"/>
      <c r="U163" s="829"/>
      <c r="V163" s="852"/>
      <c r="W163" s="851"/>
      <c r="X163" s="787"/>
      <c r="Y163" s="829"/>
      <c r="Z163" s="852"/>
      <c r="AA163" s="851"/>
      <c r="AB163" s="787"/>
      <c r="AC163" s="829"/>
      <c r="AD163" s="852"/>
      <c r="AE163" s="851"/>
      <c r="AF163" s="787"/>
      <c r="AG163" s="355">
        <v>420</v>
      </c>
      <c r="AI163" s="246">
        <v>82</v>
      </c>
      <c r="AJ163" s="787"/>
      <c r="AL163" s="123"/>
    </row>
    <row r="164" spans="2:38" x14ac:dyDescent="0.4">
      <c r="B164" s="356">
        <v>425</v>
      </c>
      <c r="C164" s="851"/>
      <c r="D164" s="787"/>
      <c r="E164" s="829"/>
      <c r="F164" s="852"/>
      <c r="G164" s="851"/>
      <c r="H164" s="787"/>
      <c r="I164" s="829"/>
      <c r="J164" s="852"/>
      <c r="K164" s="851"/>
      <c r="L164" s="787"/>
      <c r="M164" s="829"/>
      <c r="N164" s="852"/>
      <c r="O164" s="851"/>
      <c r="P164" s="787"/>
      <c r="Q164" s="829"/>
      <c r="R164" s="852"/>
      <c r="S164" s="851"/>
      <c r="T164" s="787"/>
      <c r="U164" s="829"/>
      <c r="V164" s="852"/>
      <c r="W164" s="851"/>
      <c r="X164" s="787"/>
      <c r="Y164" s="829"/>
      <c r="Z164" s="852"/>
      <c r="AA164" s="851"/>
      <c r="AB164" s="787"/>
      <c r="AC164" s="829"/>
      <c r="AD164" s="852"/>
      <c r="AE164" s="851"/>
      <c r="AF164" s="787"/>
      <c r="AG164" s="355">
        <v>425</v>
      </c>
      <c r="AI164" s="246">
        <v>83</v>
      </c>
      <c r="AJ164" s="787"/>
      <c r="AL164" s="123"/>
    </row>
    <row r="165" spans="2:38" x14ac:dyDescent="0.4">
      <c r="B165" s="356">
        <v>430</v>
      </c>
      <c r="C165" s="851"/>
      <c r="D165" s="787"/>
      <c r="E165" s="829"/>
      <c r="F165" s="852"/>
      <c r="G165" s="851"/>
      <c r="H165" s="787"/>
      <c r="I165" s="829"/>
      <c r="J165" s="852"/>
      <c r="K165" s="851"/>
      <c r="L165" s="787"/>
      <c r="M165" s="829"/>
      <c r="N165" s="852"/>
      <c r="O165" s="851"/>
      <c r="P165" s="787"/>
      <c r="Q165" s="829"/>
      <c r="R165" s="852"/>
      <c r="S165" s="851"/>
      <c r="T165" s="787"/>
      <c r="U165" s="829"/>
      <c r="V165" s="852"/>
      <c r="W165" s="851"/>
      <c r="X165" s="787"/>
      <c r="Y165" s="829"/>
      <c r="Z165" s="852"/>
      <c r="AA165" s="851"/>
      <c r="AB165" s="787"/>
      <c r="AC165" s="829"/>
      <c r="AD165" s="852"/>
      <c r="AE165" s="851"/>
      <c r="AF165" s="787"/>
      <c r="AG165" s="355">
        <v>430</v>
      </c>
      <c r="AI165" s="246">
        <v>84</v>
      </c>
      <c r="AJ165" s="787"/>
      <c r="AL165" s="123"/>
    </row>
    <row r="166" spans="2:38" x14ac:dyDescent="0.4">
      <c r="B166" s="356">
        <v>435</v>
      </c>
      <c r="C166" s="851"/>
      <c r="D166" s="787"/>
      <c r="E166" s="829"/>
      <c r="F166" s="852"/>
      <c r="G166" s="851"/>
      <c r="H166" s="787"/>
      <c r="I166" s="829"/>
      <c r="J166" s="852"/>
      <c r="K166" s="851"/>
      <c r="L166" s="787"/>
      <c r="M166" s="829"/>
      <c r="N166" s="852"/>
      <c r="O166" s="851"/>
      <c r="P166" s="787"/>
      <c r="Q166" s="829"/>
      <c r="R166" s="852"/>
      <c r="S166" s="851"/>
      <c r="T166" s="787"/>
      <c r="U166" s="829"/>
      <c r="V166" s="852"/>
      <c r="W166" s="851"/>
      <c r="X166" s="787"/>
      <c r="Y166" s="829"/>
      <c r="Z166" s="852"/>
      <c r="AA166" s="851"/>
      <c r="AB166" s="787"/>
      <c r="AC166" s="829"/>
      <c r="AD166" s="852"/>
      <c r="AE166" s="851"/>
      <c r="AF166" s="787"/>
      <c r="AG166" s="355">
        <v>435</v>
      </c>
      <c r="AI166" s="246">
        <v>85</v>
      </c>
      <c r="AJ166" s="787"/>
      <c r="AL166" s="123"/>
    </row>
    <row r="167" spans="2:38" x14ac:dyDescent="0.4">
      <c r="B167" s="356">
        <v>440</v>
      </c>
      <c r="C167" s="851"/>
      <c r="D167" s="787"/>
      <c r="E167" s="829"/>
      <c r="F167" s="852"/>
      <c r="G167" s="851"/>
      <c r="H167" s="787"/>
      <c r="I167" s="829"/>
      <c r="J167" s="852"/>
      <c r="K167" s="851"/>
      <c r="L167" s="787"/>
      <c r="M167" s="829"/>
      <c r="N167" s="852"/>
      <c r="O167" s="851"/>
      <c r="P167" s="787"/>
      <c r="Q167" s="829"/>
      <c r="R167" s="852"/>
      <c r="S167" s="851"/>
      <c r="T167" s="787"/>
      <c r="U167" s="829"/>
      <c r="V167" s="852"/>
      <c r="W167" s="851"/>
      <c r="X167" s="787"/>
      <c r="Y167" s="829"/>
      <c r="Z167" s="852"/>
      <c r="AA167" s="851"/>
      <c r="AB167" s="787"/>
      <c r="AC167" s="829"/>
      <c r="AD167" s="852"/>
      <c r="AE167" s="851"/>
      <c r="AF167" s="787"/>
      <c r="AG167" s="355">
        <v>440</v>
      </c>
      <c r="AI167" s="246">
        <v>86</v>
      </c>
      <c r="AJ167" s="787"/>
      <c r="AL167" s="123"/>
    </row>
    <row r="168" spans="2:38" x14ac:dyDescent="0.4">
      <c r="B168" s="356">
        <v>445</v>
      </c>
      <c r="C168" s="851"/>
      <c r="D168" s="787"/>
      <c r="E168" s="829"/>
      <c r="F168" s="852"/>
      <c r="G168" s="851"/>
      <c r="H168" s="787"/>
      <c r="I168" s="829"/>
      <c r="J168" s="852"/>
      <c r="K168" s="851"/>
      <c r="L168" s="787"/>
      <c r="M168" s="829"/>
      <c r="N168" s="852"/>
      <c r="O168" s="851"/>
      <c r="P168" s="787"/>
      <c r="Q168" s="829"/>
      <c r="R168" s="852"/>
      <c r="S168" s="851"/>
      <c r="T168" s="787"/>
      <c r="U168" s="829"/>
      <c r="V168" s="852"/>
      <c r="W168" s="851"/>
      <c r="X168" s="787"/>
      <c r="Y168" s="829"/>
      <c r="Z168" s="852"/>
      <c r="AA168" s="851"/>
      <c r="AB168" s="787"/>
      <c r="AC168" s="829"/>
      <c r="AD168" s="852"/>
      <c r="AE168" s="851"/>
      <c r="AF168" s="787"/>
      <c r="AG168" s="355">
        <v>445</v>
      </c>
      <c r="AI168" s="246">
        <v>87</v>
      </c>
      <c r="AJ168" s="787"/>
      <c r="AL168" s="123"/>
    </row>
    <row r="169" spans="2:38" x14ac:dyDescent="0.4">
      <c r="B169" s="356">
        <v>450</v>
      </c>
      <c r="C169" s="851"/>
      <c r="D169" s="787"/>
      <c r="E169" s="829"/>
      <c r="F169" s="852"/>
      <c r="G169" s="851"/>
      <c r="H169" s="787"/>
      <c r="I169" s="829"/>
      <c r="J169" s="852"/>
      <c r="K169" s="851"/>
      <c r="L169" s="787"/>
      <c r="M169" s="829"/>
      <c r="N169" s="852"/>
      <c r="O169" s="851"/>
      <c r="P169" s="787"/>
      <c r="Q169" s="829"/>
      <c r="R169" s="852"/>
      <c r="S169" s="851"/>
      <c r="T169" s="787"/>
      <c r="U169" s="829"/>
      <c r="V169" s="852"/>
      <c r="W169" s="851"/>
      <c r="X169" s="787"/>
      <c r="Y169" s="829"/>
      <c r="Z169" s="852"/>
      <c r="AA169" s="851"/>
      <c r="AB169" s="787"/>
      <c r="AC169" s="829"/>
      <c r="AD169" s="852"/>
      <c r="AE169" s="851"/>
      <c r="AF169" s="787"/>
      <c r="AG169" s="355">
        <v>450</v>
      </c>
      <c r="AI169" s="246">
        <v>88</v>
      </c>
      <c r="AJ169" s="787"/>
      <c r="AL169" s="123"/>
    </row>
    <row r="170" spans="2:38" x14ac:dyDescent="0.4">
      <c r="B170" s="356">
        <v>455</v>
      </c>
      <c r="C170" s="851"/>
      <c r="D170" s="787"/>
      <c r="E170" s="829"/>
      <c r="F170" s="852"/>
      <c r="G170" s="851"/>
      <c r="H170" s="787"/>
      <c r="I170" s="829"/>
      <c r="J170" s="852"/>
      <c r="K170" s="851"/>
      <c r="L170" s="787"/>
      <c r="M170" s="829"/>
      <c r="N170" s="852"/>
      <c r="O170" s="851"/>
      <c r="P170" s="787"/>
      <c r="Q170" s="829"/>
      <c r="R170" s="852"/>
      <c r="S170" s="851"/>
      <c r="T170" s="787"/>
      <c r="U170" s="829"/>
      <c r="V170" s="852"/>
      <c r="W170" s="851"/>
      <c r="X170" s="787"/>
      <c r="Y170" s="829"/>
      <c r="Z170" s="852"/>
      <c r="AA170" s="851"/>
      <c r="AB170" s="787"/>
      <c r="AC170" s="829"/>
      <c r="AD170" s="852"/>
      <c r="AE170" s="851"/>
      <c r="AF170" s="787"/>
      <c r="AG170" s="355">
        <v>455</v>
      </c>
      <c r="AI170" s="246">
        <v>89</v>
      </c>
      <c r="AJ170" s="787"/>
      <c r="AL170" s="123"/>
    </row>
    <row r="171" spans="2:38" x14ac:dyDescent="0.4">
      <c r="B171" s="356">
        <v>460</v>
      </c>
      <c r="C171" s="851"/>
      <c r="D171" s="787"/>
      <c r="E171" s="829"/>
      <c r="F171" s="852"/>
      <c r="G171" s="851"/>
      <c r="H171" s="787"/>
      <c r="I171" s="829"/>
      <c r="J171" s="852"/>
      <c r="K171" s="851"/>
      <c r="L171" s="787"/>
      <c r="M171" s="829"/>
      <c r="N171" s="852"/>
      <c r="O171" s="851"/>
      <c r="P171" s="787"/>
      <c r="Q171" s="829"/>
      <c r="R171" s="852"/>
      <c r="S171" s="851"/>
      <c r="T171" s="787"/>
      <c r="U171" s="829"/>
      <c r="V171" s="852"/>
      <c r="W171" s="851"/>
      <c r="X171" s="787"/>
      <c r="Y171" s="829"/>
      <c r="Z171" s="852"/>
      <c r="AA171" s="851"/>
      <c r="AB171" s="787"/>
      <c r="AC171" s="829"/>
      <c r="AD171" s="852"/>
      <c r="AE171" s="851"/>
      <c r="AF171" s="787"/>
      <c r="AG171" s="355">
        <v>460</v>
      </c>
      <c r="AI171" s="246">
        <v>90</v>
      </c>
      <c r="AJ171" s="787"/>
      <c r="AL171" s="123"/>
    </row>
    <row r="172" spans="2:38" x14ac:dyDescent="0.4">
      <c r="B172" s="356">
        <v>465</v>
      </c>
      <c r="C172" s="851"/>
      <c r="D172" s="787"/>
      <c r="E172" s="829"/>
      <c r="F172" s="852"/>
      <c r="G172" s="851"/>
      <c r="H172" s="787"/>
      <c r="I172" s="829"/>
      <c r="J172" s="852"/>
      <c r="K172" s="851"/>
      <c r="L172" s="787"/>
      <c r="M172" s="829"/>
      <c r="N172" s="852"/>
      <c r="O172" s="851"/>
      <c r="P172" s="787"/>
      <c r="Q172" s="829"/>
      <c r="R172" s="852"/>
      <c r="S172" s="851"/>
      <c r="T172" s="787"/>
      <c r="U172" s="829"/>
      <c r="V172" s="852"/>
      <c r="W172" s="851"/>
      <c r="X172" s="787"/>
      <c r="Y172" s="829"/>
      <c r="Z172" s="852"/>
      <c r="AA172" s="851"/>
      <c r="AB172" s="787"/>
      <c r="AC172" s="829"/>
      <c r="AD172" s="852"/>
      <c r="AE172" s="851"/>
      <c r="AF172" s="787"/>
      <c r="AG172" s="355">
        <v>465</v>
      </c>
      <c r="AI172" s="246">
        <v>91</v>
      </c>
      <c r="AJ172" s="787"/>
      <c r="AL172" s="123"/>
    </row>
    <row r="173" spans="2:38" x14ac:dyDescent="0.4">
      <c r="B173" s="356">
        <v>470</v>
      </c>
      <c r="C173" s="851"/>
      <c r="D173" s="787"/>
      <c r="E173" s="829"/>
      <c r="F173" s="852"/>
      <c r="G173" s="851"/>
      <c r="H173" s="787"/>
      <c r="I173" s="829"/>
      <c r="J173" s="852"/>
      <c r="K173" s="851"/>
      <c r="L173" s="787"/>
      <c r="M173" s="829"/>
      <c r="N173" s="852"/>
      <c r="O173" s="851"/>
      <c r="P173" s="787"/>
      <c r="Q173" s="829"/>
      <c r="R173" s="852"/>
      <c r="S173" s="851"/>
      <c r="T173" s="787"/>
      <c r="U173" s="829"/>
      <c r="V173" s="852"/>
      <c r="W173" s="851"/>
      <c r="X173" s="787"/>
      <c r="Y173" s="829"/>
      <c r="Z173" s="852"/>
      <c r="AA173" s="851"/>
      <c r="AB173" s="787"/>
      <c r="AC173" s="829"/>
      <c r="AD173" s="852"/>
      <c r="AE173" s="851"/>
      <c r="AF173" s="787"/>
      <c r="AG173" s="355">
        <v>470</v>
      </c>
      <c r="AI173" s="246">
        <v>92</v>
      </c>
      <c r="AJ173" s="787"/>
      <c r="AL173" s="123"/>
    </row>
    <row r="174" spans="2:38" x14ac:dyDescent="0.4">
      <c r="B174" s="356">
        <v>475</v>
      </c>
      <c r="C174" s="851"/>
      <c r="D174" s="787"/>
      <c r="E174" s="829"/>
      <c r="F174" s="852"/>
      <c r="G174" s="851"/>
      <c r="H174" s="787"/>
      <c r="I174" s="829"/>
      <c r="J174" s="852"/>
      <c r="K174" s="851"/>
      <c r="L174" s="787"/>
      <c r="M174" s="829"/>
      <c r="N174" s="852"/>
      <c r="O174" s="851"/>
      <c r="P174" s="787"/>
      <c r="Q174" s="829"/>
      <c r="R174" s="852"/>
      <c r="S174" s="851"/>
      <c r="T174" s="787"/>
      <c r="U174" s="829"/>
      <c r="V174" s="852"/>
      <c r="W174" s="851"/>
      <c r="X174" s="787"/>
      <c r="Y174" s="829"/>
      <c r="Z174" s="852"/>
      <c r="AA174" s="851"/>
      <c r="AB174" s="787"/>
      <c r="AC174" s="829"/>
      <c r="AD174" s="852"/>
      <c r="AE174" s="851"/>
      <c r="AF174" s="787"/>
      <c r="AG174" s="355">
        <v>475</v>
      </c>
      <c r="AI174" s="246">
        <v>93</v>
      </c>
      <c r="AJ174" s="787"/>
      <c r="AL174" s="123"/>
    </row>
    <row r="175" spans="2:38" x14ac:dyDescent="0.4">
      <c r="B175" s="356">
        <v>480</v>
      </c>
      <c r="C175" s="851"/>
      <c r="D175" s="787"/>
      <c r="E175" s="829"/>
      <c r="F175" s="852"/>
      <c r="G175" s="851"/>
      <c r="H175" s="787"/>
      <c r="I175" s="829"/>
      <c r="J175" s="852"/>
      <c r="K175" s="851"/>
      <c r="L175" s="787"/>
      <c r="M175" s="829"/>
      <c r="N175" s="852"/>
      <c r="O175" s="851"/>
      <c r="P175" s="787"/>
      <c r="Q175" s="829"/>
      <c r="R175" s="852"/>
      <c r="S175" s="851"/>
      <c r="T175" s="787"/>
      <c r="U175" s="829"/>
      <c r="V175" s="852"/>
      <c r="W175" s="851"/>
      <c r="X175" s="787"/>
      <c r="Y175" s="829"/>
      <c r="Z175" s="852"/>
      <c r="AA175" s="851"/>
      <c r="AB175" s="787"/>
      <c r="AC175" s="829"/>
      <c r="AD175" s="852"/>
      <c r="AE175" s="851"/>
      <c r="AF175" s="787"/>
      <c r="AG175" s="355">
        <v>480</v>
      </c>
      <c r="AI175" s="246">
        <v>94</v>
      </c>
      <c r="AJ175" s="787"/>
      <c r="AL175" s="123"/>
    </row>
    <row r="176" spans="2:38" x14ac:dyDescent="0.4">
      <c r="B176" s="356">
        <v>485</v>
      </c>
      <c r="C176" s="851"/>
      <c r="D176" s="787"/>
      <c r="E176" s="829"/>
      <c r="F176" s="852"/>
      <c r="G176" s="851"/>
      <c r="H176" s="787"/>
      <c r="I176" s="829"/>
      <c r="J176" s="852"/>
      <c r="K176" s="851"/>
      <c r="L176" s="787"/>
      <c r="M176" s="829"/>
      <c r="N176" s="852"/>
      <c r="O176" s="851"/>
      <c r="P176" s="787"/>
      <c r="Q176" s="829"/>
      <c r="R176" s="852"/>
      <c r="S176" s="851"/>
      <c r="T176" s="787"/>
      <c r="U176" s="829"/>
      <c r="V176" s="852"/>
      <c r="W176" s="851"/>
      <c r="X176" s="787"/>
      <c r="Y176" s="829"/>
      <c r="Z176" s="852"/>
      <c r="AA176" s="851"/>
      <c r="AB176" s="787"/>
      <c r="AC176" s="829"/>
      <c r="AD176" s="852"/>
      <c r="AE176" s="851"/>
      <c r="AF176" s="787"/>
      <c r="AG176" s="355">
        <v>485</v>
      </c>
      <c r="AI176" s="246">
        <v>95</v>
      </c>
      <c r="AJ176" s="787"/>
      <c r="AL176" s="123"/>
    </row>
    <row r="177" spans="2:38" x14ac:dyDescent="0.4">
      <c r="B177" s="356">
        <v>490</v>
      </c>
      <c r="C177" s="851"/>
      <c r="D177" s="787"/>
      <c r="E177" s="829"/>
      <c r="F177" s="852"/>
      <c r="G177" s="851"/>
      <c r="H177" s="787"/>
      <c r="I177" s="829"/>
      <c r="J177" s="852"/>
      <c r="K177" s="851"/>
      <c r="L177" s="787"/>
      <c r="M177" s="829"/>
      <c r="N177" s="852"/>
      <c r="O177" s="851"/>
      <c r="P177" s="787"/>
      <c r="Q177" s="829"/>
      <c r="R177" s="852"/>
      <c r="S177" s="851"/>
      <c r="T177" s="787"/>
      <c r="U177" s="829"/>
      <c r="V177" s="852"/>
      <c r="W177" s="851"/>
      <c r="X177" s="787"/>
      <c r="Y177" s="829"/>
      <c r="Z177" s="852"/>
      <c r="AA177" s="851"/>
      <c r="AB177" s="787"/>
      <c r="AC177" s="829"/>
      <c r="AD177" s="852"/>
      <c r="AE177" s="851"/>
      <c r="AF177" s="787"/>
      <c r="AG177" s="355">
        <v>490</v>
      </c>
      <c r="AI177" s="246">
        <v>96</v>
      </c>
      <c r="AJ177" s="787"/>
      <c r="AL177" s="123"/>
    </row>
    <row r="178" spans="2:38" x14ac:dyDescent="0.4">
      <c r="B178" s="356">
        <v>495</v>
      </c>
      <c r="C178" s="851"/>
      <c r="D178" s="787"/>
      <c r="E178" s="829"/>
      <c r="F178" s="852"/>
      <c r="G178" s="851"/>
      <c r="H178" s="787"/>
      <c r="I178" s="829"/>
      <c r="J178" s="852"/>
      <c r="K178" s="851"/>
      <c r="L178" s="787"/>
      <c r="M178" s="829"/>
      <c r="N178" s="852"/>
      <c r="O178" s="851"/>
      <c r="P178" s="787"/>
      <c r="Q178" s="829"/>
      <c r="R178" s="852"/>
      <c r="S178" s="851"/>
      <c r="T178" s="787"/>
      <c r="U178" s="829"/>
      <c r="V178" s="852"/>
      <c r="W178" s="851"/>
      <c r="X178" s="787"/>
      <c r="Y178" s="829"/>
      <c r="Z178" s="852"/>
      <c r="AA178" s="851"/>
      <c r="AB178" s="787"/>
      <c r="AC178" s="829"/>
      <c r="AD178" s="852"/>
      <c r="AE178" s="851"/>
      <c r="AF178" s="787"/>
      <c r="AG178" s="355">
        <v>495</v>
      </c>
      <c r="AI178" s="246">
        <v>97</v>
      </c>
      <c r="AJ178" s="787"/>
      <c r="AL178" s="123"/>
    </row>
    <row r="179" spans="2:38" x14ac:dyDescent="0.4">
      <c r="B179" s="356">
        <v>500</v>
      </c>
      <c r="C179" s="851"/>
      <c r="D179" s="787"/>
      <c r="E179" s="829"/>
      <c r="F179" s="852"/>
      <c r="G179" s="851"/>
      <c r="H179" s="787"/>
      <c r="I179" s="829"/>
      <c r="J179" s="852"/>
      <c r="K179" s="851"/>
      <c r="L179" s="787"/>
      <c r="M179" s="829"/>
      <c r="N179" s="852"/>
      <c r="O179" s="851"/>
      <c r="P179" s="787"/>
      <c r="Q179" s="829"/>
      <c r="R179" s="852"/>
      <c r="S179" s="851"/>
      <c r="T179" s="787"/>
      <c r="U179" s="829"/>
      <c r="V179" s="852"/>
      <c r="W179" s="851"/>
      <c r="X179" s="787"/>
      <c r="Y179" s="829"/>
      <c r="Z179" s="852"/>
      <c r="AA179" s="851"/>
      <c r="AB179" s="787"/>
      <c r="AC179" s="829"/>
      <c r="AD179" s="852"/>
      <c r="AE179" s="851"/>
      <c r="AF179" s="787"/>
      <c r="AG179" s="355">
        <v>500</v>
      </c>
      <c r="AI179" s="246">
        <v>98</v>
      </c>
      <c r="AJ179" s="787"/>
      <c r="AL179" s="123"/>
    </row>
    <row r="180" spans="2:38" x14ac:dyDescent="0.4">
      <c r="B180" s="356">
        <v>505</v>
      </c>
      <c r="C180" s="851"/>
      <c r="D180" s="787"/>
      <c r="E180" s="829"/>
      <c r="F180" s="852"/>
      <c r="G180" s="851"/>
      <c r="H180" s="787"/>
      <c r="I180" s="829"/>
      <c r="J180" s="852"/>
      <c r="K180" s="851"/>
      <c r="L180" s="787"/>
      <c r="M180" s="829"/>
      <c r="N180" s="852"/>
      <c r="O180" s="851"/>
      <c r="P180" s="787"/>
      <c r="Q180" s="829"/>
      <c r="R180" s="852"/>
      <c r="S180" s="851"/>
      <c r="T180" s="787"/>
      <c r="U180" s="829"/>
      <c r="V180" s="852"/>
      <c r="W180" s="851"/>
      <c r="X180" s="787"/>
      <c r="Y180" s="829"/>
      <c r="Z180" s="852"/>
      <c r="AA180" s="851"/>
      <c r="AB180" s="787"/>
      <c r="AC180" s="829"/>
      <c r="AD180" s="852"/>
      <c r="AE180" s="851"/>
      <c r="AF180" s="787"/>
      <c r="AG180" s="355">
        <v>505</v>
      </c>
      <c r="AI180" s="246">
        <v>99</v>
      </c>
      <c r="AJ180" s="787"/>
      <c r="AL180" s="123"/>
    </row>
    <row r="181" spans="2:38" x14ac:dyDescent="0.4">
      <c r="B181" s="356">
        <v>510</v>
      </c>
      <c r="C181" s="851"/>
      <c r="D181" s="787"/>
      <c r="E181" s="829"/>
      <c r="F181" s="852"/>
      <c r="G181" s="851"/>
      <c r="H181" s="787"/>
      <c r="I181" s="829"/>
      <c r="J181" s="852"/>
      <c r="K181" s="851"/>
      <c r="L181" s="787"/>
      <c r="M181" s="829"/>
      <c r="N181" s="852"/>
      <c r="O181" s="851"/>
      <c r="P181" s="787"/>
      <c r="Q181" s="829"/>
      <c r="R181" s="852"/>
      <c r="S181" s="851"/>
      <c r="T181" s="787"/>
      <c r="U181" s="829"/>
      <c r="V181" s="852"/>
      <c r="W181" s="851"/>
      <c r="X181" s="787"/>
      <c r="Y181" s="829"/>
      <c r="Z181" s="852"/>
      <c r="AA181" s="851"/>
      <c r="AB181" s="787"/>
      <c r="AC181" s="829"/>
      <c r="AD181" s="852"/>
      <c r="AE181" s="851"/>
      <c r="AF181" s="787"/>
      <c r="AG181" s="355">
        <v>510</v>
      </c>
      <c r="AI181" s="246">
        <v>100</v>
      </c>
      <c r="AJ181" s="787"/>
      <c r="AL181" s="123"/>
    </row>
    <row r="182" spans="2:38" x14ac:dyDescent="0.4">
      <c r="B182" s="356">
        <v>515</v>
      </c>
      <c r="C182" s="851"/>
      <c r="D182" s="787"/>
      <c r="E182" s="829"/>
      <c r="F182" s="852"/>
      <c r="G182" s="851"/>
      <c r="H182" s="787"/>
      <c r="I182" s="829"/>
      <c r="J182" s="852"/>
      <c r="K182" s="851"/>
      <c r="L182" s="787"/>
      <c r="M182" s="829"/>
      <c r="N182" s="852"/>
      <c r="O182" s="851"/>
      <c r="P182" s="787"/>
      <c r="Q182" s="829"/>
      <c r="R182" s="852"/>
      <c r="S182" s="851"/>
      <c r="T182" s="787"/>
      <c r="U182" s="829"/>
      <c r="V182" s="852"/>
      <c r="W182" s="851"/>
      <c r="X182" s="787"/>
      <c r="Y182" s="829"/>
      <c r="Z182" s="852"/>
      <c r="AA182" s="851"/>
      <c r="AB182" s="787"/>
      <c r="AC182" s="829"/>
      <c r="AD182" s="852"/>
      <c r="AE182" s="851"/>
      <c r="AF182" s="787"/>
      <c r="AG182" s="355">
        <v>515</v>
      </c>
      <c r="AI182" s="246">
        <v>101</v>
      </c>
      <c r="AJ182" s="787"/>
      <c r="AL182" s="123"/>
    </row>
    <row r="183" spans="2:38" x14ac:dyDescent="0.4">
      <c r="B183" s="356">
        <v>520</v>
      </c>
      <c r="C183" s="851"/>
      <c r="D183" s="787"/>
      <c r="E183" s="829"/>
      <c r="F183" s="852"/>
      <c r="G183" s="851"/>
      <c r="H183" s="787"/>
      <c r="I183" s="829"/>
      <c r="J183" s="852"/>
      <c r="K183" s="851"/>
      <c r="L183" s="787"/>
      <c r="M183" s="829"/>
      <c r="N183" s="852"/>
      <c r="O183" s="851"/>
      <c r="P183" s="787"/>
      <c r="Q183" s="829"/>
      <c r="R183" s="852"/>
      <c r="S183" s="851"/>
      <c r="T183" s="787"/>
      <c r="U183" s="829"/>
      <c r="V183" s="852"/>
      <c r="W183" s="851"/>
      <c r="X183" s="787"/>
      <c r="Y183" s="829"/>
      <c r="Z183" s="852"/>
      <c r="AA183" s="851"/>
      <c r="AB183" s="787"/>
      <c r="AC183" s="829"/>
      <c r="AD183" s="852"/>
      <c r="AE183" s="851"/>
      <c r="AF183" s="787"/>
      <c r="AG183" s="355">
        <v>520</v>
      </c>
      <c r="AI183" s="246">
        <v>102</v>
      </c>
      <c r="AJ183" s="787"/>
      <c r="AL183" s="123"/>
    </row>
    <row r="184" spans="2:38" x14ac:dyDescent="0.4">
      <c r="B184" s="356">
        <v>525</v>
      </c>
      <c r="C184" s="851"/>
      <c r="D184" s="787"/>
      <c r="E184" s="829"/>
      <c r="F184" s="852"/>
      <c r="G184" s="851"/>
      <c r="H184" s="787"/>
      <c r="I184" s="829"/>
      <c r="J184" s="852"/>
      <c r="K184" s="851"/>
      <c r="L184" s="787"/>
      <c r="M184" s="829"/>
      <c r="N184" s="852"/>
      <c r="O184" s="851"/>
      <c r="P184" s="787"/>
      <c r="Q184" s="829"/>
      <c r="R184" s="852"/>
      <c r="S184" s="851"/>
      <c r="T184" s="787"/>
      <c r="U184" s="829"/>
      <c r="V184" s="852"/>
      <c r="W184" s="851"/>
      <c r="X184" s="787"/>
      <c r="Y184" s="829"/>
      <c r="Z184" s="852"/>
      <c r="AA184" s="851"/>
      <c r="AB184" s="787"/>
      <c r="AC184" s="829"/>
      <c r="AD184" s="852"/>
      <c r="AE184" s="851"/>
      <c r="AF184" s="787"/>
      <c r="AG184" s="355">
        <v>525</v>
      </c>
      <c r="AI184" s="246">
        <v>103</v>
      </c>
      <c r="AJ184" s="787"/>
      <c r="AL184" s="123"/>
    </row>
    <row r="185" spans="2:38" x14ac:dyDescent="0.4">
      <c r="B185" s="356">
        <v>530</v>
      </c>
      <c r="C185" s="851"/>
      <c r="D185" s="787"/>
      <c r="E185" s="829"/>
      <c r="F185" s="852"/>
      <c r="G185" s="851"/>
      <c r="H185" s="787"/>
      <c r="I185" s="829"/>
      <c r="J185" s="852"/>
      <c r="K185" s="851"/>
      <c r="L185" s="787"/>
      <c r="M185" s="829"/>
      <c r="N185" s="852"/>
      <c r="O185" s="851"/>
      <c r="P185" s="787"/>
      <c r="Q185" s="829"/>
      <c r="R185" s="852"/>
      <c r="S185" s="851"/>
      <c r="T185" s="787"/>
      <c r="U185" s="829"/>
      <c r="V185" s="852"/>
      <c r="W185" s="851"/>
      <c r="X185" s="787"/>
      <c r="Y185" s="829"/>
      <c r="Z185" s="852"/>
      <c r="AA185" s="851"/>
      <c r="AB185" s="787"/>
      <c r="AC185" s="829"/>
      <c r="AD185" s="852"/>
      <c r="AE185" s="851"/>
      <c r="AF185" s="787"/>
      <c r="AG185" s="355">
        <v>530</v>
      </c>
      <c r="AI185" s="246">
        <v>104</v>
      </c>
      <c r="AJ185" s="787"/>
      <c r="AL185" s="123"/>
    </row>
    <row r="186" spans="2:38" x14ac:dyDescent="0.4">
      <c r="B186" s="356">
        <v>535</v>
      </c>
      <c r="C186" s="851"/>
      <c r="D186" s="787"/>
      <c r="E186" s="829"/>
      <c r="F186" s="852"/>
      <c r="G186" s="851"/>
      <c r="H186" s="787"/>
      <c r="I186" s="829"/>
      <c r="J186" s="852"/>
      <c r="K186" s="851"/>
      <c r="L186" s="787"/>
      <c r="M186" s="829"/>
      <c r="N186" s="852"/>
      <c r="O186" s="851"/>
      <c r="P186" s="787"/>
      <c r="Q186" s="829"/>
      <c r="R186" s="852"/>
      <c r="S186" s="851"/>
      <c r="T186" s="787"/>
      <c r="U186" s="829"/>
      <c r="V186" s="852"/>
      <c r="W186" s="851"/>
      <c r="X186" s="787"/>
      <c r="Y186" s="829"/>
      <c r="Z186" s="852"/>
      <c r="AA186" s="851"/>
      <c r="AB186" s="787"/>
      <c r="AC186" s="829"/>
      <c r="AD186" s="852"/>
      <c r="AE186" s="851"/>
      <c r="AF186" s="787"/>
      <c r="AG186" s="355">
        <v>535</v>
      </c>
      <c r="AI186" s="246">
        <v>105</v>
      </c>
      <c r="AJ186" s="787"/>
      <c r="AL186" s="123"/>
    </row>
    <row r="187" spans="2:38" x14ac:dyDescent="0.4">
      <c r="B187" s="356">
        <v>540</v>
      </c>
      <c r="C187" s="851"/>
      <c r="D187" s="787"/>
      <c r="E187" s="829"/>
      <c r="F187" s="852"/>
      <c r="G187" s="851"/>
      <c r="H187" s="787"/>
      <c r="I187" s="829"/>
      <c r="J187" s="852"/>
      <c r="K187" s="851"/>
      <c r="L187" s="787"/>
      <c r="M187" s="829"/>
      <c r="N187" s="852"/>
      <c r="O187" s="851"/>
      <c r="P187" s="787"/>
      <c r="Q187" s="829"/>
      <c r="R187" s="852"/>
      <c r="S187" s="851"/>
      <c r="T187" s="787"/>
      <c r="U187" s="829"/>
      <c r="V187" s="852"/>
      <c r="W187" s="851"/>
      <c r="X187" s="787"/>
      <c r="Y187" s="829"/>
      <c r="Z187" s="852"/>
      <c r="AA187" s="851"/>
      <c r="AB187" s="787"/>
      <c r="AC187" s="829"/>
      <c r="AD187" s="852"/>
      <c r="AE187" s="851"/>
      <c r="AF187" s="787"/>
      <c r="AG187" s="355">
        <v>540</v>
      </c>
      <c r="AI187" s="246">
        <v>106</v>
      </c>
      <c r="AJ187" s="787"/>
      <c r="AL187" s="123"/>
    </row>
    <row r="188" spans="2:38" x14ac:dyDescent="0.4">
      <c r="B188" s="356">
        <v>545</v>
      </c>
      <c r="C188" s="851"/>
      <c r="D188" s="787"/>
      <c r="E188" s="829"/>
      <c r="F188" s="852"/>
      <c r="G188" s="851"/>
      <c r="H188" s="787"/>
      <c r="I188" s="829"/>
      <c r="J188" s="852"/>
      <c r="K188" s="851"/>
      <c r="L188" s="787"/>
      <c r="M188" s="829"/>
      <c r="N188" s="852"/>
      <c r="O188" s="851"/>
      <c r="P188" s="787"/>
      <c r="Q188" s="829"/>
      <c r="R188" s="852"/>
      <c r="S188" s="851"/>
      <c r="T188" s="787"/>
      <c r="U188" s="829"/>
      <c r="V188" s="852"/>
      <c r="W188" s="851"/>
      <c r="X188" s="787"/>
      <c r="Y188" s="829"/>
      <c r="Z188" s="852"/>
      <c r="AA188" s="851"/>
      <c r="AB188" s="787"/>
      <c r="AC188" s="829"/>
      <c r="AD188" s="852"/>
      <c r="AE188" s="851"/>
      <c r="AF188" s="787"/>
      <c r="AG188" s="355">
        <v>545</v>
      </c>
      <c r="AI188" s="246">
        <v>107</v>
      </c>
      <c r="AJ188" s="787"/>
      <c r="AL188" s="123"/>
    </row>
    <row r="189" spans="2:38" x14ac:dyDescent="0.4">
      <c r="B189" s="356">
        <v>550</v>
      </c>
      <c r="C189" s="851"/>
      <c r="D189" s="787"/>
      <c r="E189" s="829"/>
      <c r="F189" s="852"/>
      <c r="G189" s="851"/>
      <c r="H189" s="787"/>
      <c r="I189" s="829"/>
      <c r="J189" s="852"/>
      <c r="K189" s="851"/>
      <c r="L189" s="787"/>
      <c r="M189" s="829"/>
      <c r="N189" s="852"/>
      <c r="O189" s="851"/>
      <c r="P189" s="787"/>
      <c r="Q189" s="829"/>
      <c r="R189" s="852"/>
      <c r="S189" s="851"/>
      <c r="T189" s="787"/>
      <c r="U189" s="829"/>
      <c r="V189" s="852"/>
      <c r="W189" s="851"/>
      <c r="X189" s="787"/>
      <c r="Y189" s="829"/>
      <c r="Z189" s="852"/>
      <c r="AA189" s="851"/>
      <c r="AB189" s="787"/>
      <c r="AC189" s="829"/>
      <c r="AD189" s="852"/>
      <c r="AE189" s="851"/>
      <c r="AF189" s="787"/>
      <c r="AG189" s="355">
        <v>550</v>
      </c>
      <c r="AI189" s="246">
        <v>108</v>
      </c>
      <c r="AJ189" s="787"/>
      <c r="AL189" s="123"/>
    </row>
    <row r="190" spans="2:38" x14ac:dyDescent="0.4">
      <c r="B190" s="356">
        <v>555</v>
      </c>
      <c r="C190" s="851"/>
      <c r="D190" s="787"/>
      <c r="E190" s="829"/>
      <c r="F190" s="852"/>
      <c r="G190" s="851"/>
      <c r="H190" s="787"/>
      <c r="I190" s="829"/>
      <c r="J190" s="852"/>
      <c r="K190" s="851"/>
      <c r="L190" s="787"/>
      <c r="M190" s="829"/>
      <c r="N190" s="852"/>
      <c r="O190" s="851"/>
      <c r="P190" s="787"/>
      <c r="Q190" s="829"/>
      <c r="R190" s="852"/>
      <c r="S190" s="851"/>
      <c r="T190" s="787"/>
      <c r="U190" s="829"/>
      <c r="V190" s="852"/>
      <c r="W190" s="851"/>
      <c r="X190" s="787"/>
      <c r="Y190" s="829"/>
      <c r="Z190" s="852"/>
      <c r="AA190" s="851"/>
      <c r="AB190" s="787"/>
      <c r="AC190" s="829"/>
      <c r="AD190" s="852"/>
      <c r="AE190" s="851"/>
      <c r="AF190" s="787"/>
      <c r="AG190" s="355">
        <v>555</v>
      </c>
      <c r="AI190" s="246">
        <v>109</v>
      </c>
      <c r="AJ190" s="787"/>
      <c r="AL190" s="123"/>
    </row>
    <row r="191" spans="2:38" x14ac:dyDescent="0.4">
      <c r="B191" s="356">
        <v>560</v>
      </c>
      <c r="C191" s="851"/>
      <c r="D191" s="787"/>
      <c r="E191" s="829"/>
      <c r="F191" s="852"/>
      <c r="G191" s="851"/>
      <c r="H191" s="787"/>
      <c r="I191" s="829"/>
      <c r="J191" s="852"/>
      <c r="K191" s="851"/>
      <c r="L191" s="787"/>
      <c r="M191" s="829"/>
      <c r="N191" s="852"/>
      <c r="O191" s="851"/>
      <c r="P191" s="787"/>
      <c r="Q191" s="829"/>
      <c r="R191" s="852"/>
      <c r="S191" s="851"/>
      <c r="T191" s="787"/>
      <c r="U191" s="829"/>
      <c r="V191" s="852"/>
      <c r="W191" s="851"/>
      <c r="X191" s="787"/>
      <c r="Y191" s="829"/>
      <c r="Z191" s="852"/>
      <c r="AA191" s="851"/>
      <c r="AB191" s="787"/>
      <c r="AC191" s="829"/>
      <c r="AD191" s="852"/>
      <c r="AE191" s="851"/>
      <c r="AF191" s="787"/>
      <c r="AG191" s="355">
        <v>560</v>
      </c>
      <c r="AI191" s="246">
        <v>110</v>
      </c>
      <c r="AJ191" s="787"/>
      <c r="AL191" s="123"/>
    </row>
    <row r="192" spans="2:38" x14ac:dyDescent="0.4">
      <c r="B192" s="356">
        <v>565</v>
      </c>
      <c r="C192" s="851"/>
      <c r="D192" s="787"/>
      <c r="E192" s="829"/>
      <c r="F192" s="852"/>
      <c r="G192" s="851"/>
      <c r="H192" s="787"/>
      <c r="I192" s="829"/>
      <c r="J192" s="852"/>
      <c r="K192" s="851"/>
      <c r="L192" s="787"/>
      <c r="M192" s="829"/>
      <c r="N192" s="852"/>
      <c r="O192" s="851"/>
      <c r="P192" s="787"/>
      <c r="Q192" s="829"/>
      <c r="R192" s="852"/>
      <c r="S192" s="851"/>
      <c r="T192" s="787"/>
      <c r="U192" s="829"/>
      <c r="V192" s="852"/>
      <c r="W192" s="851"/>
      <c r="X192" s="787"/>
      <c r="Y192" s="829"/>
      <c r="Z192" s="852"/>
      <c r="AA192" s="851"/>
      <c r="AB192" s="787"/>
      <c r="AC192" s="829"/>
      <c r="AD192" s="852"/>
      <c r="AE192" s="851"/>
      <c r="AF192" s="787"/>
      <c r="AG192" s="355">
        <v>565</v>
      </c>
      <c r="AI192" s="246">
        <v>111</v>
      </c>
      <c r="AJ192" s="787"/>
      <c r="AL192" s="123"/>
    </row>
    <row r="193" spans="2:38" x14ac:dyDescent="0.4">
      <c r="B193" s="356">
        <v>570</v>
      </c>
      <c r="C193" s="851"/>
      <c r="D193" s="787"/>
      <c r="E193" s="829"/>
      <c r="F193" s="852"/>
      <c r="G193" s="851"/>
      <c r="H193" s="787"/>
      <c r="I193" s="829"/>
      <c r="J193" s="852"/>
      <c r="K193" s="851"/>
      <c r="L193" s="787"/>
      <c r="M193" s="829"/>
      <c r="N193" s="852"/>
      <c r="O193" s="851"/>
      <c r="P193" s="787"/>
      <c r="Q193" s="829"/>
      <c r="R193" s="852"/>
      <c r="S193" s="851"/>
      <c r="T193" s="787"/>
      <c r="U193" s="829"/>
      <c r="V193" s="852"/>
      <c r="W193" s="851"/>
      <c r="X193" s="787"/>
      <c r="Y193" s="829"/>
      <c r="Z193" s="852"/>
      <c r="AA193" s="851"/>
      <c r="AB193" s="787"/>
      <c r="AC193" s="829"/>
      <c r="AD193" s="852"/>
      <c r="AE193" s="851"/>
      <c r="AF193" s="787"/>
      <c r="AG193" s="355">
        <v>570</v>
      </c>
      <c r="AI193" s="246">
        <v>112</v>
      </c>
      <c r="AJ193" s="787"/>
      <c r="AL193" s="123"/>
    </row>
    <row r="194" spans="2:38" x14ac:dyDescent="0.4">
      <c r="B194" s="356">
        <v>575</v>
      </c>
      <c r="C194" s="851"/>
      <c r="D194" s="787"/>
      <c r="E194" s="829"/>
      <c r="F194" s="852"/>
      <c r="G194" s="851"/>
      <c r="H194" s="787"/>
      <c r="I194" s="829"/>
      <c r="J194" s="852"/>
      <c r="K194" s="851"/>
      <c r="L194" s="787"/>
      <c r="M194" s="829"/>
      <c r="N194" s="852"/>
      <c r="O194" s="851"/>
      <c r="P194" s="787"/>
      <c r="Q194" s="829"/>
      <c r="R194" s="852"/>
      <c r="S194" s="851"/>
      <c r="T194" s="787"/>
      <c r="U194" s="829"/>
      <c r="V194" s="852"/>
      <c r="W194" s="851"/>
      <c r="X194" s="787"/>
      <c r="Y194" s="829"/>
      <c r="Z194" s="852"/>
      <c r="AA194" s="851"/>
      <c r="AB194" s="787"/>
      <c r="AC194" s="829"/>
      <c r="AD194" s="852"/>
      <c r="AE194" s="851"/>
      <c r="AF194" s="787"/>
      <c r="AG194" s="355">
        <v>575</v>
      </c>
      <c r="AI194" s="246">
        <v>113</v>
      </c>
      <c r="AJ194" s="787"/>
      <c r="AL194" s="123"/>
    </row>
    <row r="195" spans="2:38" x14ac:dyDescent="0.4">
      <c r="B195" s="356">
        <v>580</v>
      </c>
      <c r="C195" s="851"/>
      <c r="D195" s="787"/>
      <c r="E195" s="829"/>
      <c r="F195" s="852"/>
      <c r="G195" s="851"/>
      <c r="H195" s="787"/>
      <c r="I195" s="829"/>
      <c r="J195" s="852"/>
      <c r="K195" s="851"/>
      <c r="L195" s="787"/>
      <c r="M195" s="829"/>
      <c r="N195" s="852"/>
      <c r="O195" s="851"/>
      <c r="P195" s="787"/>
      <c r="Q195" s="829"/>
      <c r="R195" s="852"/>
      <c r="S195" s="851"/>
      <c r="T195" s="787"/>
      <c r="U195" s="829"/>
      <c r="V195" s="852"/>
      <c r="W195" s="851"/>
      <c r="X195" s="787"/>
      <c r="Y195" s="829"/>
      <c r="Z195" s="852"/>
      <c r="AA195" s="851"/>
      <c r="AB195" s="787"/>
      <c r="AC195" s="829"/>
      <c r="AD195" s="852"/>
      <c r="AE195" s="851"/>
      <c r="AF195" s="787"/>
      <c r="AG195" s="355">
        <v>580</v>
      </c>
      <c r="AI195" s="246">
        <v>114</v>
      </c>
      <c r="AJ195" s="787"/>
      <c r="AL195" s="123"/>
    </row>
    <row r="196" spans="2:38" x14ac:dyDescent="0.4">
      <c r="B196" s="356">
        <v>585</v>
      </c>
      <c r="C196" s="851"/>
      <c r="D196" s="787"/>
      <c r="E196" s="829"/>
      <c r="F196" s="852"/>
      <c r="G196" s="851"/>
      <c r="H196" s="787"/>
      <c r="I196" s="829"/>
      <c r="J196" s="852"/>
      <c r="K196" s="851"/>
      <c r="L196" s="787"/>
      <c r="M196" s="829"/>
      <c r="N196" s="852"/>
      <c r="O196" s="851"/>
      <c r="P196" s="787"/>
      <c r="Q196" s="829"/>
      <c r="R196" s="852"/>
      <c r="S196" s="851"/>
      <c r="T196" s="787"/>
      <c r="U196" s="829"/>
      <c r="V196" s="852"/>
      <c r="W196" s="851"/>
      <c r="X196" s="787"/>
      <c r="Y196" s="829"/>
      <c r="Z196" s="852"/>
      <c r="AA196" s="851"/>
      <c r="AB196" s="787"/>
      <c r="AC196" s="829"/>
      <c r="AD196" s="852"/>
      <c r="AE196" s="851"/>
      <c r="AF196" s="787"/>
      <c r="AG196" s="355">
        <v>585</v>
      </c>
      <c r="AI196" s="246">
        <v>115</v>
      </c>
      <c r="AJ196" s="787"/>
      <c r="AL196" s="123"/>
    </row>
    <row r="197" spans="2:38" x14ac:dyDescent="0.4">
      <c r="B197" s="356">
        <v>590</v>
      </c>
      <c r="C197" s="851"/>
      <c r="D197" s="787"/>
      <c r="E197" s="829"/>
      <c r="F197" s="852"/>
      <c r="G197" s="851"/>
      <c r="H197" s="787"/>
      <c r="I197" s="829"/>
      <c r="J197" s="852"/>
      <c r="K197" s="851"/>
      <c r="L197" s="787"/>
      <c r="M197" s="829"/>
      <c r="N197" s="852"/>
      <c r="O197" s="851"/>
      <c r="P197" s="787"/>
      <c r="Q197" s="829"/>
      <c r="R197" s="852"/>
      <c r="S197" s="851"/>
      <c r="T197" s="787"/>
      <c r="U197" s="829"/>
      <c r="V197" s="852"/>
      <c r="W197" s="851"/>
      <c r="X197" s="787"/>
      <c r="Y197" s="829"/>
      <c r="Z197" s="852"/>
      <c r="AA197" s="851"/>
      <c r="AB197" s="787"/>
      <c r="AC197" s="829"/>
      <c r="AD197" s="852"/>
      <c r="AE197" s="851"/>
      <c r="AF197" s="787"/>
      <c r="AG197" s="355">
        <v>590</v>
      </c>
      <c r="AI197" s="246">
        <v>116</v>
      </c>
      <c r="AJ197" s="787"/>
      <c r="AL197" s="123"/>
    </row>
    <row r="198" spans="2:38" x14ac:dyDescent="0.4">
      <c r="B198" s="356">
        <v>595</v>
      </c>
      <c r="C198" s="851"/>
      <c r="D198" s="787"/>
      <c r="E198" s="829"/>
      <c r="F198" s="852"/>
      <c r="G198" s="851"/>
      <c r="H198" s="787"/>
      <c r="I198" s="829"/>
      <c r="J198" s="852"/>
      <c r="K198" s="851"/>
      <c r="L198" s="787"/>
      <c r="M198" s="829"/>
      <c r="N198" s="852"/>
      <c r="O198" s="851"/>
      <c r="P198" s="787"/>
      <c r="Q198" s="829"/>
      <c r="R198" s="852"/>
      <c r="S198" s="851"/>
      <c r="T198" s="787"/>
      <c r="U198" s="829"/>
      <c r="V198" s="852"/>
      <c r="W198" s="851"/>
      <c r="X198" s="787"/>
      <c r="Y198" s="829"/>
      <c r="Z198" s="852"/>
      <c r="AA198" s="851"/>
      <c r="AB198" s="787"/>
      <c r="AC198" s="829"/>
      <c r="AD198" s="852"/>
      <c r="AE198" s="851"/>
      <c r="AF198" s="787"/>
      <c r="AG198" s="355">
        <v>595</v>
      </c>
      <c r="AI198" s="246">
        <v>117</v>
      </c>
      <c r="AJ198" s="787"/>
      <c r="AL198" s="123"/>
    </row>
    <row r="199" spans="2:38" x14ac:dyDescent="0.4">
      <c r="B199" s="356">
        <v>600</v>
      </c>
      <c r="C199" s="851"/>
      <c r="D199" s="787"/>
      <c r="E199" s="829"/>
      <c r="F199" s="852"/>
      <c r="G199" s="851"/>
      <c r="H199" s="787"/>
      <c r="I199" s="829"/>
      <c r="J199" s="852"/>
      <c r="K199" s="851"/>
      <c r="L199" s="787"/>
      <c r="M199" s="829"/>
      <c r="N199" s="852"/>
      <c r="O199" s="851"/>
      <c r="P199" s="787"/>
      <c r="Q199" s="829"/>
      <c r="R199" s="852"/>
      <c r="S199" s="851"/>
      <c r="T199" s="787"/>
      <c r="U199" s="829"/>
      <c r="V199" s="852"/>
      <c r="W199" s="851"/>
      <c r="X199" s="787"/>
      <c r="Y199" s="829"/>
      <c r="Z199" s="852"/>
      <c r="AA199" s="851"/>
      <c r="AB199" s="787"/>
      <c r="AC199" s="829"/>
      <c r="AD199" s="852"/>
      <c r="AE199" s="851"/>
      <c r="AF199" s="787"/>
      <c r="AG199" s="355">
        <v>600</v>
      </c>
      <c r="AI199" s="246">
        <v>118</v>
      </c>
      <c r="AJ199" s="787"/>
      <c r="AL199" s="123"/>
    </row>
    <row r="200" spans="2:38" x14ac:dyDescent="0.4">
      <c r="B200" s="356">
        <v>605</v>
      </c>
      <c r="C200" s="851"/>
      <c r="D200" s="787"/>
      <c r="E200" s="829"/>
      <c r="F200" s="852"/>
      <c r="G200" s="851"/>
      <c r="H200" s="787"/>
      <c r="I200" s="829"/>
      <c r="J200" s="852"/>
      <c r="K200" s="851"/>
      <c r="L200" s="787"/>
      <c r="M200" s="829"/>
      <c r="N200" s="852"/>
      <c r="O200" s="851"/>
      <c r="P200" s="787"/>
      <c r="Q200" s="829"/>
      <c r="R200" s="852"/>
      <c r="S200" s="851"/>
      <c r="T200" s="787"/>
      <c r="U200" s="829"/>
      <c r="V200" s="852"/>
      <c r="W200" s="851"/>
      <c r="X200" s="787"/>
      <c r="Y200" s="829"/>
      <c r="Z200" s="852"/>
      <c r="AA200" s="851"/>
      <c r="AB200" s="787"/>
      <c r="AC200" s="829"/>
      <c r="AD200" s="852"/>
      <c r="AE200" s="851"/>
      <c r="AF200" s="787"/>
      <c r="AG200" s="355">
        <v>605</v>
      </c>
      <c r="AI200" s="246">
        <v>119</v>
      </c>
      <c r="AJ200" s="787"/>
      <c r="AL200" s="123"/>
    </row>
    <row r="201" spans="2:38" x14ac:dyDescent="0.4">
      <c r="B201" s="356">
        <v>610</v>
      </c>
      <c r="C201" s="851"/>
      <c r="D201" s="787"/>
      <c r="E201" s="829"/>
      <c r="F201" s="852"/>
      <c r="G201" s="851"/>
      <c r="H201" s="787"/>
      <c r="I201" s="829"/>
      <c r="J201" s="852"/>
      <c r="K201" s="851"/>
      <c r="L201" s="787"/>
      <c r="M201" s="829"/>
      <c r="N201" s="852"/>
      <c r="O201" s="851"/>
      <c r="P201" s="787"/>
      <c r="Q201" s="829"/>
      <c r="R201" s="852"/>
      <c r="S201" s="851"/>
      <c r="T201" s="787"/>
      <c r="U201" s="829"/>
      <c r="V201" s="852"/>
      <c r="W201" s="851"/>
      <c r="X201" s="787"/>
      <c r="Y201" s="829"/>
      <c r="Z201" s="852"/>
      <c r="AA201" s="851"/>
      <c r="AB201" s="787"/>
      <c r="AC201" s="829"/>
      <c r="AD201" s="852"/>
      <c r="AE201" s="851"/>
      <c r="AF201" s="787"/>
      <c r="AG201" s="355">
        <v>610</v>
      </c>
      <c r="AI201" s="246">
        <v>120</v>
      </c>
      <c r="AJ201" s="787"/>
      <c r="AL201" s="123"/>
    </row>
    <row r="202" spans="2:38" x14ac:dyDescent="0.4">
      <c r="B202" s="356">
        <v>615</v>
      </c>
      <c r="C202" s="851"/>
      <c r="D202" s="787"/>
      <c r="E202" s="829"/>
      <c r="F202" s="852"/>
      <c r="G202" s="851"/>
      <c r="H202" s="787"/>
      <c r="I202" s="829"/>
      <c r="J202" s="852"/>
      <c r="K202" s="851"/>
      <c r="L202" s="787"/>
      <c r="M202" s="829"/>
      <c r="N202" s="852"/>
      <c r="O202" s="851"/>
      <c r="P202" s="787"/>
      <c r="Q202" s="829"/>
      <c r="R202" s="852"/>
      <c r="S202" s="851"/>
      <c r="T202" s="787"/>
      <c r="U202" s="829"/>
      <c r="V202" s="852"/>
      <c r="W202" s="851"/>
      <c r="X202" s="787"/>
      <c r="Y202" s="829"/>
      <c r="Z202" s="852"/>
      <c r="AA202" s="851"/>
      <c r="AB202" s="787"/>
      <c r="AC202" s="829"/>
      <c r="AD202" s="852"/>
      <c r="AE202" s="851"/>
      <c r="AF202" s="787"/>
      <c r="AG202" s="355">
        <v>615</v>
      </c>
      <c r="AI202" s="246">
        <v>121</v>
      </c>
      <c r="AJ202" s="787"/>
      <c r="AL202" s="123"/>
    </row>
    <row r="203" spans="2:38" x14ac:dyDescent="0.4">
      <c r="B203" s="356">
        <v>620</v>
      </c>
      <c r="C203" s="851"/>
      <c r="D203" s="787"/>
      <c r="E203" s="829"/>
      <c r="F203" s="852"/>
      <c r="G203" s="851"/>
      <c r="H203" s="787"/>
      <c r="I203" s="829"/>
      <c r="J203" s="852"/>
      <c r="K203" s="851"/>
      <c r="L203" s="787"/>
      <c r="M203" s="829"/>
      <c r="N203" s="852"/>
      <c r="O203" s="851"/>
      <c r="P203" s="787"/>
      <c r="Q203" s="829"/>
      <c r="R203" s="852"/>
      <c r="S203" s="851"/>
      <c r="T203" s="787"/>
      <c r="U203" s="829"/>
      <c r="V203" s="852"/>
      <c r="W203" s="851"/>
      <c r="X203" s="787"/>
      <c r="Y203" s="829"/>
      <c r="Z203" s="852"/>
      <c r="AA203" s="851"/>
      <c r="AB203" s="787"/>
      <c r="AC203" s="829"/>
      <c r="AD203" s="852"/>
      <c r="AE203" s="851"/>
      <c r="AF203" s="787"/>
      <c r="AG203" s="355">
        <v>620</v>
      </c>
      <c r="AI203" s="246">
        <v>122</v>
      </c>
      <c r="AJ203" s="787"/>
      <c r="AL203" s="123"/>
    </row>
    <row r="204" spans="2:38" x14ac:dyDescent="0.4">
      <c r="B204" s="356">
        <v>625</v>
      </c>
      <c r="C204" s="851"/>
      <c r="D204" s="787"/>
      <c r="E204" s="829"/>
      <c r="F204" s="852"/>
      <c r="G204" s="851"/>
      <c r="H204" s="787"/>
      <c r="I204" s="829"/>
      <c r="J204" s="852"/>
      <c r="K204" s="851"/>
      <c r="L204" s="787"/>
      <c r="M204" s="829"/>
      <c r="N204" s="852"/>
      <c r="O204" s="851"/>
      <c r="P204" s="787"/>
      <c r="Q204" s="829"/>
      <c r="R204" s="852"/>
      <c r="S204" s="851"/>
      <c r="T204" s="787"/>
      <c r="U204" s="829"/>
      <c r="V204" s="852"/>
      <c r="W204" s="851"/>
      <c r="X204" s="787"/>
      <c r="Y204" s="829"/>
      <c r="Z204" s="852"/>
      <c r="AA204" s="851"/>
      <c r="AB204" s="787"/>
      <c r="AC204" s="829"/>
      <c r="AD204" s="852"/>
      <c r="AE204" s="851"/>
      <c r="AF204" s="787"/>
      <c r="AG204" s="355">
        <v>625</v>
      </c>
      <c r="AI204" s="246">
        <v>123</v>
      </c>
      <c r="AJ204" s="787"/>
      <c r="AL204" s="123"/>
    </row>
    <row r="205" spans="2:38" x14ac:dyDescent="0.4">
      <c r="B205" s="356">
        <v>630</v>
      </c>
      <c r="C205" s="851"/>
      <c r="D205" s="787"/>
      <c r="E205" s="829"/>
      <c r="F205" s="852"/>
      <c r="G205" s="851"/>
      <c r="H205" s="787"/>
      <c r="I205" s="829"/>
      <c r="J205" s="852"/>
      <c r="K205" s="851"/>
      <c r="L205" s="787"/>
      <c r="M205" s="829"/>
      <c r="N205" s="852"/>
      <c r="O205" s="851"/>
      <c r="P205" s="787"/>
      <c r="Q205" s="829"/>
      <c r="R205" s="852"/>
      <c r="S205" s="851"/>
      <c r="T205" s="787"/>
      <c r="U205" s="829"/>
      <c r="V205" s="852"/>
      <c r="W205" s="851"/>
      <c r="X205" s="787"/>
      <c r="Y205" s="829"/>
      <c r="Z205" s="852"/>
      <c r="AA205" s="851"/>
      <c r="AB205" s="787"/>
      <c r="AC205" s="829"/>
      <c r="AD205" s="852"/>
      <c r="AE205" s="851"/>
      <c r="AF205" s="787"/>
      <c r="AG205" s="355">
        <v>630</v>
      </c>
      <c r="AI205" s="246">
        <v>124</v>
      </c>
      <c r="AJ205" s="787"/>
      <c r="AL205" s="123"/>
    </row>
    <row r="206" spans="2:38" x14ac:dyDescent="0.4">
      <c r="B206" s="356">
        <v>635</v>
      </c>
      <c r="C206" s="851"/>
      <c r="D206" s="787"/>
      <c r="E206" s="829"/>
      <c r="F206" s="852"/>
      <c r="G206" s="851"/>
      <c r="H206" s="787"/>
      <c r="I206" s="829"/>
      <c r="J206" s="852"/>
      <c r="K206" s="851"/>
      <c r="L206" s="787"/>
      <c r="M206" s="829"/>
      <c r="N206" s="852"/>
      <c r="O206" s="851"/>
      <c r="P206" s="787"/>
      <c r="Q206" s="829"/>
      <c r="R206" s="852"/>
      <c r="S206" s="851"/>
      <c r="T206" s="787"/>
      <c r="U206" s="829"/>
      <c r="V206" s="852"/>
      <c r="W206" s="851"/>
      <c r="X206" s="787"/>
      <c r="Y206" s="829"/>
      <c r="Z206" s="852"/>
      <c r="AA206" s="851"/>
      <c r="AB206" s="787"/>
      <c r="AC206" s="829"/>
      <c r="AD206" s="852"/>
      <c r="AE206" s="851"/>
      <c r="AF206" s="787"/>
      <c r="AG206" s="355">
        <v>635</v>
      </c>
      <c r="AI206" s="246">
        <v>125</v>
      </c>
      <c r="AJ206" s="787"/>
      <c r="AL206" s="123"/>
    </row>
    <row r="207" spans="2:38" x14ac:dyDescent="0.4">
      <c r="B207" s="356">
        <v>640</v>
      </c>
      <c r="C207" s="851"/>
      <c r="D207" s="787"/>
      <c r="E207" s="829"/>
      <c r="F207" s="852"/>
      <c r="G207" s="851"/>
      <c r="H207" s="787"/>
      <c r="I207" s="829"/>
      <c r="J207" s="852"/>
      <c r="K207" s="851"/>
      <c r="L207" s="787"/>
      <c r="M207" s="829"/>
      <c r="N207" s="852"/>
      <c r="O207" s="851"/>
      <c r="P207" s="787"/>
      <c r="Q207" s="829"/>
      <c r="R207" s="852"/>
      <c r="S207" s="851"/>
      <c r="T207" s="787"/>
      <c r="U207" s="829"/>
      <c r="V207" s="852"/>
      <c r="W207" s="851"/>
      <c r="X207" s="787"/>
      <c r="Y207" s="829"/>
      <c r="Z207" s="852"/>
      <c r="AA207" s="851"/>
      <c r="AB207" s="787"/>
      <c r="AC207" s="829"/>
      <c r="AD207" s="852"/>
      <c r="AE207" s="851"/>
      <c r="AF207" s="787"/>
      <c r="AG207" s="355">
        <v>640</v>
      </c>
      <c r="AI207" s="246">
        <v>126</v>
      </c>
      <c r="AJ207" s="787"/>
      <c r="AL207" s="123"/>
    </row>
    <row r="208" spans="2:38" x14ac:dyDescent="0.4">
      <c r="B208" s="356">
        <v>645</v>
      </c>
      <c r="C208" s="851"/>
      <c r="D208" s="787"/>
      <c r="E208" s="829"/>
      <c r="F208" s="852"/>
      <c r="G208" s="851"/>
      <c r="H208" s="787"/>
      <c r="I208" s="829"/>
      <c r="J208" s="852"/>
      <c r="K208" s="851"/>
      <c r="L208" s="787"/>
      <c r="M208" s="829"/>
      <c r="N208" s="852"/>
      <c r="O208" s="851"/>
      <c r="P208" s="787"/>
      <c r="Q208" s="829"/>
      <c r="R208" s="852"/>
      <c r="S208" s="851"/>
      <c r="T208" s="787"/>
      <c r="U208" s="829"/>
      <c r="V208" s="852"/>
      <c r="W208" s="851"/>
      <c r="X208" s="787"/>
      <c r="Y208" s="829"/>
      <c r="Z208" s="852"/>
      <c r="AA208" s="851"/>
      <c r="AB208" s="787"/>
      <c r="AC208" s="829"/>
      <c r="AD208" s="852"/>
      <c r="AE208" s="851"/>
      <c r="AF208" s="787"/>
      <c r="AG208" s="355">
        <v>645</v>
      </c>
      <c r="AI208" s="246">
        <v>127</v>
      </c>
      <c r="AJ208" s="787"/>
      <c r="AL208" s="123"/>
    </row>
    <row r="209" spans="2:38" x14ac:dyDescent="0.4">
      <c r="B209" s="356">
        <v>650</v>
      </c>
      <c r="C209" s="851"/>
      <c r="D209" s="787"/>
      <c r="E209" s="829"/>
      <c r="F209" s="852"/>
      <c r="G209" s="851"/>
      <c r="H209" s="787"/>
      <c r="I209" s="829"/>
      <c r="J209" s="852"/>
      <c r="K209" s="851"/>
      <c r="L209" s="787"/>
      <c r="M209" s="829"/>
      <c r="N209" s="852"/>
      <c r="O209" s="851"/>
      <c r="P209" s="787"/>
      <c r="Q209" s="829"/>
      <c r="R209" s="852"/>
      <c r="S209" s="851"/>
      <c r="T209" s="787"/>
      <c r="U209" s="829"/>
      <c r="V209" s="852"/>
      <c r="W209" s="851"/>
      <c r="X209" s="787"/>
      <c r="Y209" s="829"/>
      <c r="Z209" s="852"/>
      <c r="AA209" s="851"/>
      <c r="AB209" s="787"/>
      <c r="AC209" s="829"/>
      <c r="AD209" s="852"/>
      <c r="AE209" s="851"/>
      <c r="AF209" s="787"/>
      <c r="AG209" s="355">
        <v>650</v>
      </c>
      <c r="AI209" s="246">
        <v>128</v>
      </c>
      <c r="AJ209" s="787"/>
      <c r="AL209" s="123"/>
    </row>
    <row r="210" spans="2:38" x14ac:dyDescent="0.4">
      <c r="B210" s="356">
        <v>655</v>
      </c>
      <c r="C210" s="851"/>
      <c r="D210" s="787"/>
      <c r="E210" s="829"/>
      <c r="F210" s="852"/>
      <c r="G210" s="851"/>
      <c r="H210" s="787"/>
      <c r="I210" s="829"/>
      <c r="J210" s="852"/>
      <c r="K210" s="851"/>
      <c r="L210" s="787"/>
      <c r="M210" s="829"/>
      <c r="N210" s="852"/>
      <c r="O210" s="851"/>
      <c r="P210" s="787"/>
      <c r="Q210" s="829"/>
      <c r="R210" s="852"/>
      <c r="S210" s="851"/>
      <c r="T210" s="787"/>
      <c r="U210" s="829"/>
      <c r="V210" s="852"/>
      <c r="W210" s="851"/>
      <c r="X210" s="787"/>
      <c r="Y210" s="829"/>
      <c r="Z210" s="852"/>
      <c r="AA210" s="851"/>
      <c r="AB210" s="787"/>
      <c r="AC210" s="829"/>
      <c r="AD210" s="852"/>
      <c r="AE210" s="851"/>
      <c r="AF210" s="787"/>
      <c r="AG210" s="355">
        <v>655</v>
      </c>
      <c r="AI210" s="246">
        <v>129</v>
      </c>
      <c r="AJ210" s="787"/>
      <c r="AL210" s="123"/>
    </row>
    <row r="211" spans="2:38" ht="16" thickBot="1" x14ac:dyDescent="0.45">
      <c r="B211" s="356">
        <v>660</v>
      </c>
      <c r="C211" s="851"/>
      <c r="D211" s="787"/>
      <c r="E211" s="829"/>
      <c r="F211" s="852"/>
      <c r="G211" s="851"/>
      <c r="H211" s="787"/>
      <c r="I211" s="829"/>
      <c r="J211" s="852"/>
      <c r="K211" s="851"/>
      <c r="L211" s="787"/>
      <c r="M211" s="829"/>
      <c r="N211" s="852"/>
      <c r="O211" s="851"/>
      <c r="P211" s="787"/>
      <c r="Q211" s="829"/>
      <c r="R211" s="852"/>
      <c r="S211" s="851"/>
      <c r="T211" s="787"/>
      <c r="U211" s="829"/>
      <c r="V211" s="852"/>
      <c r="W211" s="851"/>
      <c r="X211" s="787"/>
      <c r="Y211" s="829"/>
      <c r="Z211" s="852"/>
      <c r="AA211" s="851"/>
      <c r="AB211" s="787"/>
      <c r="AC211" s="829"/>
      <c r="AD211" s="852"/>
      <c r="AE211" s="851"/>
      <c r="AF211" s="787"/>
      <c r="AG211" s="355">
        <v>660</v>
      </c>
      <c r="AI211" s="249">
        <v>130</v>
      </c>
      <c r="AJ211" s="788"/>
      <c r="AL211" s="123"/>
    </row>
    <row r="212" spans="2:38" x14ac:dyDescent="0.4">
      <c r="B212" s="356">
        <v>665</v>
      </c>
      <c r="C212" s="851"/>
      <c r="D212" s="787"/>
      <c r="E212" s="829"/>
      <c r="F212" s="852"/>
      <c r="G212" s="851"/>
      <c r="H212" s="787"/>
      <c r="I212" s="829"/>
      <c r="J212" s="852"/>
      <c r="K212" s="851"/>
      <c r="L212" s="787"/>
      <c r="M212" s="829"/>
      <c r="N212" s="852"/>
      <c r="O212" s="851"/>
      <c r="P212" s="787"/>
      <c r="Q212" s="829"/>
      <c r="R212" s="852"/>
      <c r="S212" s="851"/>
      <c r="T212" s="787"/>
      <c r="U212" s="829"/>
      <c r="V212" s="852"/>
      <c r="W212" s="851"/>
      <c r="X212" s="787"/>
      <c r="Y212" s="829"/>
      <c r="Z212" s="852"/>
      <c r="AA212" s="851"/>
      <c r="AB212" s="787"/>
      <c r="AC212" s="829"/>
      <c r="AD212" s="852"/>
      <c r="AE212" s="851"/>
      <c r="AF212" s="787"/>
      <c r="AG212" s="355">
        <v>665</v>
      </c>
      <c r="AL212" s="123"/>
    </row>
    <row r="213" spans="2:38" x14ac:dyDescent="0.4">
      <c r="B213" s="356">
        <v>670</v>
      </c>
      <c r="C213" s="851"/>
      <c r="D213" s="787"/>
      <c r="E213" s="829"/>
      <c r="F213" s="852"/>
      <c r="G213" s="851"/>
      <c r="H213" s="787"/>
      <c r="I213" s="829"/>
      <c r="J213" s="852"/>
      <c r="K213" s="851"/>
      <c r="L213" s="787"/>
      <c r="M213" s="829"/>
      <c r="N213" s="852"/>
      <c r="O213" s="851"/>
      <c r="P213" s="787"/>
      <c r="Q213" s="829"/>
      <c r="R213" s="852"/>
      <c r="S213" s="851"/>
      <c r="T213" s="787"/>
      <c r="U213" s="829"/>
      <c r="V213" s="852"/>
      <c r="W213" s="851"/>
      <c r="X213" s="787"/>
      <c r="Y213" s="829"/>
      <c r="Z213" s="852"/>
      <c r="AA213" s="851"/>
      <c r="AB213" s="787"/>
      <c r="AC213" s="829"/>
      <c r="AD213" s="852"/>
      <c r="AE213" s="851"/>
      <c r="AF213" s="787"/>
      <c r="AG213" s="355">
        <v>670</v>
      </c>
      <c r="AL213" s="123"/>
    </row>
    <row r="214" spans="2:38" x14ac:dyDescent="0.4">
      <c r="B214" s="356">
        <v>675</v>
      </c>
      <c r="C214" s="851"/>
      <c r="D214" s="787"/>
      <c r="E214" s="829"/>
      <c r="F214" s="852"/>
      <c r="G214" s="851"/>
      <c r="H214" s="787"/>
      <c r="I214" s="829"/>
      <c r="J214" s="852"/>
      <c r="K214" s="851"/>
      <c r="L214" s="787"/>
      <c r="M214" s="829"/>
      <c r="N214" s="852"/>
      <c r="O214" s="851"/>
      <c r="P214" s="787"/>
      <c r="Q214" s="829"/>
      <c r="R214" s="852"/>
      <c r="S214" s="851"/>
      <c r="T214" s="787"/>
      <c r="U214" s="829"/>
      <c r="V214" s="852"/>
      <c r="W214" s="851"/>
      <c r="X214" s="787"/>
      <c r="Y214" s="829"/>
      <c r="Z214" s="852"/>
      <c r="AA214" s="851"/>
      <c r="AB214" s="787"/>
      <c r="AC214" s="829"/>
      <c r="AD214" s="852"/>
      <c r="AE214" s="851"/>
      <c r="AF214" s="787"/>
      <c r="AG214" s="355">
        <v>675</v>
      </c>
      <c r="AL214" s="123"/>
    </row>
    <row r="215" spans="2:38" x14ac:dyDescent="0.4">
      <c r="B215" s="356">
        <v>680</v>
      </c>
      <c r="C215" s="851"/>
      <c r="D215" s="787"/>
      <c r="E215" s="829"/>
      <c r="F215" s="852"/>
      <c r="G215" s="851"/>
      <c r="H215" s="787"/>
      <c r="I215" s="829"/>
      <c r="J215" s="852"/>
      <c r="K215" s="851"/>
      <c r="L215" s="787"/>
      <c r="M215" s="829"/>
      <c r="N215" s="852"/>
      <c r="O215" s="851"/>
      <c r="P215" s="787"/>
      <c r="Q215" s="829"/>
      <c r="R215" s="852"/>
      <c r="S215" s="851"/>
      <c r="T215" s="787"/>
      <c r="U215" s="829"/>
      <c r="V215" s="852"/>
      <c r="W215" s="851"/>
      <c r="X215" s="787"/>
      <c r="Y215" s="829"/>
      <c r="Z215" s="852"/>
      <c r="AA215" s="851"/>
      <c r="AB215" s="787"/>
      <c r="AC215" s="829"/>
      <c r="AD215" s="852"/>
      <c r="AE215" s="851"/>
      <c r="AF215" s="787"/>
      <c r="AG215" s="355">
        <v>680</v>
      </c>
      <c r="AL215" s="123"/>
    </row>
    <row r="216" spans="2:38" x14ac:dyDescent="0.4">
      <c r="B216" s="356">
        <v>685</v>
      </c>
      <c r="C216" s="851"/>
      <c r="D216" s="787"/>
      <c r="E216" s="829"/>
      <c r="F216" s="852"/>
      <c r="G216" s="851"/>
      <c r="H216" s="787"/>
      <c r="I216" s="829"/>
      <c r="J216" s="852"/>
      <c r="K216" s="851"/>
      <c r="L216" s="787"/>
      <c r="M216" s="829"/>
      <c r="N216" s="852"/>
      <c r="O216" s="851"/>
      <c r="P216" s="787"/>
      <c r="Q216" s="829"/>
      <c r="R216" s="852"/>
      <c r="S216" s="851"/>
      <c r="T216" s="787"/>
      <c r="U216" s="829"/>
      <c r="V216" s="852"/>
      <c r="W216" s="851"/>
      <c r="X216" s="787"/>
      <c r="Y216" s="829"/>
      <c r="Z216" s="852"/>
      <c r="AA216" s="851"/>
      <c r="AB216" s="787"/>
      <c r="AC216" s="829"/>
      <c r="AD216" s="852"/>
      <c r="AE216" s="851"/>
      <c r="AF216" s="787"/>
      <c r="AG216" s="355">
        <v>685</v>
      </c>
      <c r="AL216" s="123"/>
    </row>
    <row r="217" spans="2:38" x14ac:dyDescent="0.4">
      <c r="B217" s="356">
        <v>690</v>
      </c>
      <c r="C217" s="851"/>
      <c r="D217" s="787"/>
      <c r="E217" s="829"/>
      <c r="F217" s="852"/>
      <c r="G217" s="851"/>
      <c r="H217" s="787"/>
      <c r="I217" s="829"/>
      <c r="J217" s="852"/>
      <c r="K217" s="851"/>
      <c r="L217" s="787"/>
      <c r="M217" s="829"/>
      <c r="N217" s="852"/>
      <c r="O217" s="851"/>
      <c r="P217" s="787"/>
      <c r="Q217" s="829"/>
      <c r="R217" s="852"/>
      <c r="S217" s="851"/>
      <c r="T217" s="787"/>
      <c r="U217" s="829"/>
      <c r="V217" s="852"/>
      <c r="W217" s="851"/>
      <c r="X217" s="787"/>
      <c r="Y217" s="829"/>
      <c r="Z217" s="852"/>
      <c r="AA217" s="851"/>
      <c r="AB217" s="787"/>
      <c r="AC217" s="829"/>
      <c r="AD217" s="852"/>
      <c r="AE217" s="851"/>
      <c r="AF217" s="787"/>
      <c r="AG217" s="355">
        <v>690</v>
      </c>
      <c r="AL217" s="123"/>
    </row>
    <row r="218" spans="2:38" x14ac:dyDescent="0.4">
      <c r="B218" s="356">
        <v>695</v>
      </c>
      <c r="C218" s="851"/>
      <c r="D218" s="787"/>
      <c r="E218" s="829"/>
      <c r="F218" s="852"/>
      <c r="G218" s="851"/>
      <c r="H218" s="787"/>
      <c r="I218" s="829"/>
      <c r="J218" s="852"/>
      <c r="K218" s="851"/>
      <c r="L218" s="787"/>
      <c r="M218" s="829"/>
      <c r="N218" s="852"/>
      <c r="O218" s="851"/>
      <c r="P218" s="787"/>
      <c r="Q218" s="829"/>
      <c r="R218" s="852"/>
      <c r="S218" s="851"/>
      <c r="T218" s="787"/>
      <c r="U218" s="829"/>
      <c r="V218" s="852"/>
      <c r="W218" s="851"/>
      <c r="X218" s="787"/>
      <c r="Y218" s="829"/>
      <c r="Z218" s="852"/>
      <c r="AA218" s="851"/>
      <c r="AB218" s="787"/>
      <c r="AC218" s="829"/>
      <c r="AD218" s="852"/>
      <c r="AE218" s="851"/>
      <c r="AF218" s="787"/>
      <c r="AG218" s="355">
        <v>695</v>
      </c>
      <c r="AL218" s="123"/>
    </row>
    <row r="219" spans="2:38" x14ac:dyDescent="0.4">
      <c r="B219" s="356">
        <v>700</v>
      </c>
      <c r="C219" s="851"/>
      <c r="D219" s="787"/>
      <c r="E219" s="829"/>
      <c r="F219" s="852"/>
      <c r="G219" s="851"/>
      <c r="H219" s="787"/>
      <c r="I219" s="829"/>
      <c r="J219" s="852"/>
      <c r="K219" s="851"/>
      <c r="L219" s="787"/>
      <c r="M219" s="829"/>
      <c r="N219" s="852"/>
      <c r="O219" s="851"/>
      <c r="P219" s="787"/>
      <c r="Q219" s="829"/>
      <c r="R219" s="852"/>
      <c r="S219" s="851"/>
      <c r="T219" s="787"/>
      <c r="U219" s="829"/>
      <c r="V219" s="852"/>
      <c r="W219" s="851"/>
      <c r="X219" s="787"/>
      <c r="Y219" s="829"/>
      <c r="Z219" s="852"/>
      <c r="AA219" s="851"/>
      <c r="AB219" s="787"/>
      <c r="AC219" s="829"/>
      <c r="AD219" s="852"/>
      <c r="AE219" s="851"/>
      <c r="AF219" s="787"/>
      <c r="AG219" s="355">
        <v>700</v>
      </c>
      <c r="AL219" s="123"/>
    </row>
    <row r="220" spans="2:38" x14ac:dyDescent="0.4">
      <c r="B220" s="356">
        <v>705</v>
      </c>
      <c r="C220" s="851"/>
      <c r="D220" s="787"/>
      <c r="E220" s="829"/>
      <c r="F220" s="852"/>
      <c r="G220" s="851"/>
      <c r="H220" s="787"/>
      <c r="I220" s="829"/>
      <c r="J220" s="852"/>
      <c r="K220" s="851"/>
      <c r="L220" s="787"/>
      <c r="M220" s="829"/>
      <c r="N220" s="852"/>
      <c r="O220" s="851"/>
      <c r="P220" s="787"/>
      <c r="Q220" s="829"/>
      <c r="R220" s="852"/>
      <c r="S220" s="851"/>
      <c r="T220" s="787"/>
      <c r="U220" s="829"/>
      <c r="V220" s="852"/>
      <c r="W220" s="851"/>
      <c r="X220" s="787"/>
      <c r="Y220" s="829"/>
      <c r="Z220" s="852"/>
      <c r="AA220" s="851"/>
      <c r="AB220" s="787"/>
      <c r="AC220" s="829"/>
      <c r="AD220" s="852"/>
      <c r="AE220" s="851"/>
      <c r="AF220" s="787"/>
      <c r="AG220" s="355">
        <v>705</v>
      </c>
      <c r="AL220" s="123"/>
    </row>
    <row r="221" spans="2:38" x14ac:dyDescent="0.4">
      <c r="B221" s="356">
        <v>710</v>
      </c>
      <c r="C221" s="851"/>
      <c r="D221" s="787"/>
      <c r="E221" s="829"/>
      <c r="F221" s="852"/>
      <c r="G221" s="851"/>
      <c r="H221" s="787"/>
      <c r="I221" s="829"/>
      <c r="J221" s="852"/>
      <c r="K221" s="851"/>
      <c r="L221" s="787"/>
      <c r="M221" s="829"/>
      <c r="N221" s="852"/>
      <c r="O221" s="851"/>
      <c r="P221" s="787"/>
      <c r="Q221" s="829"/>
      <c r="R221" s="852"/>
      <c r="S221" s="851"/>
      <c r="T221" s="787"/>
      <c r="U221" s="829"/>
      <c r="V221" s="852"/>
      <c r="W221" s="851"/>
      <c r="X221" s="787"/>
      <c r="Y221" s="829"/>
      <c r="Z221" s="852"/>
      <c r="AA221" s="851"/>
      <c r="AB221" s="787"/>
      <c r="AC221" s="829"/>
      <c r="AD221" s="852"/>
      <c r="AE221" s="851"/>
      <c r="AF221" s="787"/>
      <c r="AG221" s="355">
        <v>710</v>
      </c>
      <c r="AL221" s="123"/>
    </row>
    <row r="222" spans="2:38" x14ac:dyDescent="0.4">
      <c r="B222" s="356">
        <v>715</v>
      </c>
      <c r="C222" s="851"/>
      <c r="D222" s="787"/>
      <c r="E222" s="829"/>
      <c r="F222" s="852"/>
      <c r="G222" s="851"/>
      <c r="H222" s="787"/>
      <c r="I222" s="829"/>
      <c r="J222" s="852"/>
      <c r="K222" s="851"/>
      <c r="L222" s="787"/>
      <c r="M222" s="829"/>
      <c r="N222" s="852"/>
      <c r="O222" s="851"/>
      <c r="P222" s="787"/>
      <c r="Q222" s="829"/>
      <c r="R222" s="852"/>
      <c r="S222" s="851"/>
      <c r="T222" s="787"/>
      <c r="U222" s="829"/>
      <c r="V222" s="852"/>
      <c r="W222" s="851"/>
      <c r="X222" s="787"/>
      <c r="Y222" s="829"/>
      <c r="Z222" s="852"/>
      <c r="AA222" s="851"/>
      <c r="AB222" s="787"/>
      <c r="AC222" s="829"/>
      <c r="AD222" s="852"/>
      <c r="AE222" s="851"/>
      <c r="AF222" s="787"/>
      <c r="AG222" s="355">
        <v>715</v>
      </c>
      <c r="AL222" s="123"/>
    </row>
    <row r="223" spans="2:38" x14ac:dyDescent="0.4">
      <c r="B223" s="356">
        <v>720</v>
      </c>
      <c r="C223" s="851"/>
      <c r="D223" s="787"/>
      <c r="E223" s="829"/>
      <c r="F223" s="852"/>
      <c r="G223" s="851"/>
      <c r="H223" s="787"/>
      <c r="I223" s="829"/>
      <c r="J223" s="852"/>
      <c r="K223" s="851"/>
      <c r="L223" s="787"/>
      <c r="M223" s="829"/>
      <c r="N223" s="852"/>
      <c r="O223" s="851"/>
      <c r="P223" s="787"/>
      <c r="Q223" s="829"/>
      <c r="R223" s="852"/>
      <c r="S223" s="851"/>
      <c r="T223" s="787"/>
      <c r="U223" s="829"/>
      <c r="V223" s="852"/>
      <c r="W223" s="851"/>
      <c r="X223" s="787"/>
      <c r="Y223" s="829"/>
      <c r="Z223" s="852"/>
      <c r="AA223" s="851"/>
      <c r="AB223" s="787"/>
      <c r="AC223" s="829"/>
      <c r="AD223" s="852"/>
      <c r="AE223" s="851"/>
      <c r="AF223" s="787"/>
      <c r="AG223" s="355">
        <v>720</v>
      </c>
      <c r="AL223" s="123"/>
    </row>
    <row r="224" spans="2:38" x14ac:dyDescent="0.4">
      <c r="B224" s="356">
        <v>725</v>
      </c>
      <c r="C224" s="851"/>
      <c r="D224" s="787"/>
      <c r="E224" s="829"/>
      <c r="F224" s="852"/>
      <c r="G224" s="851"/>
      <c r="H224" s="787"/>
      <c r="I224" s="829"/>
      <c r="J224" s="852"/>
      <c r="K224" s="851"/>
      <c r="L224" s="787"/>
      <c r="M224" s="829"/>
      <c r="N224" s="852"/>
      <c r="O224" s="851"/>
      <c r="P224" s="787"/>
      <c r="Q224" s="829"/>
      <c r="R224" s="852"/>
      <c r="S224" s="851"/>
      <c r="T224" s="787"/>
      <c r="U224" s="829"/>
      <c r="V224" s="852"/>
      <c r="W224" s="851"/>
      <c r="X224" s="787"/>
      <c r="Y224" s="829"/>
      <c r="Z224" s="852"/>
      <c r="AA224" s="851"/>
      <c r="AB224" s="787"/>
      <c r="AC224" s="829"/>
      <c r="AD224" s="852"/>
      <c r="AE224" s="851"/>
      <c r="AF224" s="787"/>
      <c r="AG224" s="355">
        <v>725</v>
      </c>
      <c r="AL224" s="123"/>
    </row>
    <row r="225" spans="2:38" x14ac:dyDescent="0.4">
      <c r="B225" s="356">
        <v>730</v>
      </c>
      <c r="C225" s="851"/>
      <c r="D225" s="787"/>
      <c r="E225" s="829"/>
      <c r="F225" s="852"/>
      <c r="G225" s="851"/>
      <c r="H225" s="787"/>
      <c r="I225" s="829"/>
      <c r="J225" s="852"/>
      <c r="K225" s="851"/>
      <c r="L225" s="787"/>
      <c r="M225" s="829"/>
      <c r="N225" s="852"/>
      <c r="O225" s="851"/>
      <c r="P225" s="787"/>
      <c r="Q225" s="829"/>
      <c r="R225" s="852"/>
      <c r="S225" s="851"/>
      <c r="T225" s="787"/>
      <c r="U225" s="829"/>
      <c r="V225" s="852"/>
      <c r="W225" s="851"/>
      <c r="X225" s="787"/>
      <c r="Y225" s="829"/>
      <c r="Z225" s="852"/>
      <c r="AA225" s="851"/>
      <c r="AB225" s="787"/>
      <c r="AC225" s="829"/>
      <c r="AD225" s="852"/>
      <c r="AE225" s="851"/>
      <c r="AF225" s="787"/>
      <c r="AG225" s="355">
        <v>730</v>
      </c>
      <c r="AL225" s="123"/>
    </row>
    <row r="226" spans="2:38" x14ac:dyDescent="0.4">
      <c r="B226" s="356">
        <v>735</v>
      </c>
      <c r="C226" s="851"/>
      <c r="D226" s="787"/>
      <c r="E226" s="829"/>
      <c r="F226" s="852"/>
      <c r="G226" s="851"/>
      <c r="H226" s="787"/>
      <c r="I226" s="829"/>
      <c r="J226" s="852"/>
      <c r="K226" s="851"/>
      <c r="L226" s="787"/>
      <c r="M226" s="829"/>
      <c r="N226" s="852"/>
      <c r="O226" s="851"/>
      <c r="P226" s="787"/>
      <c r="Q226" s="829"/>
      <c r="R226" s="852"/>
      <c r="S226" s="851"/>
      <c r="T226" s="787"/>
      <c r="U226" s="829"/>
      <c r="V226" s="852"/>
      <c r="W226" s="851"/>
      <c r="X226" s="787"/>
      <c r="Y226" s="829"/>
      <c r="Z226" s="852"/>
      <c r="AA226" s="851"/>
      <c r="AB226" s="787"/>
      <c r="AC226" s="829"/>
      <c r="AD226" s="852"/>
      <c r="AE226" s="851"/>
      <c r="AF226" s="787"/>
      <c r="AG226" s="355">
        <v>735</v>
      </c>
      <c r="AL226" s="123"/>
    </row>
    <row r="227" spans="2:38" x14ac:dyDescent="0.4">
      <c r="B227" s="356">
        <v>740</v>
      </c>
      <c r="C227" s="851"/>
      <c r="D227" s="787"/>
      <c r="E227" s="829"/>
      <c r="F227" s="852"/>
      <c r="G227" s="851"/>
      <c r="H227" s="787"/>
      <c r="I227" s="829"/>
      <c r="J227" s="852"/>
      <c r="K227" s="851"/>
      <c r="L227" s="787"/>
      <c r="M227" s="829"/>
      <c r="N227" s="852"/>
      <c r="O227" s="851"/>
      <c r="P227" s="787"/>
      <c r="Q227" s="829"/>
      <c r="R227" s="852"/>
      <c r="S227" s="851"/>
      <c r="T227" s="787"/>
      <c r="U227" s="829"/>
      <c r="V227" s="852"/>
      <c r="W227" s="851"/>
      <c r="X227" s="787"/>
      <c r="Y227" s="829"/>
      <c r="Z227" s="852"/>
      <c r="AA227" s="851"/>
      <c r="AB227" s="787"/>
      <c r="AC227" s="829"/>
      <c r="AD227" s="852"/>
      <c r="AE227" s="851"/>
      <c r="AF227" s="787"/>
      <c r="AG227" s="355">
        <v>740</v>
      </c>
      <c r="AL227" s="123"/>
    </row>
    <row r="228" spans="2:38" x14ac:dyDescent="0.4">
      <c r="B228" s="356">
        <v>745</v>
      </c>
      <c r="C228" s="851"/>
      <c r="D228" s="787"/>
      <c r="E228" s="829"/>
      <c r="F228" s="852"/>
      <c r="G228" s="851"/>
      <c r="H228" s="787"/>
      <c r="I228" s="829"/>
      <c r="J228" s="852"/>
      <c r="K228" s="851"/>
      <c r="L228" s="787"/>
      <c r="M228" s="829"/>
      <c r="N228" s="852"/>
      <c r="O228" s="851"/>
      <c r="P228" s="787"/>
      <c r="Q228" s="829"/>
      <c r="R228" s="852"/>
      <c r="S228" s="851"/>
      <c r="T228" s="787"/>
      <c r="U228" s="829"/>
      <c r="V228" s="852"/>
      <c r="W228" s="851"/>
      <c r="X228" s="787"/>
      <c r="Y228" s="829"/>
      <c r="Z228" s="852"/>
      <c r="AA228" s="851"/>
      <c r="AB228" s="787"/>
      <c r="AC228" s="829"/>
      <c r="AD228" s="852"/>
      <c r="AE228" s="851"/>
      <c r="AF228" s="787"/>
      <c r="AG228" s="355">
        <v>745</v>
      </c>
      <c r="AL228" s="123"/>
    </row>
    <row r="229" spans="2:38" x14ac:dyDescent="0.4">
      <c r="B229" s="356">
        <v>750</v>
      </c>
      <c r="C229" s="851"/>
      <c r="D229" s="787"/>
      <c r="E229" s="829"/>
      <c r="F229" s="852"/>
      <c r="G229" s="851"/>
      <c r="H229" s="787"/>
      <c r="I229" s="829"/>
      <c r="J229" s="852"/>
      <c r="K229" s="851"/>
      <c r="L229" s="787"/>
      <c r="M229" s="829"/>
      <c r="N229" s="852"/>
      <c r="O229" s="851"/>
      <c r="P229" s="787"/>
      <c r="Q229" s="829"/>
      <c r="R229" s="852"/>
      <c r="S229" s="851"/>
      <c r="T229" s="787"/>
      <c r="U229" s="829"/>
      <c r="V229" s="852"/>
      <c r="W229" s="851"/>
      <c r="X229" s="787"/>
      <c r="Y229" s="829"/>
      <c r="Z229" s="852"/>
      <c r="AA229" s="851"/>
      <c r="AB229" s="787"/>
      <c r="AC229" s="829"/>
      <c r="AD229" s="852"/>
      <c r="AE229" s="851"/>
      <c r="AF229" s="787"/>
      <c r="AG229" s="355">
        <v>750</v>
      </c>
      <c r="AL229" s="123"/>
    </row>
    <row r="230" spans="2:38" x14ac:dyDescent="0.4">
      <c r="B230" s="356">
        <v>755</v>
      </c>
      <c r="C230" s="851"/>
      <c r="D230" s="787"/>
      <c r="E230" s="829"/>
      <c r="F230" s="852"/>
      <c r="G230" s="851"/>
      <c r="H230" s="787"/>
      <c r="I230" s="829"/>
      <c r="J230" s="852"/>
      <c r="K230" s="851"/>
      <c r="L230" s="787"/>
      <c r="M230" s="829"/>
      <c r="N230" s="852"/>
      <c r="O230" s="851"/>
      <c r="P230" s="787"/>
      <c r="Q230" s="829"/>
      <c r="R230" s="852"/>
      <c r="S230" s="851"/>
      <c r="T230" s="787"/>
      <c r="U230" s="829"/>
      <c r="V230" s="852"/>
      <c r="W230" s="851"/>
      <c r="X230" s="787"/>
      <c r="Y230" s="829"/>
      <c r="Z230" s="852"/>
      <c r="AA230" s="851"/>
      <c r="AB230" s="787"/>
      <c r="AC230" s="829"/>
      <c r="AD230" s="852"/>
      <c r="AE230" s="851"/>
      <c r="AF230" s="787"/>
      <c r="AG230" s="355">
        <v>755</v>
      </c>
      <c r="AL230" s="123"/>
    </row>
    <row r="231" spans="2:38" x14ac:dyDescent="0.4">
      <c r="B231" s="356">
        <v>760</v>
      </c>
      <c r="C231" s="851"/>
      <c r="D231" s="787"/>
      <c r="E231" s="829"/>
      <c r="F231" s="852"/>
      <c r="G231" s="851"/>
      <c r="H231" s="787"/>
      <c r="I231" s="829"/>
      <c r="J231" s="852"/>
      <c r="K231" s="851"/>
      <c r="L231" s="787"/>
      <c r="M231" s="829"/>
      <c r="N231" s="852"/>
      <c r="O231" s="851"/>
      <c r="P231" s="787"/>
      <c r="Q231" s="829"/>
      <c r="R231" s="852"/>
      <c r="S231" s="851"/>
      <c r="T231" s="787"/>
      <c r="U231" s="829"/>
      <c r="V231" s="852"/>
      <c r="W231" s="851"/>
      <c r="X231" s="787"/>
      <c r="Y231" s="829"/>
      <c r="Z231" s="852"/>
      <c r="AA231" s="851"/>
      <c r="AB231" s="787"/>
      <c r="AC231" s="829"/>
      <c r="AD231" s="852"/>
      <c r="AE231" s="851"/>
      <c r="AF231" s="787"/>
      <c r="AG231" s="355">
        <v>760</v>
      </c>
      <c r="AL231" s="123"/>
    </row>
    <row r="232" spans="2:38" x14ac:dyDescent="0.4">
      <c r="B232" s="356">
        <v>765</v>
      </c>
      <c r="C232" s="851"/>
      <c r="D232" s="787"/>
      <c r="E232" s="829"/>
      <c r="F232" s="852"/>
      <c r="G232" s="851"/>
      <c r="H232" s="787"/>
      <c r="I232" s="829"/>
      <c r="J232" s="852"/>
      <c r="K232" s="851"/>
      <c r="L232" s="787"/>
      <c r="M232" s="829"/>
      <c r="N232" s="852"/>
      <c r="O232" s="851"/>
      <c r="P232" s="787"/>
      <c r="Q232" s="829"/>
      <c r="R232" s="852"/>
      <c r="S232" s="851"/>
      <c r="T232" s="787"/>
      <c r="U232" s="829"/>
      <c r="V232" s="852"/>
      <c r="W232" s="851"/>
      <c r="X232" s="787"/>
      <c r="Y232" s="829"/>
      <c r="Z232" s="852"/>
      <c r="AA232" s="851"/>
      <c r="AB232" s="787"/>
      <c r="AC232" s="829"/>
      <c r="AD232" s="852"/>
      <c r="AE232" s="851"/>
      <c r="AF232" s="787"/>
      <c r="AG232" s="355">
        <v>765</v>
      </c>
      <c r="AL232" s="123"/>
    </row>
    <row r="233" spans="2:38" x14ac:dyDescent="0.4">
      <c r="B233" s="356">
        <v>770</v>
      </c>
      <c r="C233" s="851"/>
      <c r="D233" s="787"/>
      <c r="E233" s="829"/>
      <c r="F233" s="852"/>
      <c r="G233" s="851"/>
      <c r="H233" s="787"/>
      <c r="I233" s="829"/>
      <c r="J233" s="852"/>
      <c r="K233" s="851"/>
      <c r="L233" s="787"/>
      <c r="M233" s="829"/>
      <c r="N233" s="852"/>
      <c r="O233" s="851"/>
      <c r="P233" s="787"/>
      <c r="Q233" s="829"/>
      <c r="R233" s="852"/>
      <c r="S233" s="851"/>
      <c r="T233" s="787"/>
      <c r="U233" s="829"/>
      <c r="V233" s="852"/>
      <c r="W233" s="851"/>
      <c r="X233" s="787"/>
      <c r="Y233" s="829"/>
      <c r="Z233" s="852"/>
      <c r="AA233" s="851"/>
      <c r="AB233" s="787"/>
      <c r="AC233" s="829"/>
      <c r="AD233" s="852"/>
      <c r="AE233" s="851"/>
      <c r="AF233" s="787"/>
      <c r="AG233" s="355">
        <v>770</v>
      </c>
      <c r="AL233" s="123"/>
    </row>
    <row r="234" spans="2:38" x14ac:dyDescent="0.4">
      <c r="B234" s="356">
        <v>775</v>
      </c>
      <c r="C234" s="851"/>
      <c r="D234" s="787"/>
      <c r="E234" s="829"/>
      <c r="F234" s="852"/>
      <c r="G234" s="851"/>
      <c r="H234" s="787"/>
      <c r="I234" s="829"/>
      <c r="J234" s="852"/>
      <c r="K234" s="851"/>
      <c r="L234" s="787"/>
      <c r="M234" s="829"/>
      <c r="N234" s="852"/>
      <c r="O234" s="851"/>
      <c r="P234" s="787"/>
      <c r="Q234" s="829"/>
      <c r="R234" s="852"/>
      <c r="S234" s="851"/>
      <c r="T234" s="787"/>
      <c r="U234" s="829"/>
      <c r="V234" s="852"/>
      <c r="W234" s="851"/>
      <c r="X234" s="787"/>
      <c r="Y234" s="829"/>
      <c r="Z234" s="852"/>
      <c r="AA234" s="851"/>
      <c r="AB234" s="787"/>
      <c r="AC234" s="829"/>
      <c r="AD234" s="852"/>
      <c r="AE234" s="851"/>
      <c r="AF234" s="787"/>
      <c r="AG234" s="355">
        <v>775</v>
      </c>
      <c r="AL234" s="123"/>
    </row>
    <row r="235" spans="2:38" x14ac:dyDescent="0.4">
      <c r="B235" s="356">
        <v>780</v>
      </c>
      <c r="C235" s="851"/>
      <c r="D235" s="787"/>
      <c r="E235" s="829"/>
      <c r="F235" s="852"/>
      <c r="G235" s="851"/>
      <c r="H235" s="787"/>
      <c r="I235" s="829"/>
      <c r="J235" s="852"/>
      <c r="K235" s="851"/>
      <c r="L235" s="787"/>
      <c r="M235" s="829"/>
      <c r="N235" s="852"/>
      <c r="O235" s="851"/>
      <c r="P235" s="787"/>
      <c r="Q235" s="829"/>
      <c r="R235" s="852"/>
      <c r="S235" s="851"/>
      <c r="T235" s="787"/>
      <c r="U235" s="829"/>
      <c r="V235" s="852"/>
      <c r="W235" s="851"/>
      <c r="X235" s="787"/>
      <c r="Y235" s="829"/>
      <c r="Z235" s="852"/>
      <c r="AA235" s="851"/>
      <c r="AB235" s="787"/>
      <c r="AC235" s="829"/>
      <c r="AD235" s="852"/>
      <c r="AE235" s="851"/>
      <c r="AF235" s="787"/>
      <c r="AG235" s="355">
        <v>780</v>
      </c>
      <c r="AL235" s="123"/>
    </row>
    <row r="236" spans="2:38" x14ac:dyDescent="0.4">
      <c r="B236" s="356">
        <v>785</v>
      </c>
      <c r="C236" s="851"/>
      <c r="D236" s="787"/>
      <c r="E236" s="829"/>
      <c r="F236" s="852"/>
      <c r="G236" s="851"/>
      <c r="H236" s="787"/>
      <c r="I236" s="829"/>
      <c r="J236" s="852"/>
      <c r="K236" s="851"/>
      <c r="L236" s="787"/>
      <c r="M236" s="829"/>
      <c r="N236" s="852"/>
      <c r="O236" s="851"/>
      <c r="P236" s="787"/>
      <c r="Q236" s="829"/>
      <c r="R236" s="852"/>
      <c r="S236" s="851"/>
      <c r="T236" s="787"/>
      <c r="U236" s="829"/>
      <c r="V236" s="852"/>
      <c r="W236" s="851"/>
      <c r="X236" s="787"/>
      <c r="Y236" s="829"/>
      <c r="Z236" s="852"/>
      <c r="AA236" s="851"/>
      <c r="AB236" s="787"/>
      <c r="AC236" s="829"/>
      <c r="AD236" s="852"/>
      <c r="AE236" s="851"/>
      <c r="AF236" s="787"/>
      <c r="AG236" s="355">
        <v>785</v>
      </c>
      <c r="AL236" s="123"/>
    </row>
    <row r="237" spans="2:38" x14ac:dyDescent="0.4">
      <c r="B237" s="356">
        <v>790</v>
      </c>
      <c r="C237" s="851"/>
      <c r="D237" s="787"/>
      <c r="E237" s="829"/>
      <c r="F237" s="852"/>
      <c r="G237" s="851"/>
      <c r="H237" s="787"/>
      <c r="I237" s="829"/>
      <c r="J237" s="852"/>
      <c r="K237" s="851"/>
      <c r="L237" s="787"/>
      <c r="M237" s="829"/>
      <c r="N237" s="852"/>
      <c r="O237" s="851"/>
      <c r="P237" s="787"/>
      <c r="Q237" s="829"/>
      <c r="R237" s="852"/>
      <c r="S237" s="851"/>
      <c r="T237" s="787"/>
      <c r="U237" s="829"/>
      <c r="V237" s="852"/>
      <c r="W237" s="851"/>
      <c r="X237" s="787"/>
      <c r="Y237" s="829"/>
      <c r="Z237" s="852"/>
      <c r="AA237" s="851"/>
      <c r="AB237" s="787"/>
      <c r="AC237" s="829"/>
      <c r="AD237" s="852"/>
      <c r="AE237" s="851"/>
      <c r="AF237" s="787"/>
      <c r="AG237" s="355">
        <v>790</v>
      </c>
      <c r="AL237" s="123"/>
    </row>
    <row r="238" spans="2:38" x14ac:dyDescent="0.4">
      <c r="B238" s="356">
        <v>795</v>
      </c>
      <c r="C238" s="851"/>
      <c r="D238" s="787"/>
      <c r="E238" s="829"/>
      <c r="F238" s="852"/>
      <c r="G238" s="851"/>
      <c r="H238" s="787"/>
      <c r="I238" s="829"/>
      <c r="J238" s="852"/>
      <c r="K238" s="851"/>
      <c r="L238" s="787"/>
      <c r="M238" s="829"/>
      <c r="N238" s="852"/>
      <c r="O238" s="851"/>
      <c r="P238" s="787"/>
      <c r="Q238" s="829"/>
      <c r="R238" s="852"/>
      <c r="S238" s="851"/>
      <c r="T238" s="787"/>
      <c r="U238" s="829"/>
      <c r="V238" s="852"/>
      <c r="W238" s="851"/>
      <c r="X238" s="787"/>
      <c r="Y238" s="829"/>
      <c r="Z238" s="852"/>
      <c r="AA238" s="851"/>
      <c r="AB238" s="787"/>
      <c r="AC238" s="829"/>
      <c r="AD238" s="852"/>
      <c r="AE238" s="851"/>
      <c r="AF238" s="787"/>
      <c r="AG238" s="355">
        <v>795</v>
      </c>
      <c r="AL238" s="123"/>
    </row>
    <row r="239" spans="2:38" x14ac:dyDescent="0.4">
      <c r="B239" s="356">
        <v>800</v>
      </c>
      <c r="C239" s="851"/>
      <c r="D239" s="787"/>
      <c r="E239" s="829"/>
      <c r="F239" s="852"/>
      <c r="G239" s="851"/>
      <c r="H239" s="787"/>
      <c r="I239" s="829"/>
      <c r="J239" s="852"/>
      <c r="K239" s="851"/>
      <c r="L239" s="787"/>
      <c r="M239" s="829"/>
      <c r="N239" s="852"/>
      <c r="O239" s="851"/>
      <c r="P239" s="787"/>
      <c r="Q239" s="829"/>
      <c r="R239" s="852"/>
      <c r="S239" s="851"/>
      <c r="T239" s="787"/>
      <c r="U239" s="829"/>
      <c r="V239" s="852"/>
      <c r="W239" s="851"/>
      <c r="X239" s="787"/>
      <c r="Y239" s="829"/>
      <c r="Z239" s="852"/>
      <c r="AA239" s="851"/>
      <c r="AB239" s="787"/>
      <c r="AC239" s="829"/>
      <c r="AD239" s="852"/>
      <c r="AE239" s="851"/>
      <c r="AF239" s="787"/>
      <c r="AG239" s="355">
        <v>800</v>
      </c>
      <c r="AL239" s="123"/>
    </row>
    <row r="240" spans="2:38" x14ac:dyDescent="0.4">
      <c r="B240" s="356">
        <v>805</v>
      </c>
      <c r="C240" s="851"/>
      <c r="D240" s="787"/>
      <c r="E240" s="829"/>
      <c r="F240" s="852"/>
      <c r="G240" s="851"/>
      <c r="H240" s="787"/>
      <c r="I240" s="829"/>
      <c r="J240" s="852"/>
      <c r="K240" s="851"/>
      <c r="L240" s="787"/>
      <c r="M240" s="829"/>
      <c r="N240" s="852"/>
      <c r="O240" s="851"/>
      <c r="P240" s="787"/>
      <c r="Q240" s="829"/>
      <c r="R240" s="852"/>
      <c r="S240" s="851"/>
      <c r="T240" s="787"/>
      <c r="U240" s="829"/>
      <c r="V240" s="852"/>
      <c r="W240" s="851"/>
      <c r="X240" s="787"/>
      <c r="Y240" s="829"/>
      <c r="Z240" s="852"/>
      <c r="AA240" s="851"/>
      <c r="AB240" s="787"/>
      <c r="AC240" s="829"/>
      <c r="AD240" s="852"/>
      <c r="AE240" s="851"/>
      <c r="AF240" s="787"/>
      <c r="AG240" s="355">
        <v>805</v>
      </c>
      <c r="AL240" s="123"/>
    </row>
    <row r="241" spans="2:38" x14ac:dyDescent="0.4">
      <c r="B241" s="356">
        <v>810</v>
      </c>
      <c r="C241" s="851"/>
      <c r="D241" s="787"/>
      <c r="E241" s="829"/>
      <c r="F241" s="852"/>
      <c r="G241" s="851"/>
      <c r="H241" s="787"/>
      <c r="I241" s="829"/>
      <c r="J241" s="852"/>
      <c r="K241" s="851"/>
      <c r="L241" s="787"/>
      <c r="M241" s="829"/>
      <c r="N241" s="852"/>
      <c r="O241" s="851"/>
      <c r="P241" s="787"/>
      <c r="Q241" s="829"/>
      <c r="R241" s="852"/>
      <c r="S241" s="851"/>
      <c r="T241" s="787"/>
      <c r="U241" s="829"/>
      <c r="V241" s="852"/>
      <c r="W241" s="851"/>
      <c r="X241" s="787"/>
      <c r="Y241" s="829"/>
      <c r="Z241" s="852"/>
      <c r="AA241" s="851"/>
      <c r="AB241" s="787"/>
      <c r="AC241" s="829"/>
      <c r="AD241" s="852"/>
      <c r="AE241" s="851"/>
      <c r="AF241" s="787"/>
      <c r="AG241" s="355">
        <v>810</v>
      </c>
      <c r="AL241" s="123"/>
    </row>
    <row r="242" spans="2:38" x14ac:dyDescent="0.4">
      <c r="B242" s="356">
        <v>815</v>
      </c>
      <c r="C242" s="851"/>
      <c r="D242" s="787"/>
      <c r="E242" s="829"/>
      <c r="F242" s="852"/>
      <c r="G242" s="851"/>
      <c r="H242" s="787"/>
      <c r="I242" s="829"/>
      <c r="J242" s="852"/>
      <c r="K242" s="851"/>
      <c r="L242" s="787"/>
      <c r="M242" s="829"/>
      <c r="N242" s="852"/>
      <c r="O242" s="851"/>
      <c r="P242" s="787"/>
      <c r="Q242" s="829"/>
      <c r="R242" s="852"/>
      <c r="S242" s="851"/>
      <c r="T242" s="787"/>
      <c r="U242" s="829"/>
      <c r="V242" s="852"/>
      <c r="W242" s="851"/>
      <c r="X242" s="787"/>
      <c r="Y242" s="829"/>
      <c r="Z242" s="852"/>
      <c r="AA242" s="851"/>
      <c r="AB242" s="787"/>
      <c r="AC242" s="829"/>
      <c r="AD242" s="852"/>
      <c r="AE242" s="851"/>
      <c r="AF242" s="787"/>
      <c r="AG242" s="355">
        <v>815</v>
      </c>
      <c r="AL242" s="123"/>
    </row>
    <row r="243" spans="2:38" x14ac:dyDescent="0.4">
      <c r="B243" s="356">
        <v>820</v>
      </c>
      <c r="C243" s="851"/>
      <c r="D243" s="787"/>
      <c r="E243" s="829"/>
      <c r="F243" s="852"/>
      <c r="G243" s="851"/>
      <c r="H243" s="787"/>
      <c r="I243" s="829"/>
      <c r="J243" s="852"/>
      <c r="K243" s="851"/>
      <c r="L243" s="787"/>
      <c r="M243" s="829"/>
      <c r="N243" s="852"/>
      <c r="O243" s="851"/>
      <c r="P243" s="787"/>
      <c r="Q243" s="829"/>
      <c r="R243" s="852"/>
      <c r="S243" s="851"/>
      <c r="T243" s="787"/>
      <c r="U243" s="829"/>
      <c r="V243" s="852"/>
      <c r="W243" s="851"/>
      <c r="X243" s="787"/>
      <c r="Y243" s="829"/>
      <c r="Z243" s="852"/>
      <c r="AA243" s="851"/>
      <c r="AB243" s="787"/>
      <c r="AC243" s="829"/>
      <c r="AD243" s="852"/>
      <c r="AE243" s="851"/>
      <c r="AF243" s="787"/>
      <c r="AG243" s="355">
        <v>820</v>
      </c>
      <c r="AL243" s="123"/>
    </row>
    <row r="244" spans="2:38" x14ac:dyDescent="0.4">
      <c r="B244" s="356">
        <v>825</v>
      </c>
      <c r="C244" s="851"/>
      <c r="D244" s="787"/>
      <c r="E244" s="829"/>
      <c r="F244" s="852"/>
      <c r="G244" s="851"/>
      <c r="H244" s="787"/>
      <c r="I244" s="829"/>
      <c r="J244" s="852"/>
      <c r="K244" s="851"/>
      <c r="L244" s="787"/>
      <c r="M244" s="829"/>
      <c r="N244" s="852"/>
      <c r="O244" s="851"/>
      <c r="P244" s="787"/>
      <c r="Q244" s="829"/>
      <c r="R244" s="852"/>
      <c r="S244" s="851"/>
      <c r="T244" s="787"/>
      <c r="U244" s="829"/>
      <c r="V244" s="852"/>
      <c r="W244" s="851"/>
      <c r="X244" s="787"/>
      <c r="Y244" s="829"/>
      <c r="Z244" s="852"/>
      <c r="AA244" s="851"/>
      <c r="AB244" s="787"/>
      <c r="AC244" s="829"/>
      <c r="AD244" s="852"/>
      <c r="AE244" s="851"/>
      <c r="AF244" s="787"/>
      <c r="AG244" s="355">
        <v>825</v>
      </c>
      <c r="AL244" s="123"/>
    </row>
    <row r="245" spans="2:38" x14ac:dyDescent="0.4">
      <c r="B245" s="356">
        <v>830</v>
      </c>
      <c r="C245" s="851"/>
      <c r="D245" s="787"/>
      <c r="E245" s="829"/>
      <c r="F245" s="852"/>
      <c r="G245" s="851"/>
      <c r="H245" s="787"/>
      <c r="I245" s="829"/>
      <c r="J245" s="852"/>
      <c r="K245" s="851"/>
      <c r="L245" s="787"/>
      <c r="M245" s="829"/>
      <c r="N245" s="852"/>
      <c r="O245" s="851"/>
      <c r="P245" s="787"/>
      <c r="Q245" s="829"/>
      <c r="R245" s="852"/>
      <c r="S245" s="851"/>
      <c r="T245" s="787"/>
      <c r="U245" s="829"/>
      <c r="V245" s="852"/>
      <c r="W245" s="851"/>
      <c r="X245" s="787"/>
      <c r="Y245" s="829"/>
      <c r="Z245" s="852"/>
      <c r="AA245" s="851"/>
      <c r="AB245" s="787"/>
      <c r="AC245" s="829"/>
      <c r="AD245" s="852"/>
      <c r="AE245" s="851"/>
      <c r="AF245" s="787"/>
      <c r="AG245" s="355">
        <v>830</v>
      </c>
      <c r="AL245" s="123"/>
    </row>
    <row r="246" spans="2:38" x14ac:dyDescent="0.4">
      <c r="B246" s="356">
        <v>835</v>
      </c>
      <c r="C246" s="851"/>
      <c r="D246" s="787"/>
      <c r="E246" s="829"/>
      <c r="F246" s="852"/>
      <c r="G246" s="851"/>
      <c r="H246" s="787"/>
      <c r="I246" s="829"/>
      <c r="J246" s="852"/>
      <c r="K246" s="851"/>
      <c r="L246" s="787"/>
      <c r="M246" s="829"/>
      <c r="N246" s="852"/>
      <c r="O246" s="851"/>
      <c r="P246" s="787"/>
      <c r="Q246" s="829"/>
      <c r="R246" s="852"/>
      <c r="S246" s="851"/>
      <c r="T246" s="787"/>
      <c r="U246" s="829"/>
      <c r="V246" s="852"/>
      <c r="W246" s="851"/>
      <c r="X246" s="787"/>
      <c r="Y246" s="829"/>
      <c r="Z246" s="852"/>
      <c r="AA246" s="851"/>
      <c r="AB246" s="787"/>
      <c r="AC246" s="829"/>
      <c r="AD246" s="852"/>
      <c r="AE246" s="851"/>
      <c r="AF246" s="787"/>
      <c r="AG246" s="355">
        <v>835</v>
      </c>
      <c r="AL246" s="123"/>
    </row>
    <row r="247" spans="2:38" x14ac:dyDescent="0.4">
      <c r="B247" s="356">
        <v>840</v>
      </c>
      <c r="C247" s="851"/>
      <c r="D247" s="787"/>
      <c r="E247" s="829"/>
      <c r="F247" s="852"/>
      <c r="G247" s="851"/>
      <c r="H247" s="787"/>
      <c r="I247" s="829"/>
      <c r="J247" s="852"/>
      <c r="K247" s="851"/>
      <c r="L247" s="787"/>
      <c r="M247" s="829"/>
      <c r="N247" s="852"/>
      <c r="O247" s="851"/>
      <c r="P247" s="787"/>
      <c r="Q247" s="829"/>
      <c r="R247" s="852"/>
      <c r="S247" s="851"/>
      <c r="T247" s="787"/>
      <c r="U247" s="829"/>
      <c r="V247" s="852"/>
      <c r="W247" s="851"/>
      <c r="X247" s="787"/>
      <c r="Y247" s="829"/>
      <c r="Z247" s="852"/>
      <c r="AA247" s="851"/>
      <c r="AB247" s="787"/>
      <c r="AC247" s="829"/>
      <c r="AD247" s="852"/>
      <c r="AE247" s="851"/>
      <c r="AF247" s="787"/>
      <c r="AG247" s="355">
        <v>840</v>
      </c>
      <c r="AL247" s="123"/>
    </row>
    <row r="248" spans="2:38" x14ac:dyDescent="0.4">
      <c r="B248" s="356">
        <v>845</v>
      </c>
      <c r="C248" s="851"/>
      <c r="D248" s="787"/>
      <c r="E248" s="829"/>
      <c r="F248" s="852"/>
      <c r="G248" s="851"/>
      <c r="H248" s="787"/>
      <c r="I248" s="829"/>
      <c r="J248" s="852"/>
      <c r="K248" s="851"/>
      <c r="L248" s="787"/>
      <c r="M248" s="829"/>
      <c r="N248" s="852"/>
      <c r="O248" s="851"/>
      <c r="P248" s="787"/>
      <c r="Q248" s="829"/>
      <c r="R248" s="852"/>
      <c r="S248" s="851"/>
      <c r="T248" s="787"/>
      <c r="U248" s="829"/>
      <c r="V248" s="852"/>
      <c r="W248" s="851"/>
      <c r="X248" s="787"/>
      <c r="Y248" s="829"/>
      <c r="Z248" s="852"/>
      <c r="AA248" s="851"/>
      <c r="AB248" s="787"/>
      <c r="AC248" s="829"/>
      <c r="AD248" s="852"/>
      <c r="AE248" s="851"/>
      <c r="AF248" s="787"/>
      <c r="AG248" s="355">
        <v>845</v>
      </c>
      <c r="AL248" s="123"/>
    </row>
    <row r="249" spans="2:38" x14ac:dyDescent="0.4">
      <c r="B249" s="356">
        <v>850</v>
      </c>
      <c r="C249" s="851"/>
      <c r="D249" s="787"/>
      <c r="E249" s="829"/>
      <c r="F249" s="852"/>
      <c r="G249" s="851"/>
      <c r="H249" s="787"/>
      <c r="I249" s="829"/>
      <c r="J249" s="852"/>
      <c r="K249" s="851"/>
      <c r="L249" s="787"/>
      <c r="M249" s="829"/>
      <c r="N249" s="852"/>
      <c r="O249" s="851"/>
      <c r="P249" s="787"/>
      <c r="Q249" s="829"/>
      <c r="R249" s="852"/>
      <c r="S249" s="851"/>
      <c r="T249" s="787"/>
      <c r="U249" s="829"/>
      <c r="V249" s="852"/>
      <c r="W249" s="851"/>
      <c r="X249" s="787"/>
      <c r="Y249" s="829"/>
      <c r="Z249" s="852"/>
      <c r="AA249" s="851"/>
      <c r="AB249" s="787"/>
      <c r="AC249" s="829"/>
      <c r="AD249" s="852"/>
      <c r="AE249" s="851"/>
      <c r="AF249" s="787"/>
      <c r="AG249" s="355">
        <v>850</v>
      </c>
      <c r="AL249" s="123"/>
    </row>
    <row r="250" spans="2:38" x14ac:dyDescent="0.4">
      <c r="B250" s="356">
        <v>855</v>
      </c>
      <c r="C250" s="851"/>
      <c r="D250" s="787"/>
      <c r="E250" s="829"/>
      <c r="F250" s="852"/>
      <c r="G250" s="851"/>
      <c r="H250" s="787"/>
      <c r="I250" s="829"/>
      <c r="J250" s="852"/>
      <c r="K250" s="851"/>
      <c r="L250" s="787"/>
      <c r="M250" s="829"/>
      <c r="N250" s="852"/>
      <c r="O250" s="851"/>
      <c r="P250" s="787"/>
      <c r="Q250" s="829"/>
      <c r="R250" s="852"/>
      <c r="S250" s="851"/>
      <c r="T250" s="787"/>
      <c r="U250" s="829"/>
      <c r="V250" s="852"/>
      <c r="W250" s="851"/>
      <c r="X250" s="787"/>
      <c r="Y250" s="829"/>
      <c r="Z250" s="852"/>
      <c r="AA250" s="851"/>
      <c r="AB250" s="787"/>
      <c r="AC250" s="829"/>
      <c r="AD250" s="852"/>
      <c r="AE250" s="851"/>
      <c r="AF250" s="787"/>
      <c r="AG250" s="355">
        <v>855</v>
      </c>
      <c r="AL250" s="123"/>
    </row>
    <row r="251" spans="2:38" x14ac:dyDescent="0.4">
      <c r="B251" s="356">
        <v>860</v>
      </c>
      <c r="C251" s="851"/>
      <c r="D251" s="787"/>
      <c r="E251" s="829"/>
      <c r="F251" s="852"/>
      <c r="G251" s="851"/>
      <c r="H251" s="787"/>
      <c r="I251" s="829"/>
      <c r="J251" s="852"/>
      <c r="K251" s="851"/>
      <c r="L251" s="787"/>
      <c r="M251" s="829"/>
      <c r="N251" s="852"/>
      <c r="O251" s="851"/>
      <c r="P251" s="787"/>
      <c r="Q251" s="829"/>
      <c r="R251" s="852"/>
      <c r="S251" s="851"/>
      <c r="T251" s="787"/>
      <c r="U251" s="829"/>
      <c r="V251" s="852"/>
      <c r="W251" s="851"/>
      <c r="X251" s="787"/>
      <c r="Y251" s="829"/>
      <c r="Z251" s="852"/>
      <c r="AA251" s="851"/>
      <c r="AB251" s="787"/>
      <c r="AC251" s="829"/>
      <c r="AD251" s="852"/>
      <c r="AE251" s="851"/>
      <c r="AF251" s="787"/>
      <c r="AG251" s="355">
        <v>860</v>
      </c>
      <c r="AL251" s="123"/>
    </row>
    <row r="252" spans="2:38" x14ac:dyDescent="0.4">
      <c r="B252" s="356">
        <v>865</v>
      </c>
      <c r="C252" s="851"/>
      <c r="D252" s="787"/>
      <c r="E252" s="829"/>
      <c r="F252" s="852"/>
      <c r="G252" s="851"/>
      <c r="H252" s="787"/>
      <c r="I252" s="829"/>
      <c r="J252" s="852"/>
      <c r="K252" s="851"/>
      <c r="L252" s="787"/>
      <c r="M252" s="829"/>
      <c r="N252" s="852"/>
      <c r="O252" s="851"/>
      <c r="P252" s="787"/>
      <c r="Q252" s="829"/>
      <c r="R252" s="852"/>
      <c r="S252" s="851"/>
      <c r="T252" s="787"/>
      <c r="U252" s="829"/>
      <c r="V252" s="852"/>
      <c r="W252" s="851"/>
      <c r="X252" s="787"/>
      <c r="Y252" s="829"/>
      <c r="Z252" s="852"/>
      <c r="AA252" s="851"/>
      <c r="AB252" s="787"/>
      <c r="AC252" s="829"/>
      <c r="AD252" s="852"/>
      <c r="AE252" s="851"/>
      <c r="AF252" s="787"/>
      <c r="AG252" s="355">
        <v>865</v>
      </c>
      <c r="AL252" s="123"/>
    </row>
    <row r="253" spans="2:38" x14ac:dyDescent="0.4">
      <c r="B253" s="356">
        <v>870</v>
      </c>
      <c r="C253" s="851"/>
      <c r="D253" s="787"/>
      <c r="E253" s="829"/>
      <c r="F253" s="852"/>
      <c r="G253" s="851"/>
      <c r="H253" s="787"/>
      <c r="I253" s="829"/>
      <c r="J253" s="852"/>
      <c r="K253" s="851"/>
      <c r="L253" s="787"/>
      <c r="M253" s="829"/>
      <c r="N253" s="852"/>
      <c r="O253" s="851"/>
      <c r="P253" s="787"/>
      <c r="Q253" s="829"/>
      <c r="R253" s="852"/>
      <c r="S253" s="851"/>
      <c r="T253" s="787"/>
      <c r="U253" s="829"/>
      <c r="V253" s="852"/>
      <c r="W253" s="851"/>
      <c r="X253" s="787"/>
      <c r="Y253" s="829"/>
      <c r="Z253" s="852"/>
      <c r="AA253" s="851"/>
      <c r="AB253" s="787"/>
      <c r="AC253" s="829"/>
      <c r="AD253" s="852"/>
      <c r="AE253" s="851"/>
      <c r="AF253" s="787"/>
      <c r="AG253" s="355">
        <v>870</v>
      </c>
      <c r="AL253" s="123"/>
    </row>
    <row r="254" spans="2:38" x14ac:dyDescent="0.4">
      <c r="B254" s="356">
        <v>875</v>
      </c>
      <c r="C254" s="851"/>
      <c r="D254" s="787"/>
      <c r="E254" s="829"/>
      <c r="F254" s="852"/>
      <c r="G254" s="851"/>
      <c r="H254" s="787"/>
      <c r="I254" s="829"/>
      <c r="J254" s="852"/>
      <c r="K254" s="851"/>
      <c r="L254" s="787"/>
      <c r="M254" s="829"/>
      <c r="N254" s="852"/>
      <c r="O254" s="851"/>
      <c r="P254" s="787"/>
      <c r="Q254" s="829"/>
      <c r="R254" s="852"/>
      <c r="S254" s="851"/>
      <c r="T254" s="787"/>
      <c r="U254" s="829"/>
      <c r="V254" s="852"/>
      <c r="W254" s="851"/>
      <c r="X254" s="787"/>
      <c r="Y254" s="829"/>
      <c r="Z254" s="852"/>
      <c r="AA254" s="851"/>
      <c r="AB254" s="787"/>
      <c r="AC254" s="829"/>
      <c r="AD254" s="852"/>
      <c r="AE254" s="851"/>
      <c r="AF254" s="787"/>
      <c r="AG254" s="355">
        <v>875</v>
      </c>
      <c r="AL254" s="123"/>
    </row>
    <row r="255" spans="2:38" x14ac:dyDescent="0.4">
      <c r="B255" s="356">
        <v>880</v>
      </c>
      <c r="C255" s="851"/>
      <c r="D255" s="787"/>
      <c r="E255" s="829"/>
      <c r="F255" s="852"/>
      <c r="G255" s="851"/>
      <c r="H255" s="787"/>
      <c r="I255" s="829"/>
      <c r="J255" s="852"/>
      <c r="K255" s="851"/>
      <c r="L255" s="787"/>
      <c r="M255" s="829"/>
      <c r="N255" s="852"/>
      <c r="O255" s="851"/>
      <c r="P255" s="787"/>
      <c r="Q255" s="829"/>
      <c r="R255" s="852"/>
      <c r="S255" s="851"/>
      <c r="T255" s="787"/>
      <c r="U255" s="829"/>
      <c r="V255" s="852"/>
      <c r="W255" s="851"/>
      <c r="X255" s="787"/>
      <c r="Y255" s="829"/>
      <c r="Z255" s="852"/>
      <c r="AA255" s="851"/>
      <c r="AB255" s="787"/>
      <c r="AC255" s="829"/>
      <c r="AD255" s="852"/>
      <c r="AE255" s="851"/>
      <c r="AF255" s="787"/>
      <c r="AG255" s="355">
        <v>880</v>
      </c>
      <c r="AL255" s="123"/>
    </row>
    <row r="256" spans="2:38" x14ac:dyDescent="0.4">
      <c r="B256" s="356">
        <v>885</v>
      </c>
      <c r="C256" s="851"/>
      <c r="D256" s="787"/>
      <c r="E256" s="829"/>
      <c r="F256" s="852"/>
      <c r="G256" s="851"/>
      <c r="H256" s="787"/>
      <c r="I256" s="829"/>
      <c r="J256" s="852"/>
      <c r="K256" s="851"/>
      <c r="L256" s="787"/>
      <c r="M256" s="829"/>
      <c r="N256" s="852"/>
      <c r="O256" s="851"/>
      <c r="P256" s="787"/>
      <c r="Q256" s="829"/>
      <c r="R256" s="852"/>
      <c r="S256" s="851"/>
      <c r="T256" s="787"/>
      <c r="U256" s="829"/>
      <c r="V256" s="852"/>
      <c r="W256" s="851"/>
      <c r="X256" s="787"/>
      <c r="Y256" s="829"/>
      <c r="Z256" s="852"/>
      <c r="AA256" s="851"/>
      <c r="AB256" s="787"/>
      <c r="AC256" s="829"/>
      <c r="AD256" s="852"/>
      <c r="AE256" s="851"/>
      <c r="AF256" s="787"/>
      <c r="AG256" s="355">
        <v>885</v>
      </c>
      <c r="AL256" s="123"/>
    </row>
    <row r="257" spans="2:38" x14ac:dyDescent="0.4">
      <c r="B257" s="356">
        <v>890</v>
      </c>
      <c r="C257" s="851"/>
      <c r="D257" s="787"/>
      <c r="E257" s="829"/>
      <c r="F257" s="852"/>
      <c r="G257" s="851"/>
      <c r="H257" s="787"/>
      <c r="I257" s="829"/>
      <c r="J257" s="852"/>
      <c r="K257" s="851"/>
      <c r="L257" s="787"/>
      <c r="M257" s="829"/>
      <c r="N257" s="852"/>
      <c r="O257" s="851"/>
      <c r="P257" s="787"/>
      <c r="Q257" s="829"/>
      <c r="R257" s="852"/>
      <c r="S257" s="851"/>
      <c r="T257" s="787"/>
      <c r="U257" s="829"/>
      <c r="V257" s="852"/>
      <c r="W257" s="851"/>
      <c r="X257" s="787"/>
      <c r="Y257" s="829"/>
      <c r="Z257" s="852"/>
      <c r="AA257" s="851"/>
      <c r="AB257" s="787"/>
      <c r="AC257" s="829"/>
      <c r="AD257" s="852"/>
      <c r="AE257" s="851"/>
      <c r="AF257" s="787"/>
      <c r="AG257" s="355">
        <v>890</v>
      </c>
      <c r="AL257" s="123"/>
    </row>
    <row r="258" spans="2:38" x14ac:dyDescent="0.4">
      <c r="B258" s="356">
        <v>895</v>
      </c>
      <c r="C258" s="851"/>
      <c r="D258" s="787"/>
      <c r="E258" s="829"/>
      <c r="F258" s="852"/>
      <c r="G258" s="851"/>
      <c r="H258" s="787"/>
      <c r="I258" s="829"/>
      <c r="J258" s="852"/>
      <c r="K258" s="851"/>
      <c r="L258" s="787"/>
      <c r="M258" s="829"/>
      <c r="N258" s="852"/>
      <c r="O258" s="851"/>
      <c r="P258" s="787"/>
      <c r="Q258" s="829"/>
      <c r="R258" s="852"/>
      <c r="S258" s="851"/>
      <c r="T258" s="787"/>
      <c r="U258" s="829"/>
      <c r="V258" s="852"/>
      <c r="W258" s="851"/>
      <c r="X258" s="787"/>
      <c r="Y258" s="829"/>
      <c r="Z258" s="852"/>
      <c r="AA258" s="851"/>
      <c r="AB258" s="787"/>
      <c r="AC258" s="829"/>
      <c r="AD258" s="852"/>
      <c r="AE258" s="851"/>
      <c r="AF258" s="787"/>
      <c r="AG258" s="355">
        <v>895</v>
      </c>
      <c r="AL258" s="123"/>
    </row>
    <row r="259" spans="2:38" x14ac:dyDescent="0.4">
      <c r="B259" s="356">
        <v>900</v>
      </c>
      <c r="C259" s="851"/>
      <c r="D259" s="787"/>
      <c r="E259" s="829"/>
      <c r="F259" s="852"/>
      <c r="G259" s="851"/>
      <c r="H259" s="787"/>
      <c r="I259" s="829"/>
      <c r="J259" s="852"/>
      <c r="K259" s="851"/>
      <c r="L259" s="787"/>
      <c r="M259" s="829"/>
      <c r="N259" s="852"/>
      <c r="O259" s="851"/>
      <c r="P259" s="787"/>
      <c r="Q259" s="829"/>
      <c r="R259" s="852"/>
      <c r="S259" s="851"/>
      <c r="T259" s="787"/>
      <c r="U259" s="829"/>
      <c r="V259" s="852"/>
      <c r="W259" s="851"/>
      <c r="X259" s="787"/>
      <c r="Y259" s="829"/>
      <c r="Z259" s="852"/>
      <c r="AA259" s="851"/>
      <c r="AB259" s="787"/>
      <c r="AC259" s="829"/>
      <c r="AD259" s="852"/>
      <c r="AE259" s="851"/>
      <c r="AF259" s="787"/>
      <c r="AG259" s="355">
        <v>900</v>
      </c>
      <c r="AL259" s="123"/>
    </row>
    <row r="260" spans="2:38" x14ac:dyDescent="0.4">
      <c r="B260" s="356">
        <v>905</v>
      </c>
      <c r="C260" s="851"/>
      <c r="D260" s="787"/>
      <c r="E260" s="829"/>
      <c r="F260" s="852"/>
      <c r="G260" s="851"/>
      <c r="H260" s="787"/>
      <c r="I260" s="829"/>
      <c r="J260" s="852"/>
      <c r="K260" s="851"/>
      <c r="L260" s="787"/>
      <c r="M260" s="829"/>
      <c r="N260" s="852"/>
      <c r="O260" s="851"/>
      <c r="P260" s="787"/>
      <c r="Q260" s="829"/>
      <c r="R260" s="852"/>
      <c r="S260" s="851"/>
      <c r="T260" s="787"/>
      <c r="U260" s="829"/>
      <c r="V260" s="852"/>
      <c r="W260" s="851"/>
      <c r="X260" s="787"/>
      <c r="Y260" s="829"/>
      <c r="Z260" s="852"/>
      <c r="AA260" s="851"/>
      <c r="AB260" s="787"/>
      <c r="AC260" s="829"/>
      <c r="AD260" s="852"/>
      <c r="AE260" s="851"/>
      <c r="AF260" s="787"/>
      <c r="AG260" s="355">
        <v>905</v>
      </c>
      <c r="AL260" s="123"/>
    </row>
    <row r="261" spans="2:38" x14ac:dyDescent="0.4">
      <c r="B261" s="356">
        <v>910</v>
      </c>
      <c r="C261" s="851"/>
      <c r="D261" s="787"/>
      <c r="E261" s="829"/>
      <c r="F261" s="852"/>
      <c r="G261" s="851"/>
      <c r="H261" s="787"/>
      <c r="I261" s="829"/>
      <c r="J261" s="852"/>
      <c r="K261" s="851"/>
      <c r="L261" s="787"/>
      <c r="M261" s="829"/>
      <c r="N261" s="852"/>
      <c r="O261" s="851"/>
      <c r="P261" s="787"/>
      <c r="Q261" s="829"/>
      <c r="R261" s="852"/>
      <c r="S261" s="851"/>
      <c r="T261" s="787"/>
      <c r="U261" s="829"/>
      <c r="V261" s="852"/>
      <c r="W261" s="851"/>
      <c r="X261" s="787"/>
      <c r="Y261" s="829"/>
      <c r="Z261" s="852"/>
      <c r="AA261" s="851"/>
      <c r="AB261" s="787"/>
      <c r="AC261" s="829"/>
      <c r="AD261" s="852"/>
      <c r="AE261" s="851"/>
      <c r="AF261" s="787"/>
      <c r="AG261" s="355">
        <v>910</v>
      </c>
      <c r="AL261" s="123"/>
    </row>
    <row r="262" spans="2:38" x14ac:dyDescent="0.4">
      <c r="B262" s="356">
        <v>915</v>
      </c>
      <c r="C262" s="851"/>
      <c r="D262" s="787"/>
      <c r="E262" s="829"/>
      <c r="F262" s="852"/>
      <c r="G262" s="851"/>
      <c r="H262" s="787"/>
      <c r="I262" s="829"/>
      <c r="J262" s="852"/>
      <c r="K262" s="851"/>
      <c r="L262" s="787"/>
      <c r="M262" s="829"/>
      <c r="N262" s="852"/>
      <c r="O262" s="851"/>
      <c r="P262" s="787"/>
      <c r="Q262" s="829"/>
      <c r="R262" s="852"/>
      <c r="S262" s="851"/>
      <c r="T262" s="787"/>
      <c r="U262" s="829"/>
      <c r="V262" s="852"/>
      <c r="W262" s="851"/>
      <c r="X262" s="787"/>
      <c r="Y262" s="829"/>
      <c r="Z262" s="852"/>
      <c r="AA262" s="851"/>
      <c r="AB262" s="787"/>
      <c r="AC262" s="829"/>
      <c r="AD262" s="852"/>
      <c r="AE262" s="851"/>
      <c r="AF262" s="787"/>
      <c r="AG262" s="355">
        <v>915</v>
      </c>
      <c r="AL262" s="123"/>
    </row>
    <row r="263" spans="2:38" x14ac:dyDescent="0.4">
      <c r="B263" s="356">
        <v>920</v>
      </c>
      <c r="C263" s="851"/>
      <c r="D263" s="787"/>
      <c r="E263" s="829"/>
      <c r="F263" s="852"/>
      <c r="G263" s="851"/>
      <c r="H263" s="787"/>
      <c r="I263" s="829"/>
      <c r="J263" s="852"/>
      <c r="K263" s="851"/>
      <c r="L263" s="787"/>
      <c r="M263" s="829"/>
      <c r="N263" s="852"/>
      <c r="O263" s="851"/>
      <c r="P263" s="787"/>
      <c r="Q263" s="829"/>
      <c r="R263" s="852"/>
      <c r="S263" s="851"/>
      <c r="T263" s="787"/>
      <c r="U263" s="829"/>
      <c r="V263" s="852"/>
      <c r="W263" s="851"/>
      <c r="X263" s="787"/>
      <c r="Y263" s="829"/>
      <c r="Z263" s="852"/>
      <c r="AA263" s="851"/>
      <c r="AB263" s="787"/>
      <c r="AC263" s="829"/>
      <c r="AD263" s="852"/>
      <c r="AE263" s="851"/>
      <c r="AF263" s="787"/>
      <c r="AG263" s="355">
        <v>920</v>
      </c>
      <c r="AL263" s="123"/>
    </row>
    <row r="264" spans="2:38" x14ac:dyDescent="0.4">
      <c r="B264" s="356">
        <v>925</v>
      </c>
      <c r="C264" s="851"/>
      <c r="D264" s="787"/>
      <c r="E264" s="829"/>
      <c r="F264" s="852"/>
      <c r="G264" s="851"/>
      <c r="H264" s="787"/>
      <c r="I264" s="829"/>
      <c r="J264" s="852"/>
      <c r="K264" s="851"/>
      <c r="L264" s="787"/>
      <c r="M264" s="829"/>
      <c r="N264" s="852"/>
      <c r="O264" s="851"/>
      <c r="P264" s="787"/>
      <c r="Q264" s="829"/>
      <c r="R264" s="852"/>
      <c r="S264" s="851"/>
      <c r="T264" s="787"/>
      <c r="U264" s="829"/>
      <c r="V264" s="852"/>
      <c r="W264" s="851"/>
      <c r="X264" s="787"/>
      <c r="Y264" s="829"/>
      <c r="Z264" s="852"/>
      <c r="AA264" s="851"/>
      <c r="AB264" s="787"/>
      <c r="AC264" s="829"/>
      <c r="AD264" s="852"/>
      <c r="AE264" s="851"/>
      <c r="AF264" s="787"/>
      <c r="AG264" s="355">
        <v>925</v>
      </c>
      <c r="AL264" s="123"/>
    </row>
    <row r="265" spans="2:38" x14ac:dyDescent="0.4">
      <c r="B265" s="356">
        <v>930</v>
      </c>
      <c r="C265" s="851"/>
      <c r="D265" s="787"/>
      <c r="E265" s="829"/>
      <c r="F265" s="852"/>
      <c r="G265" s="851"/>
      <c r="H265" s="787"/>
      <c r="I265" s="829"/>
      <c r="J265" s="852"/>
      <c r="K265" s="851"/>
      <c r="L265" s="787"/>
      <c r="M265" s="829"/>
      <c r="N265" s="852"/>
      <c r="O265" s="851"/>
      <c r="P265" s="787"/>
      <c r="Q265" s="829"/>
      <c r="R265" s="852"/>
      <c r="S265" s="851"/>
      <c r="T265" s="787"/>
      <c r="U265" s="829"/>
      <c r="V265" s="852"/>
      <c r="W265" s="851"/>
      <c r="X265" s="787"/>
      <c r="Y265" s="829"/>
      <c r="Z265" s="852"/>
      <c r="AA265" s="851"/>
      <c r="AB265" s="787"/>
      <c r="AC265" s="829"/>
      <c r="AD265" s="852"/>
      <c r="AE265" s="851"/>
      <c r="AF265" s="787"/>
      <c r="AG265" s="355">
        <v>930</v>
      </c>
      <c r="AL265" s="123"/>
    </row>
    <row r="266" spans="2:38" x14ac:dyDescent="0.4">
      <c r="B266" s="356">
        <v>935</v>
      </c>
      <c r="C266" s="851"/>
      <c r="D266" s="787"/>
      <c r="E266" s="829"/>
      <c r="F266" s="852"/>
      <c r="G266" s="851"/>
      <c r="H266" s="787"/>
      <c r="I266" s="829"/>
      <c r="J266" s="852"/>
      <c r="K266" s="851"/>
      <c r="L266" s="787"/>
      <c r="M266" s="829"/>
      <c r="N266" s="852"/>
      <c r="O266" s="851"/>
      <c r="P266" s="787"/>
      <c r="Q266" s="829"/>
      <c r="R266" s="852"/>
      <c r="S266" s="851"/>
      <c r="T266" s="787"/>
      <c r="U266" s="829"/>
      <c r="V266" s="852"/>
      <c r="W266" s="851"/>
      <c r="X266" s="787"/>
      <c r="Y266" s="829"/>
      <c r="Z266" s="852"/>
      <c r="AA266" s="851"/>
      <c r="AB266" s="787"/>
      <c r="AC266" s="829"/>
      <c r="AD266" s="852"/>
      <c r="AE266" s="851"/>
      <c r="AF266" s="787"/>
      <c r="AG266" s="355">
        <v>935</v>
      </c>
      <c r="AL266" s="123"/>
    </row>
    <row r="267" spans="2:38" x14ac:dyDescent="0.4">
      <c r="B267" s="356">
        <v>940</v>
      </c>
      <c r="C267" s="851"/>
      <c r="D267" s="787"/>
      <c r="E267" s="829"/>
      <c r="F267" s="852"/>
      <c r="G267" s="851"/>
      <c r="H267" s="787"/>
      <c r="I267" s="829"/>
      <c r="J267" s="852"/>
      <c r="K267" s="851"/>
      <c r="L267" s="787"/>
      <c r="M267" s="829"/>
      <c r="N267" s="852"/>
      <c r="O267" s="851"/>
      <c r="P267" s="787"/>
      <c r="Q267" s="829"/>
      <c r="R267" s="852"/>
      <c r="S267" s="851"/>
      <c r="T267" s="787"/>
      <c r="U267" s="829"/>
      <c r="V267" s="852"/>
      <c r="W267" s="851"/>
      <c r="X267" s="787"/>
      <c r="Y267" s="829"/>
      <c r="Z267" s="852"/>
      <c r="AA267" s="851"/>
      <c r="AB267" s="787"/>
      <c r="AC267" s="829"/>
      <c r="AD267" s="852"/>
      <c r="AE267" s="851"/>
      <c r="AF267" s="787"/>
      <c r="AG267" s="355">
        <v>940</v>
      </c>
      <c r="AL267" s="123"/>
    </row>
    <row r="268" spans="2:38" x14ac:dyDescent="0.4">
      <c r="B268" s="356">
        <v>945</v>
      </c>
      <c r="C268" s="851"/>
      <c r="D268" s="787"/>
      <c r="E268" s="829"/>
      <c r="F268" s="852"/>
      <c r="G268" s="851"/>
      <c r="H268" s="787"/>
      <c r="I268" s="829"/>
      <c r="J268" s="852"/>
      <c r="K268" s="851"/>
      <c r="L268" s="787"/>
      <c r="M268" s="829"/>
      <c r="N268" s="852"/>
      <c r="O268" s="851"/>
      <c r="P268" s="787"/>
      <c r="Q268" s="829"/>
      <c r="R268" s="852"/>
      <c r="S268" s="851"/>
      <c r="T268" s="787"/>
      <c r="U268" s="829"/>
      <c r="V268" s="852"/>
      <c r="W268" s="851"/>
      <c r="X268" s="787"/>
      <c r="Y268" s="829"/>
      <c r="Z268" s="852"/>
      <c r="AA268" s="851"/>
      <c r="AB268" s="787"/>
      <c r="AC268" s="829"/>
      <c r="AD268" s="852"/>
      <c r="AE268" s="851"/>
      <c r="AF268" s="787"/>
      <c r="AG268" s="355">
        <v>945</v>
      </c>
      <c r="AL268" s="123"/>
    </row>
    <row r="269" spans="2:38" x14ac:dyDescent="0.4">
      <c r="B269" s="356">
        <v>950</v>
      </c>
      <c r="C269" s="851"/>
      <c r="D269" s="787"/>
      <c r="E269" s="829"/>
      <c r="F269" s="852"/>
      <c r="G269" s="851"/>
      <c r="H269" s="787"/>
      <c r="I269" s="829"/>
      <c r="J269" s="852"/>
      <c r="K269" s="851"/>
      <c r="L269" s="787"/>
      <c r="M269" s="829"/>
      <c r="N269" s="852"/>
      <c r="O269" s="851"/>
      <c r="P269" s="787"/>
      <c r="Q269" s="829"/>
      <c r="R269" s="852"/>
      <c r="S269" s="851"/>
      <c r="T269" s="787"/>
      <c r="U269" s="829"/>
      <c r="V269" s="852"/>
      <c r="W269" s="851"/>
      <c r="X269" s="787"/>
      <c r="Y269" s="829"/>
      <c r="Z269" s="852"/>
      <c r="AA269" s="851"/>
      <c r="AB269" s="787"/>
      <c r="AC269" s="829"/>
      <c r="AD269" s="852"/>
      <c r="AE269" s="851"/>
      <c r="AF269" s="787"/>
      <c r="AG269" s="355">
        <v>950</v>
      </c>
      <c r="AL269" s="123"/>
    </row>
    <row r="270" spans="2:38" x14ac:dyDescent="0.4">
      <c r="B270" s="356">
        <v>955</v>
      </c>
      <c r="C270" s="851"/>
      <c r="D270" s="787"/>
      <c r="E270" s="829"/>
      <c r="F270" s="852"/>
      <c r="G270" s="851"/>
      <c r="H270" s="787"/>
      <c r="I270" s="829"/>
      <c r="J270" s="852"/>
      <c r="K270" s="851"/>
      <c r="L270" s="787"/>
      <c r="M270" s="829"/>
      <c r="N270" s="852"/>
      <c r="O270" s="851"/>
      <c r="P270" s="787"/>
      <c r="Q270" s="829"/>
      <c r="R270" s="852"/>
      <c r="S270" s="851"/>
      <c r="T270" s="787"/>
      <c r="U270" s="829"/>
      <c r="V270" s="852"/>
      <c r="W270" s="851"/>
      <c r="X270" s="787"/>
      <c r="Y270" s="829"/>
      <c r="Z270" s="852"/>
      <c r="AA270" s="851"/>
      <c r="AB270" s="787"/>
      <c r="AC270" s="829"/>
      <c r="AD270" s="852"/>
      <c r="AE270" s="851"/>
      <c r="AF270" s="787"/>
      <c r="AG270" s="355">
        <v>955</v>
      </c>
      <c r="AL270" s="123"/>
    </row>
    <row r="271" spans="2:38" x14ac:dyDescent="0.4">
      <c r="B271" s="356">
        <v>960</v>
      </c>
      <c r="C271" s="851"/>
      <c r="D271" s="787"/>
      <c r="E271" s="829"/>
      <c r="F271" s="852"/>
      <c r="G271" s="851"/>
      <c r="H271" s="787"/>
      <c r="I271" s="829"/>
      <c r="J271" s="852"/>
      <c r="K271" s="851"/>
      <c r="L271" s="787"/>
      <c r="M271" s="829"/>
      <c r="N271" s="852"/>
      <c r="O271" s="851"/>
      <c r="P271" s="787"/>
      <c r="Q271" s="829"/>
      <c r="R271" s="852"/>
      <c r="S271" s="851"/>
      <c r="T271" s="787"/>
      <c r="U271" s="829"/>
      <c r="V271" s="852"/>
      <c r="W271" s="851"/>
      <c r="X271" s="787"/>
      <c r="Y271" s="829"/>
      <c r="Z271" s="852"/>
      <c r="AA271" s="851"/>
      <c r="AB271" s="787"/>
      <c r="AC271" s="829"/>
      <c r="AD271" s="852"/>
      <c r="AE271" s="851"/>
      <c r="AF271" s="787"/>
      <c r="AG271" s="355">
        <v>960</v>
      </c>
      <c r="AL271" s="123"/>
    </row>
    <row r="272" spans="2:38" x14ac:dyDescent="0.4">
      <c r="B272" s="356">
        <v>965</v>
      </c>
      <c r="C272" s="851"/>
      <c r="D272" s="787"/>
      <c r="E272" s="829"/>
      <c r="F272" s="852"/>
      <c r="G272" s="851"/>
      <c r="H272" s="787"/>
      <c r="I272" s="829"/>
      <c r="J272" s="852"/>
      <c r="K272" s="851"/>
      <c r="L272" s="787"/>
      <c r="M272" s="829"/>
      <c r="N272" s="852"/>
      <c r="O272" s="851"/>
      <c r="P272" s="787"/>
      <c r="Q272" s="829"/>
      <c r="R272" s="852"/>
      <c r="S272" s="851"/>
      <c r="T272" s="787"/>
      <c r="U272" s="829"/>
      <c r="V272" s="852"/>
      <c r="W272" s="851"/>
      <c r="X272" s="787"/>
      <c r="Y272" s="829"/>
      <c r="Z272" s="852"/>
      <c r="AA272" s="851"/>
      <c r="AB272" s="787"/>
      <c r="AC272" s="829"/>
      <c r="AD272" s="852"/>
      <c r="AE272" s="851"/>
      <c r="AF272" s="787"/>
      <c r="AG272" s="355">
        <v>965</v>
      </c>
      <c r="AL272" s="123"/>
    </row>
    <row r="273" spans="2:38" x14ac:dyDescent="0.4">
      <c r="B273" s="356">
        <v>970</v>
      </c>
      <c r="C273" s="851"/>
      <c r="D273" s="787"/>
      <c r="E273" s="829"/>
      <c r="F273" s="852"/>
      <c r="G273" s="851"/>
      <c r="H273" s="787"/>
      <c r="I273" s="829"/>
      <c r="J273" s="852"/>
      <c r="K273" s="851"/>
      <c r="L273" s="787"/>
      <c r="M273" s="829"/>
      <c r="N273" s="852"/>
      <c r="O273" s="851"/>
      <c r="P273" s="787"/>
      <c r="Q273" s="829"/>
      <c r="R273" s="852"/>
      <c r="S273" s="851"/>
      <c r="T273" s="787"/>
      <c r="U273" s="829"/>
      <c r="V273" s="852"/>
      <c r="W273" s="851"/>
      <c r="X273" s="787"/>
      <c r="Y273" s="829"/>
      <c r="Z273" s="852"/>
      <c r="AA273" s="851"/>
      <c r="AB273" s="787"/>
      <c r="AC273" s="829"/>
      <c r="AD273" s="852"/>
      <c r="AE273" s="851"/>
      <c r="AF273" s="787"/>
      <c r="AG273" s="355">
        <v>970</v>
      </c>
      <c r="AL273" s="123"/>
    </row>
    <row r="274" spans="2:38" x14ac:dyDescent="0.4">
      <c r="B274" s="356">
        <v>975</v>
      </c>
      <c r="C274" s="851"/>
      <c r="D274" s="787"/>
      <c r="E274" s="829"/>
      <c r="F274" s="852"/>
      <c r="G274" s="851"/>
      <c r="H274" s="787"/>
      <c r="I274" s="829"/>
      <c r="J274" s="852"/>
      <c r="K274" s="851"/>
      <c r="L274" s="787"/>
      <c r="M274" s="829"/>
      <c r="N274" s="852"/>
      <c r="O274" s="851"/>
      <c r="P274" s="787"/>
      <c r="Q274" s="829"/>
      <c r="R274" s="852"/>
      <c r="S274" s="851"/>
      <c r="T274" s="787"/>
      <c r="U274" s="829"/>
      <c r="V274" s="852"/>
      <c r="W274" s="851"/>
      <c r="X274" s="787"/>
      <c r="Y274" s="829"/>
      <c r="Z274" s="852"/>
      <c r="AA274" s="851"/>
      <c r="AB274" s="787"/>
      <c r="AC274" s="829"/>
      <c r="AD274" s="852"/>
      <c r="AE274" s="851"/>
      <c r="AF274" s="787"/>
      <c r="AG274" s="355">
        <v>975</v>
      </c>
      <c r="AL274" s="123"/>
    </row>
    <row r="275" spans="2:38" x14ac:dyDescent="0.4">
      <c r="B275" s="356">
        <v>980</v>
      </c>
      <c r="C275" s="851"/>
      <c r="D275" s="787"/>
      <c r="E275" s="829"/>
      <c r="F275" s="852"/>
      <c r="G275" s="851"/>
      <c r="H275" s="787"/>
      <c r="I275" s="829"/>
      <c r="J275" s="852"/>
      <c r="K275" s="851"/>
      <c r="L275" s="787"/>
      <c r="M275" s="829"/>
      <c r="N275" s="852"/>
      <c r="O275" s="851"/>
      <c r="P275" s="787"/>
      <c r="Q275" s="829"/>
      <c r="R275" s="852"/>
      <c r="S275" s="851"/>
      <c r="T275" s="787"/>
      <c r="U275" s="829"/>
      <c r="V275" s="852"/>
      <c r="W275" s="851"/>
      <c r="X275" s="787"/>
      <c r="Y275" s="829"/>
      <c r="Z275" s="852"/>
      <c r="AA275" s="851"/>
      <c r="AB275" s="787"/>
      <c r="AC275" s="829"/>
      <c r="AD275" s="852"/>
      <c r="AE275" s="851"/>
      <c r="AF275" s="787"/>
      <c r="AG275" s="355">
        <v>980</v>
      </c>
      <c r="AL275" s="123"/>
    </row>
    <row r="276" spans="2:38" x14ac:dyDescent="0.4">
      <c r="B276" s="356">
        <v>985</v>
      </c>
      <c r="C276" s="851"/>
      <c r="D276" s="787"/>
      <c r="E276" s="829"/>
      <c r="F276" s="852"/>
      <c r="G276" s="851"/>
      <c r="H276" s="787"/>
      <c r="I276" s="829"/>
      <c r="J276" s="852"/>
      <c r="K276" s="851"/>
      <c r="L276" s="787"/>
      <c r="M276" s="829"/>
      <c r="N276" s="852"/>
      <c r="O276" s="851"/>
      <c r="P276" s="787"/>
      <c r="Q276" s="829"/>
      <c r="R276" s="852"/>
      <c r="S276" s="851"/>
      <c r="T276" s="787"/>
      <c r="U276" s="829"/>
      <c r="V276" s="852"/>
      <c r="W276" s="851"/>
      <c r="X276" s="787"/>
      <c r="Y276" s="829"/>
      <c r="Z276" s="852"/>
      <c r="AA276" s="851"/>
      <c r="AB276" s="787"/>
      <c r="AC276" s="829"/>
      <c r="AD276" s="852"/>
      <c r="AE276" s="851"/>
      <c r="AF276" s="787"/>
      <c r="AG276" s="355">
        <v>985</v>
      </c>
      <c r="AL276" s="123"/>
    </row>
    <row r="277" spans="2:38" x14ac:dyDescent="0.4">
      <c r="B277" s="356">
        <v>990</v>
      </c>
      <c r="C277" s="851"/>
      <c r="D277" s="787"/>
      <c r="E277" s="829"/>
      <c r="F277" s="852"/>
      <c r="G277" s="851"/>
      <c r="H277" s="787"/>
      <c r="I277" s="829"/>
      <c r="J277" s="852"/>
      <c r="K277" s="851"/>
      <c r="L277" s="787"/>
      <c r="M277" s="829"/>
      <c r="N277" s="852"/>
      <c r="O277" s="851"/>
      <c r="P277" s="787"/>
      <c r="Q277" s="829"/>
      <c r="R277" s="852"/>
      <c r="S277" s="851"/>
      <c r="T277" s="787"/>
      <c r="U277" s="829"/>
      <c r="V277" s="852"/>
      <c r="W277" s="851"/>
      <c r="X277" s="787"/>
      <c r="Y277" s="829"/>
      <c r="Z277" s="852"/>
      <c r="AA277" s="851"/>
      <c r="AB277" s="787"/>
      <c r="AC277" s="829"/>
      <c r="AD277" s="852"/>
      <c r="AE277" s="851"/>
      <c r="AF277" s="787"/>
      <c r="AG277" s="355">
        <v>990</v>
      </c>
      <c r="AL277" s="123"/>
    </row>
    <row r="278" spans="2:38" x14ac:dyDescent="0.4">
      <c r="B278" s="356">
        <v>995</v>
      </c>
      <c r="C278" s="851"/>
      <c r="D278" s="787"/>
      <c r="E278" s="829"/>
      <c r="F278" s="852"/>
      <c r="G278" s="851"/>
      <c r="H278" s="787"/>
      <c r="I278" s="829"/>
      <c r="J278" s="852"/>
      <c r="K278" s="851"/>
      <c r="L278" s="787"/>
      <c r="M278" s="829"/>
      <c r="N278" s="852"/>
      <c r="O278" s="851"/>
      <c r="P278" s="787"/>
      <c r="Q278" s="829"/>
      <c r="R278" s="852"/>
      <c r="S278" s="851"/>
      <c r="T278" s="787"/>
      <c r="U278" s="829"/>
      <c r="V278" s="852"/>
      <c r="W278" s="851"/>
      <c r="X278" s="787"/>
      <c r="Y278" s="829"/>
      <c r="Z278" s="852"/>
      <c r="AA278" s="851"/>
      <c r="AB278" s="787"/>
      <c r="AC278" s="829"/>
      <c r="AD278" s="852"/>
      <c r="AE278" s="851"/>
      <c r="AF278" s="787"/>
      <c r="AG278" s="355">
        <v>995</v>
      </c>
      <c r="AL278" s="123"/>
    </row>
    <row r="279" spans="2:38" x14ac:dyDescent="0.4">
      <c r="B279" s="356">
        <v>1000</v>
      </c>
      <c r="C279" s="851"/>
      <c r="D279" s="787"/>
      <c r="E279" s="829"/>
      <c r="F279" s="852"/>
      <c r="G279" s="851"/>
      <c r="H279" s="787"/>
      <c r="I279" s="829"/>
      <c r="J279" s="852"/>
      <c r="K279" s="851"/>
      <c r="L279" s="787"/>
      <c r="M279" s="829"/>
      <c r="N279" s="852"/>
      <c r="O279" s="851"/>
      <c r="P279" s="787"/>
      <c r="Q279" s="829"/>
      <c r="R279" s="852"/>
      <c r="S279" s="851"/>
      <c r="T279" s="787"/>
      <c r="U279" s="829"/>
      <c r="V279" s="852"/>
      <c r="W279" s="851"/>
      <c r="X279" s="787"/>
      <c r="Y279" s="829"/>
      <c r="Z279" s="852"/>
      <c r="AA279" s="851"/>
      <c r="AB279" s="787"/>
      <c r="AC279" s="829"/>
      <c r="AD279" s="852"/>
      <c r="AE279" s="851"/>
      <c r="AF279" s="787"/>
      <c r="AG279" s="355">
        <v>1000</v>
      </c>
      <c r="AL279" s="123"/>
    </row>
    <row r="280" spans="2:38" x14ac:dyDescent="0.4">
      <c r="B280" s="356">
        <v>1005</v>
      </c>
      <c r="C280" s="851"/>
      <c r="D280" s="787"/>
      <c r="E280" s="829"/>
      <c r="F280" s="852"/>
      <c r="G280" s="851"/>
      <c r="H280" s="787"/>
      <c r="I280" s="829"/>
      <c r="J280" s="852"/>
      <c r="K280" s="851"/>
      <c r="L280" s="787"/>
      <c r="M280" s="829"/>
      <c r="N280" s="852"/>
      <c r="O280" s="851"/>
      <c r="P280" s="787"/>
      <c r="Q280" s="829"/>
      <c r="R280" s="852"/>
      <c r="S280" s="851"/>
      <c r="T280" s="787"/>
      <c r="U280" s="829"/>
      <c r="V280" s="852"/>
      <c r="W280" s="851"/>
      <c r="X280" s="787"/>
      <c r="Y280" s="829"/>
      <c r="Z280" s="852"/>
      <c r="AA280" s="851"/>
      <c r="AB280" s="787"/>
      <c r="AC280" s="829"/>
      <c r="AD280" s="852"/>
      <c r="AE280" s="851"/>
      <c r="AF280" s="787"/>
      <c r="AG280" s="355">
        <v>1005</v>
      </c>
      <c r="AL280" s="123"/>
    </row>
    <row r="281" spans="2:38" x14ac:dyDescent="0.4">
      <c r="B281" s="356">
        <v>1010</v>
      </c>
      <c r="C281" s="851"/>
      <c r="D281" s="787"/>
      <c r="E281" s="829"/>
      <c r="F281" s="852"/>
      <c r="G281" s="851"/>
      <c r="H281" s="787"/>
      <c r="I281" s="829"/>
      <c r="J281" s="852"/>
      <c r="K281" s="851"/>
      <c r="L281" s="787"/>
      <c r="M281" s="829"/>
      <c r="N281" s="852"/>
      <c r="O281" s="851"/>
      <c r="P281" s="787"/>
      <c r="Q281" s="829"/>
      <c r="R281" s="852"/>
      <c r="S281" s="851"/>
      <c r="T281" s="787"/>
      <c r="U281" s="829"/>
      <c r="V281" s="852"/>
      <c r="W281" s="851"/>
      <c r="X281" s="787"/>
      <c r="Y281" s="829"/>
      <c r="Z281" s="852"/>
      <c r="AA281" s="851"/>
      <c r="AB281" s="787"/>
      <c r="AC281" s="829"/>
      <c r="AD281" s="852"/>
      <c r="AE281" s="851"/>
      <c r="AF281" s="787"/>
      <c r="AG281" s="355">
        <v>1010</v>
      </c>
      <c r="AL281" s="123"/>
    </row>
    <row r="282" spans="2:38" x14ac:dyDescent="0.4">
      <c r="B282" s="356">
        <v>1015</v>
      </c>
      <c r="C282" s="851"/>
      <c r="D282" s="787"/>
      <c r="E282" s="829"/>
      <c r="F282" s="852"/>
      <c r="G282" s="851"/>
      <c r="H282" s="787"/>
      <c r="I282" s="829"/>
      <c r="J282" s="852"/>
      <c r="K282" s="851"/>
      <c r="L282" s="787"/>
      <c r="M282" s="829"/>
      <c r="N282" s="852"/>
      <c r="O282" s="851"/>
      <c r="P282" s="787"/>
      <c r="Q282" s="829"/>
      <c r="R282" s="852"/>
      <c r="S282" s="851"/>
      <c r="T282" s="787"/>
      <c r="U282" s="829"/>
      <c r="V282" s="852"/>
      <c r="W282" s="851"/>
      <c r="X282" s="787"/>
      <c r="Y282" s="829"/>
      <c r="Z282" s="852"/>
      <c r="AA282" s="851"/>
      <c r="AB282" s="787"/>
      <c r="AC282" s="829"/>
      <c r="AD282" s="852"/>
      <c r="AE282" s="851"/>
      <c r="AF282" s="787"/>
      <c r="AG282" s="355">
        <v>1015</v>
      </c>
      <c r="AL282" s="123"/>
    </row>
    <row r="283" spans="2:38" x14ac:dyDescent="0.4">
      <c r="B283" s="356">
        <v>1020</v>
      </c>
      <c r="C283" s="851"/>
      <c r="D283" s="787"/>
      <c r="E283" s="829"/>
      <c r="F283" s="852"/>
      <c r="G283" s="851"/>
      <c r="H283" s="787"/>
      <c r="I283" s="829"/>
      <c r="J283" s="852"/>
      <c r="K283" s="851"/>
      <c r="L283" s="787"/>
      <c r="M283" s="829"/>
      <c r="N283" s="852"/>
      <c r="O283" s="851"/>
      <c r="P283" s="787"/>
      <c r="Q283" s="829"/>
      <c r="R283" s="852"/>
      <c r="S283" s="851"/>
      <c r="T283" s="787"/>
      <c r="U283" s="829"/>
      <c r="V283" s="852"/>
      <c r="W283" s="851"/>
      <c r="X283" s="787"/>
      <c r="Y283" s="829"/>
      <c r="Z283" s="852"/>
      <c r="AA283" s="851"/>
      <c r="AB283" s="787"/>
      <c r="AC283" s="829"/>
      <c r="AD283" s="852"/>
      <c r="AE283" s="851"/>
      <c r="AF283" s="787"/>
      <c r="AG283" s="355">
        <v>1020</v>
      </c>
      <c r="AL283" s="123"/>
    </row>
    <row r="284" spans="2:38" x14ac:dyDescent="0.4">
      <c r="B284" s="356">
        <v>1025</v>
      </c>
      <c r="C284" s="851"/>
      <c r="D284" s="787"/>
      <c r="E284" s="829"/>
      <c r="F284" s="852"/>
      <c r="G284" s="851"/>
      <c r="H284" s="787"/>
      <c r="I284" s="829"/>
      <c r="J284" s="852"/>
      <c r="K284" s="851"/>
      <c r="L284" s="787"/>
      <c r="M284" s="829"/>
      <c r="N284" s="852"/>
      <c r="O284" s="851"/>
      <c r="P284" s="787"/>
      <c r="Q284" s="829"/>
      <c r="R284" s="852"/>
      <c r="S284" s="851"/>
      <c r="T284" s="787"/>
      <c r="U284" s="829"/>
      <c r="V284" s="852"/>
      <c r="W284" s="851"/>
      <c r="X284" s="787"/>
      <c r="Y284" s="829"/>
      <c r="Z284" s="852"/>
      <c r="AA284" s="851"/>
      <c r="AB284" s="787"/>
      <c r="AC284" s="829"/>
      <c r="AD284" s="852"/>
      <c r="AE284" s="851"/>
      <c r="AF284" s="787"/>
      <c r="AG284" s="355">
        <v>1025</v>
      </c>
      <c r="AL284" s="123"/>
    </row>
    <row r="285" spans="2:38" x14ac:dyDescent="0.4">
      <c r="B285" s="356">
        <v>1030</v>
      </c>
      <c r="C285" s="851"/>
      <c r="D285" s="787"/>
      <c r="E285" s="829"/>
      <c r="F285" s="852"/>
      <c r="G285" s="851"/>
      <c r="H285" s="787"/>
      <c r="I285" s="829"/>
      <c r="J285" s="852"/>
      <c r="K285" s="851"/>
      <c r="L285" s="787"/>
      <c r="M285" s="829"/>
      <c r="N285" s="852"/>
      <c r="O285" s="851"/>
      <c r="P285" s="787"/>
      <c r="Q285" s="829"/>
      <c r="R285" s="852"/>
      <c r="S285" s="851"/>
      <c r="T285" s="787"/>
      <c r="U285" s="829"/>
      <c r="V285" s="852"/>
      <c r="W285" s="851"/>
      <c r="X285" s="787"/>
      <c r="Y285" s="829"/>
      <c r="Z285" s="852"/>
      <c r="AA285" s="851"/>
      <c r="AB285" s="787"/>
      <c r="AC285" s="829"/>
      <c r="AD285" s="852"/>
      <c r="AE285" s="851"/>
      <c r="AF285" s="787"/>
      <c r="AG285" s="355">
        <v>1030</v>
      </c>
      <c r="AL285" s="123"/>
    </row>
    <row r="286" spans="2:38" x14ac:dyDescent="0.4">
      <c r="B286" s="356">
        <v>1035</v>
      </c>
      <c r="C286" s="851"/>
      <c r="D286" s="787"/>
      <c r="E286" s="829"/>
      <c r="F286" s="852"/>
      <c r="G286" s="851"/>
      <c r="H286" s="787"/>
      <c r="I286" s="829"/>
      <c r="J286" s="852"/>
      <c r="K286" s="851"/>
      <c r="L286" s="787"/>
      <c r="M286" s="829"/>
      <c r="N286" s="852"/>
      <c r="O286" s="851"/>
      <c r="P286" s="787"/>
      <c r="Q286" s="829"/>
      <c r="R286" s="852"/>
      <c r="S286" s="851"/>
      <c r="T286" s="787"/>
      <c r="U286" s="829"/>
      <c r="V286" s="852"/>
      <c r="W286" s="851"/>
      <c r="X286" s="787"/>
      <c r="Y286" s="829"/>
      <c r="Z286" s="852"/>
      <c r="AA286" s="851"/>
      <c r="AB286" s="787"/>
      <c r="AC286" s="829"/>
      <c r="AD286" s="852"/>
      <c r="AE286" s="851"/>
      <c r="AF286" s="787"/>
      <c r="AG286" s="355">
        <v>1035</v>
      </c>
      <c r="AL286" s="123"/>
    </row>
    <row r="287" spans="2:38" x14ac:dyDescent="0.4">
      <c r="B287" s="356">
        <v>1040</v>
      </c>
      <c r="C287" s="851"/>
      <c r="D287" s="787"/>
      <c r="E287" s="829"/>
      <c r="F287" s="852"/>
      <c r="G287" s="851"/>
      <c r="H287" s="787"/>
      <c r="I287" s="829"/>
      <c r="J287" s="852"/>
      <c r="K287" s="851"/>
      <c r="L287" s="787"/>
      <c r="M287" s="829"/>
      <c r="N287" s="852"/>
      <c r="O287" s="851"/>
      <c r="P287" s="787"/>
      <c r="Q287" s="829"/>
      <c r="R287" s="852"/>
      <c r="S287" s="851"/>
      <c r="T287" s="787"/>
      <c r="U287" s="829"/>
      <c r="V287" s="852"/>
      <c r="W287" s="851"/>
      <c r="X287" s="787"/>
      <c r="Y287" s="829"/>
      <c r="Z287" s="852"/>
      <c r="AA287" s="851"/>
      <c r="AB287" s="787"/>
      <c r="AC287" s="829"/>
      <c r="AD287" s="852"/>
      <c r="AE287" s="851"/>
      <c r="AF287" s="787"/>
      <c r="AG287" s="355">
        <v>1040</v>
      </c>
      <c r="AL287" s="123"/>
    </row>
    <row r="288" spans="2:38" x14ac:dyDescent="0.4">
      <c r="B288" s="356">
        <v>1045</v>
      </c>
      <c r="C288" s="851"/>
      <c r="D288" s="787"/>
      <c r="E288" s="829"/>
      <c r="F288" s="852"/>
      <c r="G288" s="851"/>
      <c r="H288" s="787"/>
      <c r="I288" s="829"/>
      <c r="J288" s="852"/>
      <c r="K288" s="851"/>
      <c r="L288" s="787"/>
      <c r="M288" s="829"/>
      <c r="N288" s="852"/>
      <c r="O288" s="851"/>
      <c r="P288" s="787"/>
      <c r="Q288" s="829"/>
      <c r="R288" s="852"/>
      <c r="S288" s="851"/>
      <c r="T288" s="787"/>
      <c r="U288" s="829"/>
      <c r="V288" s="852"/>
      <c r="W288" s="851"/>
      <c r="X288" s="787"/>
      <c r="Y288" s="829"/>
      <c r="Z288" s="852"/>
      <c r="AA288" s="851"/>
      <c r="AB288" s="787"/>
      <c r="AC288" s="829"/>
      <c r="AD288" s="852"/>
      <c r="AE288" s="851"/>
      <c r="AF288" s="787"/>
      <c r="AG288" s="355">
        <v>1045</v>
      </c>
      <c r="AL288" s="123"/>
    </row>
    <row r="289" spans="2:38" x14ac:dyDescent="0.4">
      <c r="B289" s="356">
        <v>1050</v>
      </c>
      <c r="C289" s="851"/>
      <c r="D289" s="787"/>
      <c r="E289" s="829"/>
      <c r="F289" s="852"/>
      <c r="G289" s="851"/>
      <c r="H289" s="787"/>
      <c r="I289" s="829"/>
      <c r="J289" s="852"/>
      <c r="K289" s="851"/>
      <c r="L289" s="787"/>
      <c r="M289" s="829"/>
      <c r="N289" s="852"/>
      <c r="O289" s="851"/>
      <c r="P289" s="787"/>
      <c r="Q289" s="829"/>
      <c r="R289" s="852"/>
      <c r="S289" s="851"/>
      <c r="T289" s="787"/>
      <c r="U289" s="829"/>
      <c r="V289" s="852"/>
      <c r="W289" s="851"/>
      <c r="X289" s="787"/>
      <c r="Y289" s="829"/>
      <c r="Z289" s="852"/>
      <c r="AA289" s="851"/>
      <c r="AB289" s="787"/>
      <c r="AC289" s="829"/>
      <c r="AD289" s="852"/>
      <c r="AE289" s="851"/>
      <c r="AF289" s="787"/>
      <c r="AG289" s="355">
        <v>1050</v>
      </c>
      <c r="AL289" s="123"/>
    </row>
    <row r="290" spans="2:38" x14ac:dyDescent="0.4">
      <c r="B290" s="356">
        <v>1055</v>
      </c>
      <c r="C290" s="851"/>
      <c r="D290" s="787"/>
      <c r="E290" s="829"/>
      <c r="F290" s="852"/>
      <c r="G290" s="851"/>
      <c r="H290" s="787"/>
      <c r="I290" s="829"/>
      <c r="J290" s="852"/>
      <c r="K290" s="851"/>
      <c r="L290" s="787"/>
      <c r="M290" s="829"/>
      <c r="N290" s="852"/>
      <c r="O290" s="851"/>
      <c r="P290" s="787"/>
      <c r="Q290" s="829"/>
      <c r="R290" s="852"/>
      <c r="S290" s="851"/>
      <c r="T290" s="787"/>
      <c r="U290" s="829"/>
      <c r="V290" s="852"/>
      <c r="W290" s="851"/>
      <c r="X290" s="787"/>
      <c r="Y290" s="829"/>
      <c r="Z290" s="852"/>
      <c r="AA290" s="851"/>
      <c r="AB290" s="787"/>
      <c r="AC290" s="829"/>
      <c r="AD290" s="852"/>
      <c r="AE290" s="851"/>
      <c r="AF290" s="787"/>
      <c r="AG290" s="355">
        <v>1055</v>
      </c>
      <c r="AL290" s="123"/>
    </row>
    <row r="291" spans="2:38" x14ac:dyDescent="0.4">
      <c r="B291" s="356">
        <v>1060</v>
      </c>
      <c r="C291" s="851"/>
      <c r="D291" s="787"/>
      <c r="E291" s="829"/>
      <c r="F291" s="852"/>
      <c r="G291" s="851"/>
      <c r="H291" s="787"/>
      <c r="I291" s="829"/>
      <c r="J291" s="852"/>
      <c r="K291" s="851"/>
      <c r="L291" s="787"/>
      <c r="M291" s="829"/>
      <c r="N291" s="852"/>
      <c r="O291" s="851"/>
      <c r="P291" s="787"/>
      <c r="Q291" s="829"/>
      <c r="R291" s="852"/>
      <c r="S291" s="851"/>
      <c r="T291" s="787"/>
      <c r="U291" s="829"/>
      <c r="V291" s="852"/>
      <c r="W291" s="851"/>
      <c r="X291" s="787"/>
      <c r="Y291" s="829"/>
      <c r="Z291" s="852"/>
      <c r="AA291" s="851"/>
      <c r="AB291" s="787"/>
      <c r="AC291" s="829"/>
      <c r="AD291" s="852"/>
      <c r="AE291" s="851"/>
      <c r="AF291" s="787"/>
      <c r="AG291" s="355">
        <v>1060</v>
      </c>
      <c r="AL291" s="123"/>
    </row>
    <row r="292" spans="2:38" x14ac:dyDescent="0.4">
      <c r="B292" s="356">
        <v>1065</v>
      </c>
      <c r="C292" s="851"/>
      <c r="D292" s="787"/>
      <c r="E292" s="829"/>
      <c r="F292" s="852"/>
      <c r="G292" s="851"/>
      <c r="H292" s="787"/>
      <c r="I292" s="829"/>
      <c r="J292" s="852"/>
      <c r="K292" s="851"/>
      <c r="L292" s="787"/>
      <c r="M292" s="829"/>
      <c r="N292" s="852"/>
      <c r="O292" s="851"/>
      <c r="P292" s="787"/>
      <c r="Q292" s="829"/>
      <c r="R292" s="852"/>
      <c r="S292" s="851"/>
      <c r="T292" s="787"/>
      <c r="U292" s="829"/>
      <c r="V292" s="852"/>
      <c r="W292" s="851"/>
      <c r="X292" s="787"/>
      <c r="Y292" s="829"/>
      <c r="Z292" s="852"/>
      <c r="AA292" s="851"/>
      <c r="AB292" s="787"/>
      <c r="AC292" s="829"/>
      <c r="AD292" s="852"/>
      <c r="AE292" s="851"/>
      <c r="AF292" s="787"/>
      <c r="AG292" s="355">
        <v>1065</v>
      </c>
      <c r="AL292" s="123"/>
    </row>
    <row r="293" spans="2:38" x14ac:dyDescent="0.4">
      <c r="B293" s="356">
        <v>1070</v>
      </c>
      <c r="C293" s="851"/>
      <c r="D293" s="787"/>
      <c r="E293" s="829"/>
      <c r="F293" s="852"/>
      <c r="G293" s="851"/>
      <c r="H293" s="787"/>
      <c r="I293" s="829"/>
      <c r="J293" s="852"/>
      <c r="K293" s="851"/>
      <c r="L293" s="787"/>
      <c r="M293" s="829"/>
      <c r="N293" s="852"/>
      <c r="O293" s="851"/>
      <c r="P293" s="787"/>
      <c r="Q293" s="829"/>
      <c r="R293" s="852"/>
      <c r="S293" s="851"/>
      <c r="T293" s="787"/>
      <c r="U293" s="829"/>
      <c r="V293" s="852"/>
      <c r="W293" s="851"/>
      <c r="X293" s="787"/>
      <c r="Y293" s="829"/>
      <c r="Z293" s="852"/>
      <c r="AA293" s="851"/>
      <c r="AB293" s="787"/>
      <c r="AC293" s="829"/>
      <c r="AD293" s="852"/>
      <c r="AE293" s="851"/>
      <c r="AF293" s="787"/>
      <c r="AG293" s="355">
        <v>1070</v>
      </c>
      <c r="AL293" s="123"/>
    </row>
    <row r="294" spans="2:38" x14ac:dyDescent="0.4">
      <c r="B294" s="356">
        <v>1075</v>
      </c>
      <c r="C294" s="851"/>
      <c r="D294" s="787"/>
      <c r="E294" s="829"/>
      <c r="F294" s="852"/>
      <c r="G294" s="851"/>
      <c r="H294" s="787"/>
      <c r="I294" s="829"/>
      <c r="J294" s="852"/>
      <c r="K294" s="851"/>
      <c r="L294" s="787"/>
      <c r="M294" s="829"/>
      <c r="N294" s="852"/>
      <c r="O294" s="851"/>
      <c r="P294" s="787"/>
      <c r="Q294" s="829"/>
      <c r="R294" s="852"/>
      <c r="S294" s="851"/>
      <c r="T294" s="787"/>
      <c r="U294" s="829"/>
      <c r="V294" s="852"/>
      <c r="W294" s="851"/>
      <c r="X294" s="787"/>
      <c r="Y294" s="829"/>
      <c r="Z294" s="852"/>
      <c r="AA294" s="851"/>
      <c r="AB294" s="787"/>
      <c r="AC294" s="829"/>
      <c r="AD294" s="852"/>
      <c r="AE294" s="851"/>
      <c r="AF294" s="787"/>
      <c r="AG294" s="355">
        <v>1075</v>
      </c>
      <c r="AL294" s="123"/>
    </row>
    <row r="295" spans="2:38" x14ac:dyDescent="0.4">
      <c r="B295" s="356">
        <v>1080</v>
      </c>
      <c r="C295" s="851"/>
      <c r="D295" s="787"/>
      <c r="E295" s="829"/>
      <c r="F295" s="852"/>
      <c r="G295" s="851"/>
      <c r="H295" s="787"/>
      <c r="I295" s="829"/>
      <c r="J295" s="852"/>
      <c r="K295" s="851"/>
      <c r="L295" s="787"/>
      <c r="M295" s="829"/>
      <c r="N295" s="852"/>
      <c r="O295" s="851"/>
      <c r="P295" s="787"/>
      <c r="Q295" s="829"/>
      <c r="R295" s="852"/>
      <c r="S295" s="851"/>
      <c r="T295" s="787"/>
      <c r="U295" s="829"/>
      <c r="V295" s="852"/>
      <c r="W295" s="851"/>
      <c r="X295" s="787"/>
      <c r="Y295" s="829"/>
      <c r="Z295" s="852"/>
      <c r="AA295" s="851"/>
      <c r="AB295" s="787"/>
      <c r="AC295" s="829"/>
      <c r="AD295" s="852"/>
      <c r="AE295" s="851"/>
      <c r="AF295" s="787"/>
      <c r="AG295" s="355">
        <v>1080</v>
      </c>
      <c r="AL295" s="123"/>
    </row>
    <row r="296" spans="2:38" x14ac:dyDescent="0.4">
      <c r="B296" s="356">
        <v>1085</v>
      </c>
      <c r="C296" s="851"/>
      <c r="D296" s="787"/>
      <c r="E296" s="829"/>
      <c r="F296" s="852"/>
      <c r="G296" s="851"/>
      <c r="H296" s="787"/>
      <c r="I296" s="829"/>
      <c r="J296" s="852"/>
      <c r="K296" s="851"/>
      <c r="L296" s="787"/>
      <c r="M296" s="829"/>
      <c r="N296" s="852"/>
      <c r="O296" s="851"/>
      <c r="P296" s="787"/>
      <c r="Q296" s="829"/>
      <c r="R296" s="852"/>
      <c r="S296" s="851"/>
      <c r="T296" s="787"/>
      <c r="U296" s="829"/>
      <c r="V296" s="852"/>
      <c r="W296" s="851"/>
      <c r="X296" s="787"/>
      <c r="Y296" s="829"/>
      <c r="Z296" s="852"/>
      <c r="AA296" s="851"/>
      <c r="AB296" s="787"/>
      <c r="AC296" s="829"/>
      <c r="AD296" s="852"/>
      <c r="AE296" s="851"/>
      <c r="AF296" s="787"/>
      <c r="AG296" s="355">
        <v>1085</v>
      </c>
      <c r="AL296" s="123"/>
    </row>
    <row r="297" spans="2:38" x14ac:dyDescent="0.4">
      <c r="B297" s="356">
        <v>1090</v>
      </c>
      <c r="C297" s="851"/>
      <c r="D297" s="787"/>
      <c r="E297" s="829"/>
      <c r="F297" s="852"/>
      <c r="G297" s="851"/>
      <c r="H297" s="787"/>
      <c r="I297" s="829"/>
      <c r="J297" s="852"/>
      <c r="K297" s="851"/>
      <c r="L297" s="787"/>
      <c r="M297" s="829"/>
      <c r="N297" s="852"/>
      <c r="O297" s="851"/>
      <c r="P297" s="787"/>
      <c r="Q297" s="829"/>
      <c r="R297" s="852"/>
      <c r="S297" s="851"/>
      <c r="T297" s="787"/>
      <c r="U297" s="829"/>
      <c r="V297" s="852"/>
      <c r="W297" s="851"/>
      <c r="X297" s="787"/>
      <c r="Y297" s="829"/>
      <c r="Z297" s="852"/>
      <c r="AA297" s="851"/>
      <c r="AB297" s="787"/>
      <c r="AC297" s="829"/>
      <c r="AD297" s="852"/>
      <c r="AE297" s="851"/>
      <c r="AF297" s="787"/>
      <c r="AG297" s="355">
        <v>1090</v>
      </c>
      <c r="AL297" s="123"/>
    </row>
    <row r="298" spans="2:38" x14ac:dyDescent="0.4">
      <c r="B298" s="356">
        <v>1095</v>
      </c>
      <c r="C298" s="851"/>
      <c r="D298" s="787"/>
      <c r="E298" s="829"/>
      <c r="F298" s="852"/>
      <c r="G298" s="851"/>
      <c r="H298" s="787"/>
      <c r="I298" s="829"/>
      <c r="J298" s="852"/>
      <c r="K298" s="851"/>
      <c r="L298" s="787"/>
      <c r="M298" s="829"/>
      <c r="N298" s="852"/>
      <c r="O298" s="851"/>
      <c r="P298" s="787"/>
      <c r="Q298" s="829"/>
      <c r="R298" s="852"/>
      <c r="S298" s="851"/>
      <c r="T298" s="787"/>
      <c r="U298" s="829"/>
      <c r="V298" s="852"/>
      <c r="W298" s="851"/>
      <c r="X298" s="787"/>
      <c r="Y298" s="829"/>
      <c r="Z298" s="852"/>
      <c r="AA298" s="851"/>
      <c r="AB298" s="787"/>
      <c r="AC298" s="829"/>
      <c r="AD298" s="852"/>
      <c r="AE298" s="851"/>
      <c r="AF298" s="787"/>
      <c r="AG298" s="355">
        <v>1095</v>
      </c>
      <c r="AL298" s="123"/>
    </row>
    <row r="299" spans="2:38" x14ac:dyDescent="0.4">
      <c r="B299" s="356">
        <v>1100</v>
      </c>
      <c r="C299" s="851"/>
      <c r="D299" s="787"/>
      <c r="E299" s="829"/>
      <c r="F299" s="852"/>
      <c r="G299" s="851"/>
      <c r="H299" s="787"/>
      <c r="I299" s="829"/>
      <c r="J299" s="852"/>
      <c r="K299" s="851"/>
      <c r="L299" s="787"/>
      <c r="M299" s="829"/>
      <c r="N299" s="852"/>
      <c r="O299" s="851"/>
      <c r="P299" s="787"/>
      <c r="Q299" s="829"/>
      <c r="R299" s="852"/>
      <c r="S299" s="851"/>
      <c r="T299" s="787"/>
      <c r="U299" s="829"/>
      <c r="V299" s="852"/>
      <c r="W299" s="851"/>
      <c r="X299" s="787"/>
      <c r="Y299" s="829"/>
      <c r="Z299" s="852"/>
      <c r="AA299" s="851"/>
      <c r="AB299" s="787"/>
      <c r="AC299" s="829"/>
      <c r="AD299" s="852"/>
      <c r="AE299" s="851"/>
      <c r="AF299" s="787"/>
      <c r="AG299" s="355">
        <v>1100</v>
      </c>
      <c r="AL299" s="123"/>
    </row>
    <row r="300" spans="2:38" x14ac:dyDescent="0.4">
      <c r="B300" s="356">
        <v>1105</v>
      </c>
      <c r="C300" s="851"/>
      <c r="D300" s="787"/>
      <c r="E300" s="829"/>
      <c r="F300" s="852"/>
      <c r="G300" s="851"/>
      <c r="H300" s="787"/>
      <c r="I300" s="829"/>
      <c r="J300" s="852"/>
      <c r="K300" s="851"/>
      <c r="L300" s="787"/>
      <c r="M300" s="829"/>
      <c r="N300" s="852"/>
      <c r="O300" s="851"/>
      <c r="P300" s="787"/>
      <c r="Q300" s="829"/>
      <c r="R300" s="852"/>
      <c r="S300" s="851"/>
      <c r="T300" s="787"/>
      <c r="U300" s="829"/>
      <c r="V300" s="852"/>
      <c r="W300" s="851"/>
      <c r="X300" s="787"/>
      <c r="Y300" s="829"/>
      <c r="Z300" s="852"/>
      <c r="AA300" s="851"/>
      <c r="AB300" s="787"/>
      <c r="AC300" s="829"/>
      <c r="AD300" s="852"/>
      <c r="AE300" s="851"/>
      <c r="AF300" s="787"/>
      <c r="AG300" s="355">
        <v>1105</v>
      </c>
      <c r="AL300" s="123"/>
    </row>
    <row r="301" spans="2:38" x14ac:dyDescent="0.4">
      <c r="B301" s="356">
        <v>1110</v>
      </c>
      <c r="C301" s="851"/>
      <c r="D301" s="787"/>
      <c r="E301" s="829"/>
      <c r="F301" s="852"/>
      <c r="G301" s="851"/>
      <c r="H301" s="787"/>
      <c r="I301" s="829"/>
      <c r="J301" s="852"/>
      <c r="K301" s="851"/>
      <c r="L301" s="787"/>
      <c r="M301" s="829"/>
      <c r="N301" s="852"/>
      <c r="O301" s="851"/>
      <c r="P301" s="787"/>
      <c r="Q301" s="829"/>
      <c r="R301" s="852"/>
      <c r="S301" s="851"/>
      <c r="T301" s="787"/>
      <c r="U301" s="829"/>
      <c r="V301" s="852"/>
      <c r="W301" s="851"/>
      <c r="X301" s="787"/>
      <c r="Y301" s="829"/>
      <c r="Z301" s="852"/>
      <c r="AA301" s="851"/>
      <c r="AB301" s="787"/>
      <c r="AC301" s="829"/>
      <c r="AD301" s="852"/>
      <c r="AE301" s="851"/>
      <c r="AF301" s="787"/>
      <c r="AG301" s="355">
        <v>1110</v>
      </c>
      <c r="AL301" s="123"/>
    </row>
    <row r="302" spans="2:38" x14ac:dyDescent="0.4">
      <c r="B302" s="356">
        <v>1115</v>
      </c>
      <c r="C302" s="851"/>
      <c r="D302" s="787"/>
      <c r="E302" s="829"/>
      <c r="F302" s="852"/>
      <c r="G302" s="851"/>
      <c r="H302" s="787"/>
      <c r="I302" s="829"/>
      <c r="J302" s="852"/>
      <c r="K302" s="851"/>
      <c r="L302" s="787"/>
      <c r="M302" s="829"/>
      <c r="N302" s="852"/>
      <c r="O302" s="851"/>
      <c r="P302" s="787"/>
      <c r="Q302" s="829"/>
      <c r="R302" s="852"/>
      <c r="S302" s="851"/>
      <c r="T302" s="787"/>
      <c r="U302" s="829"/>
      <c r="V302" s="852"/>
      <c r="W302" s="851"/>
      <c r="X302" s="787"/>
      <c r="Y302" s="829"/>
      <c r="Z302" s="852"/>
      <c r="AA302" s="851"/>
      <c r="AB302" s="787"/>
      <c r="AC302" s="829"/>
      <c r="AD302" s="852"/>
      <c r="AE302" s="851"/>
      <c r="AF302" s="787"/>
      <c r="AG302" s="355">
        <v>1115</v>
      </c>
      <c r="AL302" s="123"/>
    </row>
    <row r="303" spans="2:38" x14ac:dyDescent="0.4">
      <c r="B303" s="356">
        <v>1120</v>
      </c>
      <c r="C303" s="851"/>
      <c r="D303" s="787"/>
      <c r="E303" s="829"/>
      <c r="F303" s="852"/>
      <c r="G303" s="851"/>
      <c r="H303" s="787"/>
      <c r="I303" s="829"/>
      <c r="J303" s="852"/>
      <c r="K303" s="851"/>
      <c r="L303" s="787"/>
      <c r="M303" s="829"/>
      <c r="N303" s="852"/>
      <c r="O303" s="851"/>
      <c r="P303" s="787"/>
      <c r="Q303" s="829"/>
      <c r="R303" s="852"/>
      <c r="S303" s="851"/>
      <c r="T303" s="787"/>
      <c r="U303" s="829"/>
      <c r="V303" s="852"/>
      <c r="W303" s="851"/>
      <c r="X303" s="787"/>
      <c r="Y303" s="829"/>
      <c r="Z303" s="852"/>
      <c r="AA303" s="851"/>
      <c r="AB303" s="787"/>
      <c r="AC303" s="829"/>
      <c r="AD303" s="852"/>
      <c r="AE303" s="851"/>
      <c r="AF303" s="787"/>
      <c r="AG303" s="355">
        <v>1120</v>
      </c>
      <c r="AL303" s="123"/>
    </row>
    <row r="304" spans="2:38" x14ac:dyDescent="0.4">
      <c r="B304" s="356">
        <v>1125</v>
      </c>
      <c r="C304" s="851"/>
      <c r="D304" s="787"/>
      <c r="E304" s="829"/>
      <c r="F304" s="852"/>
      <c r="G304" s="851"/>
      <c r="H304" s="787"/>
      <c r="I304" s="829"/>
      <c r="J304" s="852"/>
      <c r="K304" s="851"/>
      <c r="L304" s="787"/>
      <c r="M304" s="829"/>
      <c r="N304" s="852"/>
      <c r="O304" s="851"/>
      <c r="P304" s="787"/>
      <c r="Q304" s="829"/>
      <c r="R304" s="852"/>
      <c r="S304" s="851"/>
      <c r="T304" s="787"/>
      <c r="U304" s="829"/>
      <c r="V304" s="852"/>
      <c r="W304" s="851"/>
      <c r="X304" s="787"/>
      <c r="Y304" s="829"/>
      <c r="Z304" s="852"/>
      <c r="AA304" s="851"/>
      <c r="AB304" s="787"/>
      <c r="AC304" s="829"/>
      <c r="AD304" s="852"/>
      <c r="AE304" s="851"/>
      <c r="AF304" s="787"/>
      <c r="AG304" s="355">
        <v>1125</v>
      </c>
      <c r="AL304" s="123"/>
    </row>
    <row r="305" spans="2:38" x14ac:dyDescent="0.4">
      <c r="B305" s="356">
        <v>1130</v>
      </c>
      <c r="C305" s="851"/>
      <c r="D305" s="787"/>
      <c r="E305" s="829"/>
      <c r="F305" s="852"/>
      <c r="G305" s="851"/>
      <c r="H305" s="787"/>
      <c r="I305" s="829"/>
      <c r="J305" s="852"/>
      <c r="K305" s="851"/>
      <c r="L305" s="787"/>
      <c r="M305" s="829"/>
      <c r="N305" s="852"/>
      <c r="O305" s="851"/>
      <c r="P305" s="787"/>
      <c r="Q305" s="829"/>
      <c r="R305" s="852"/>
      <c r="S305" s="851"/>
      <c r="T305" s="787"/>
      <c r="U305" s="829"/>
      <c r="V305" s="852"/>
      <c r="W305" s="851"/>
      <c r="X305" s="787"/>
      <c r="Y305" s="829"/>
      <c r="Z305" s="852"/>
      <c r="AA305" s="851"/>
      <c r="AB305" s="787"/>
      <c r="AC305" s="829"/>
      <c r="AD305" s="852"/>
      <c r="AE305" s="851"/>
      <c r="AF305" s="787"/>
      <c r="AG305" s="355">
        <v>1130</v>
      </c>
      <c r="AL305" s="123"/>
    </row>
    <row r="306" spans="2:38" x14ac:dyDescent="0.4">
      <c r="B306" s="356">
        <v>1135</v>
      </c>
      <c r="C306" s="851"/>
      <c r="D306" s="787"/>
      <c r="E306" s="829"/>
      <c r="F306" s="852"/>
      <c r="G306" s="851"/>
      <c r="H306" s="787"/>
      <c r="I306" s="829"/>
      <c r="J306" s="852"/>
      <c r="K306" s="851"/>
      <c r="L306" s="787"/>
      <c r="M306" s="829"/>
      <c r="N306" s="852"/>
      <c r="O306" s="851"/>
      <c r="P306" s="787"/>
      <c r="Q306" s="829"/>
      <c r="R306" s="852"/>
      <c r="S306" s="851"/>
      <c r="T306" s="787"/>
      <c r="U306" s="829"/>
      <c r="V306" s="852"/>
      <c r="W306" s="851"/>
      <c r="X306" s="787"/>
      <c r="Y306" s="829"/>
      <c r="Z306" s="852"/>
      <c r="AA306" s="851"/>
      <c r="AB306" s="787"/>
      <c r="AC306" s="829"/>
      <c r="AD306" s="852"/>
      <c r="AE306" s="851"/>
      <c r="AF306" s="787"/>
      <c r="AG306" s="355">
        <v>1135</v>
      </c>
      <c r="AL306" s="123"/>
    </row>
    <row r="307" spans="2:38" x14ac:dyDescent="0.4">
      <c r="B307" s="356">
        <v>1140</v>
      </c>
      <c r="C307" s="851"/>
      <c r="D307" s="787"/>
      <c r="E307" s="829"/>
      <c r="F307" s="852"/>
      <c r="G307" s="851"/>
      <c r="H307" s="787"/>
      <c r="I307" s="829"/>
      <c r="J307" s="852"/>
      <c r="K307" s="851"/>
      <c r="L307" s="787"/>
      <c r="M307" s="829"/>
      <c r="N307" s="852"/>
      <c r="O307" s="851"/>
      <c r="P307" s="787"/>
      <c r="Q307" s="829"/>
      <c r="R307" s="852"/>
      <c r="S307" s="851"/>
      <c r="T307" s="787"/>
      <c r="U307" s="829"/>
      <c r="V307" s="852"/>
      <c r="W307" s="851"/>
      <c r="X307" s="787"/>
      <c r="Y307" s="829"/>
      <c r="Z307" s="852"/>
      <c r="AA307" s="851"/>
      <c r="AB307" s="787"/>
      <c r="AC307" s="829"/>
      <c r="AD307" s="852"/>
      <c r="AE307" s="851"/>
      <c r="AF307" s="787"/>
      <c r="AG307" s="355">
        <v>1140</v>
      </c>
      <c r="AL307" s="123"/>
    </row>
    <row r="308" spans="2:38" x14ac:dyDescent="0.4">
      <c r="B308" s="356">
        <v>1145</v>
      </c>
      <c r="C308" s="851"/>
      <c r="D308" s="787"/>
      <c r="E308" s="829"/>
      <c r="F308" s="852"/>
      <c r="G308" s="851"/>
      <c r="H308" s="787"/>
      <c r="I308" s="829"/>
      <c r="J308" s="852"/>
      <c r="K308" s="851"/>
      <c r="L308" s="787"/>
      <c r="M308" s="829"/>
      <c r="N308" s="852"/>
      <c r="O308" s="851"/>
      <c r="P308" s="787"/>
      <c r="Q308" s="829"/>
      <c r="R308" s="852"/>
      <c r="S308" s="851"/>
      <c r="T308" s="787"/>
      <c r="U308" s="829"/>
      <c r="V308" s="852"/>
      <c r="W308" s="851"/>
      <c r="X308" s="787"/>
      <c r="Y308" s="829"/>
      <c r="Z308" s="852"/>
      <c r="AA308" s="851"/>
      <c r="AB308" s="787"/>
      <c r="AC308" s="829"/>
      <c r="AD308" s="852"/>
      <c r="AE308" s="851"/>
      <c r="AF308" s="787"/>
      <c r="AG308" s="355">
        <v>1145</v>
      </c>
      <c r="AL308" s="123"/>
    </row>
    <row r="309" spans="2:38" x14ac:dyDescent="0.4">
      <c r="B309" s="356">
        <v>1150</v>
      </c>
      <c r="C309" s="851"/>
      <c r="D309" s="787"/>
      <c r="E309" s="829"/>
      <c r="F309" s="852"/>
      <c r="G309" s="851"/>
      <c r="H309" s="787"/>
      <c r="I309" s="829"/>
      <c r="J309" s="852"/>
      <c r="K309" s="851"/>
      <c r="L309" s="787"/>
      <c r="M309" s="829"/>
      <c r="N309" s="852"/>
      <c r="O309" s="851"/>
      <c r="P309" s="787"/>
      <c r="Q309" s="829"/>
      <c r="R309" s="852"/>
      <c r="S309" s="851"/>
      <c r="T309" s="787"/>
      <c r="U309" s="829"/>
      <c r="V309" s="852"/>
      <c r="W309" s="851"/>
      <c r="X309" s="787"/>
      <c r="Y309" s="829"/>
      <c r="Z309" s="852"/>
      <c r="AA309" s="851"/>
      <c r="AB309" s="787"/>
      <c r="AC309" s="829"/>
      <c r="AD309" s="852"/>
      <c r="AE309" s="851"/>
      <c r="AF309" s="787"/>
      <c r="AG309" s="355">
        <v>1150</v>
      </c>
      <c r="AL309" s="123"/>
    </row>
    <row r="310" spans="2:38" x14ac:dyDescent="0.4">
      <c r="B310" s="356">
        <v>1155</v>
      </c>
      <c r="C310" s="851"/>
      <c r="D310" s="787"/>
      <c r="E310" s="829"/>
      <c r="F310" s="852"/>
      <c r="G310" s="851"/>
      <c r="H310" s="787"/>
      <c r="I310" s="829"/>
      <c r="J310" s="852"/>
      <c r="K310" s="851"/>
      <c r="L310" s="787"/>
      <c r="M310" s="829"/>
      <c r="N310" s="852"/>
      <c r="O310" s="851"/>
      <c r="P310" s="787"/>
      <c r="Q310" s="829"/>
      <c r="R310" s="852"/>
      <c r="S310" s="851"/>
      <c r="T310" s="787"/>
      <c r="U310" s="829"/>
      <c r="V310" s="852"/>
      <c r="W310" s="851"/>
      <c r="X310" s="787"/>
      <c r="Y310" s="829"/>
      <c r="Z310" s="852"/>
      <c r="AA310" s="851"/>
      <c r="AB310" s="787"/>
      <c r="AC310" s="829"/>
      <c r="AD310" s="852"/>
      <c r="AE310" s="851"/>
      <c r="AF310" s="787"/>
      <c r="AG310" s="355">
        <v>1155</v>
      </c>
      <c r="AL310" s="123"/>
    </row>
    <row r="311" spans="2:38" x14ac:dyDescent="0.4">
      <c r="B311" s="356">
        <v>1160</v>
      </c>
      <c r="C311" s="851"/>
      <c r="D311" s="787"/>
      <c r="E311" s="829"/>
      <c r="F311" s="852"/>
      <c r="G311" s="851"/>
      <c r="H311" s="787"/>
      <c r="I311" s="829"/>
      <c r="J311" s="852"/>
      <c r="K311" s="851"/>
      <c r="L311" s="787"/>
      <c r="M311" s="829"/>
      <c r="N311" s="852"/>
      <c r="O311" s="851"/>
      <c r="P311" s="787"/>
      <c r="Q311" s="829"/>
      <c r="R311" s="852"/>
      <c r="S311" s="851"/>
      <c r="T311" s="787"/>
      <c r="U311" s="829"/>
      <c r="V311" s="852"/>
      <c r="W311" s="851"/>
      <c r="X311" s="787"/>
      <c r="Y311" s="829"/>
      <c r="Z311" s="852"/>
      <c r="AA311" s="851"/>
      <c r="AB311" s="787"/>
      <c r="AC311" s="829"/>
      <c r="AD311" s="852"/>
      <c r="AE311" s="851"/>
      <c r="AF311" s="787"/>
      <c r="AG311" s="355">
        <v>1160</v>
      </c>
      <c r="AL311" s="123"/>
    </row>
    <row r="312" spans="2:38" x14ac:dyDescent="0.4">
      <c r="B312" s="356">
        <v>1165</v>
      </c>
      <c r="C312" s="851"/>
      <c r="D312" s="787"/>
      <c r="E312" s="829"/>
      <c r="F312" s="852"/>
      <c r="G312" s="851"/>
      <c r="H312" s="787"/>
      <c r="I312" s="829"/>
      <c r="J312" s="852"/>
      <c r="K312" s="851"/>
      <c r="L312" s="787"/>
      <c r="M312" s="829"/>
      <c r="N312" s="852"/>
      <c r="O312" s="851"/>
      <c r="P312" s="787"/>
      <c r="Q312" s="829"/>
      <c r="R312" s="852"/>
      <c r="S312" s="851"/>
      <c r="T312" s="787"/>
      <c r="U312" s="829"/>
      <c r="V312" s="852"/>
      <c r="W312" s="851"/>
      <c r="X312" s="787"/>
      <c r="Y312" s="829"/>
      <c r="Z312" s="852"/>
      <c r="AA312" s="851"/>
      <c r="AB312" s="787"/>
      <c r="AC312" s="829"/>
      <c r="AD312" s="852"/>
      <c r="AE312" s="851"/>
      <c r="AF312" s="787"/>
      <c r="AG312" s="355">
        <v>1165</v>
      </c>
      <c r="AL312" s="123"/>
    </row>
    <row r="313" spans="2:38" x14ac:dyDescent="0.4">
      <c r="B313" s="356">
        <v>1170</v>
      </c>
      <c r="C313" s="851"/>
      <c r="D313" s="787"/>
      <c r="E313" s="829"/>
      <c r="F313" s="852"/>
      <c r="G313" s="851"/>
      <c r="H313" s="787"/>
      <c r="I313" s="829"/>
      <c r="J313" s="852"/>
      <c r="K313" s="851"/>
      <c r="L313" s="787"/>
      <c r="M313" s="829"/>
      <c r="N313" s="852"/>
      <c r="O313" s="851"/>
      <c r="P313" s="787"/>
      <c r="Q313" s="829"/>
      <c r="R313" s="852"/>
      <c r="S313" s="851"/>
      <c r="T313" s="787"/>
      <c r="U313" s="829"/>
      <c r="V313" s="852"/>
      <c r="W313" s="851"/>
      <c r="X313" s="787"/>
      <c r="Y313" s="829"/>
      <c r="Z313" s="852"/>
      <c r="AA313" s="851"/>
      <c r="AB313" s="787"/>
      <c r="AC313" s="829"/>
      <c r="AD313" s="852"/>
      <c r="AE313" s="851"/>
      <c r="AF313" s="787"/>
      <c r="AG313" s="355">
        <v>1170</v>
      </c>
      <c r="AL313" s="123"/>
    </row>
    <row r="314" spans="2:38" x14ac:dyDescent="0.4">
      <c r="B314" s="356">
        <v>1175</v>
      </c>
      <c r="C314" s="851"/>
      <c r="D314" s="787"/>
      <c r="E314" s="829"/>
      <c r="F314" s="852"/>
      <c r="G314" s="851"/>
      <c r="H314" s="787"/>
      <c r="I314" s="829"/>
      <c r="J314" s="852"/>
      <c r="K314" s="851"/>
      <c r="L314" s="787"/>
      <c r="M314" s="829"/>
      <c r="N314" s="852"/>
      <c r="O314" s="851"/>
      <c r="P314" s="787"/>
      <c r="Q314" s="829"/>
      <c r="R314" s="852"/>
      <c r="S314" s="851"/>
      <c r="T314" s="787"/>
      <c r="U314" s="829"/>
      <c r="V314" s="852"/>
      <c r="W314" s="851"/>
      <c r="X314" s="787"/>
      <c r="Y314" s="829"/>
      <c r="Z314" s="852"/>
      <c r="AA314" s="851"/>
      <c r="AB314" s="787"/>
      <c r="AC314" s="829"/>
      <c r="AD314" s="852"/>
      <c r="AE314" s="851"/>
      <c r="AF314" s="787"/>
      <c r="AG314" s="355">
        <v>1175</v>
      </c>
      <c r="AL314" s="123"/>
    </row>
    <row r="315" spans="2:38" x14ac:dyDescent="0.4">
      <c r="B315" s="356">
        <v>1180</v>
      </c>
      <c r="C315" s="851"/>
      <c r="D315" s="787"/>
      <c r="E315" s="829"/>
      <c r="F315" s="852"/>
      <c r="G315" s="851"/>
      <c r="H315" s="787"/>
      <c r="I315" s="829"/>
      <c r="J315" s="852"/>
      <c r="K315" s="851"/>
      <c r="L315" s="787"/>
      <c r="M315" s="829"/>
      <c r="N315" s="852"/>
      <c r="O315" s="851"/>
      <c r="P315" s="787"/>
      <c r="Q315" s="829"/>
      <c r="R315" s="852"/>
      <c r="S315" s="851"/>
      <c r="T315" s="787"/>
      <c r="U315" s="829"/>
      <c r="V315" s="852"/>
      <c r="W315" s="851"/>
      <c r="X315" s="787"/>
      <c r="Y315" s="829"/>
      <c r="Z315" s="852"/>
      <c r="AA315" s="851"/>
      <c r="AB315" s="787"/>
      <c r="AC315" s="829"/>
      <c r="AD315" s="852"/>
      <c r="AE315" s="851"/>
      <c r="AF315" s="787"/>
      <c r="AG315" s="355">
        <v>1180</v>
      </c>
      <c r="AL315" s="123"/>
    </row>
    <row r="316" spans="2:38" x14ac:dyDescent="0.4">
      <c r="B316" s="356">
        <v>1185</v>
      </c>
      <c r="C316" s="851"/>
      <c r="D316" s="787"/>
      <c r="E316" s="829"/>
      <c r="F316" s="852"/>
      <c r="G316" s="851"/>
      <c r="H316" s="787"/>
      <c r="I316" s="829"/>
      <c r="J316" s="852"/>
      <c r="K316" s="851"/>
      <c r="L316" s="787"/>
      <c r="M316" s="829"/>
      <c r="N316" s="852"/>
      <c r="O316" s="851"/>
      <c r="P316" s="787"/>
      <c r="Q316" s="829"/>
      <c r="R316" s="852"/>
      <c r="S316" s="851"/>
      <c r="T316" s="787"/>
      <c r="U316" s="829"/>
      <c r="V316" s="852"/>
      <c r="W316" s="851"/>
      <c r="X316" s="787"/>
      <c r="Y316" s="829"/>
      <c r="Z316" s="852"/>
      <c r="AA316" s="851"/>
      <c r="AB316" s="787"/>
      <c r="AC316" s="829"/>
      <c r="AD316" s="852"/>
      <c r="AE316" s="851"/>
      <c r="AF316" s="787"/>
      <c r="AG316" s="355">
        <v>1185</v>
      </c>
      <c r="AL316" s="123"/>
    </row>
    <row r="317" spans="2:38" x14ac:dyDescent="0.4">
      <c r="B317" s="356">
        <v>1190</v>
      </c>
      <c r="C317" s="851"/>
      <c r="D317" s="787"/>
      <c r="E317" s="829"/>
      <c r="F317" s="852"/>
      <c r="G317" s="851"/>
      <c r="H317" s="787"/>
      <c r="I317" s="829"/>
      <c r="J317" s="852"/>
      <c r="K317" s="851"/>
      <c r="L317" s="787"/>
      <c r="M317" s="829"/>
      <c r="N317" s="852"/>
      <c r="O317" s="851"/>
      <c r="P317" s="787"/>
      <c r="Q317" s="829"/>
      <c r="R317" s="852"/>
      <c r="S317" s="851"/>
      <c r="T317" s="787"/>
      <c r="U317" s="829"/>
      <c r="V317" s="852"/>
      <c r="W317" s="851"/>
      <c r="X317" s="787"/>
      <c r="Y317" s="829"/>
      <c r="Z317" s="852"/>
      <c r="AA317" s="851"/>
      <c r="AB317" s="787"/>
      <c r="AC317" s="829"/>
      <c r="AD317" s="852"/>
      <c r="AE317" s="851"/>
      <c r="AF317" s="787"/>
      <c r="AG317" s="355">
        <v>1190</v>
      </c>
      <c r="AL317" s="123"/>
    </row>
    <row r="318" spans="2:38" x14ac:dyDescent="0.4">
      <c r="B318" s="356">
        <v>1195</v>
      </c>
      <c r="C318" s="851"/>
      <c r="D318" s="787"/>
      <c r="E318" s="829"/>
      <c r="F318" s="852"/>
      <c r="G318" s="851"/>
      <c r="H318" s="787"/>
      <c r="I318" s="829"/>
      <c r="J318" s="852"/>
      <c r="K318" s="851"/>
      <c r="L318" s="787"/>
      <c r="M318" s="829"/>
      <c r="N318" s="852"/>
      <c r="O318" s="851"/>
      <c r="P318" s="787"/>
      <c r="Q318" s="829"/>
      <c r="R318" s="852"/>
      <c r="S318" s="851"/>
      <c r="T318" s="787"/>
      <c r="U318" s="829"/>
      <c r="V318" s="852"/>
      <c r="W318" s="851"/>
      <c r="X318" s="787"/>
      <c r="Y318" s="829"/>
      <c r="Z318" s="852"/>
      <c r="AA318" s="851"/>
      <c r="AB318" s="787"/>
      <c r="AC318" s="829"/>
      <c r="AD318" s="852"/>
      <c r="AE318" s="851"/>
      <c r="AF318" s="787"/>
      <c r="AG318" s="355">
        <v>1195</v>
      </c>
      <c r="AL318" s="123"/>
    </row>
    <row r="319" spans="2:38" x14ac:dyDescent="0.4">
      <c r="B319" s="356">
        <v>1200</v>
      </c>
      <c r="C319" s="851"/>
      <c r="D319" s="787"/>
      <c r="E319" s="829"/>
      <c r="F319" s="852"/>
      <c r="G319" s="851"/>
      <c r="H319" s="787"/>
      <c r="I319" s="829"/>
      <c r="J319" s="852"/>
      <c r="K319" s="851"/>
      <c r="L319" s="787"/>
      <c r="M319" s="829"/>
      <c r="N319" s="852"/>
      <c r="O319" s="851"/>
      <c r="P319" s="787"/>
      <c r="Q319" s="829"/>
      <c r="R319" s="852"/>
      <c r="S319" s="851"/>
      <c r="T319" s="787"/>
      <c r="U319" s="829"/>
      <c r="V319" s="852"/>
      <c r="W319" s="851"/>
      <c r="X319" s="787"/>
      <c r="Y319" s="829"/>
      <c r="Z319" s="852"/>
      <c r="AA319" s="851"/>
      <c r="AB319" s="787"/>
      <c r="AC319" s="829"/>
      <c r="AD319" s="852"/>
      <c r="AE319" s="851"/>
      <c r="AF319" s="787"/>
      <c r="AG319" s="355">
        <v>1200</v>
      </c>
      <c r="AL319" s="123"/>
    </row>
    <row r="320" spans="2:38" x14ac:dyDescent="0.4">
      <c r="B320" s="356">
        <v>1205</v>
      </c>
      <c r="C320" s="851"/>
      <c r="D320" s="787"/>
      <c r="E320" s="829"/>
      <c r="F320" s="852"/>
      <c r="G320" s="851"/>
      <c r="H320" s="787"/>
      <c r="I320" s="829"/>
      <c r="J320" s="852"/>
      <c r="K320" s="851"/>
      <c r="L320" s="787"/>
      <c r="M320" s="829"/>
      <c r="N320" s="852"/>
      <c r="O320" s="851"/>
      <c r="P320" s="787"/>
      <c r="Q320" s="829"/>
      <c r="R320" s="852"/>
      <c r="S320" s="851"/>
      <c r="T320" s="787"/>
      <c r="U320" s="829"/>
      <c r="V320" s="852"/>
      <c r="W320" s="851"/>
      <c r="X320" s="787"/>
      <c r="Y320" s="829"/>
      <c r="Z320" s="852"/>
      <c r="AA320" s="851"/>
      <c r="AB320" s="787"/>
      <c r="AC320" s="829"/>
      <c r="AD320" s="852"/>
      <c r="AE320" s="851"/>
      <c r="AF320" s="787"/>
      <c r="AG320" s="355">
        <v>1205</v>
      </c>
      <c r="AL320" s="123"/>
    </row>
    <row r="321" spans="2:38" x14ac:dyDescent="0.4">
      <c r="B321" s="356">
        <v>1210</v>
      </c>
      <c r="C321" s="851"/>
      <c r="D321" s="787"/>
      <c r="E321" s="829"/>
      <c r="F321" s="852"/>
      <c r="G321" s="851"/>
      <c r="H321" s="787"/>
      <c r="I321" s="829"/>
      <c r="J321" s="852"/>
      <c r="K321" s="851"/>
      <c r="L321" s="787"/>
      <c r="M321" s="829"/>
      <c r="N321" s="852"/>
      <c r="O321" s="851"/>
      <c r="P321" s="787"/>
      <c r="Q321" s="829"/>
      <c r="R321" s="852"/>
      <c r="S321" s="851"/>
      <c r="T321" s="787"/>
      <c r="U321" s="829"/>
      <c r="V321" s="852"/>
      <c r="W321" s="851"/>
      <c r="X321" s="787"/>
      <c r="Y321" s="829"/>
      <c r="Z321" s="852"/>
      <c r="AA321" s="851"/>
      <c r="AB321" s="787"/>
      <c r="AC321" s="829"/>
      <c r="AD321" s="852"/>
      <c r="AE321" s="851"/>
      <c r="AF321" s="787"/>
      <c r="AG321" s="355">
        <v>1210</v>
      </c>
      <c r="AL321" s="123"/>
    </row>
    <row r="322" spans="2:38" x14ac:dyDescent="0.4">
      <c r="B322" s="356">
        <v>1215</v>
      </c>
      <c r="C322" s="851"/>
      <c r="D322" s="787"/>
      <c r="E322" s="829"/>
      <c r="F322" s="852"/>
      <c r="G322" s="851"/>
      <c r="H322" s="787"/>
      <c r="I322" s="829"/>
      <c r="J322" s="852"/>
      <c r="K322" s="851"/>
      <c r="L322" s="787"/>
      <c r="M322" s="829"/>
      <c r="N322" s="852"/>
      <c r="O322" s="851"/>
      <c r="P322" s="787"/>
      <c r="Q322" s="829"/>
      <c r="R322" s="852"/>
      <c r="S322" s="851"/>
      <c r="T322" s="787"/>
      <c r="U322" s="829"/>
      <c r="V322" s="852"/>
      <c r="W322" s="851"/>
      <c r="X322" s="787"/>
      <c r="Y322" s="829"/>
      <c r="Z322" s="852"/>
      <c r="AA322" s="851"/>
      <c r="AB322" s="787"/>
      <c r="AC322" s="829"/>
      <c r="AD322" s="852"/>
      <c r="AE322" s="851"/>
      <c r="AF322" s="787"/>
      <c r="AG322" s="355">
        <v>1215</v>
      </c>
      <c r="AL322" s="123"/>
    </row>
    <row r="323" spans="2:38" x14ac:dyDescent="0.4">
      <c r="B323" s="356">
        <v>1220</v>
      </c>
      <c r="C323" s="851"/>
      <c r="D323" s="787"/>
      <c r="E323" s="829"/>
      <c r="F323" s="852"/>
      <c r="G323" s="851"/>
      <c r="H323" s="787"/>
      <c r="I323" s="829"/>
      <c r="J323" s="852"/>
      <c r="K323" s="851"/>
      <c r="L323" s="787"/>
      <c r="M323" s="829"/>
      <c r="N323" s="852"/>
      <c r="O323" s="851"/>
      <c r="P323" s="787"/>
      <c r="Q323" s="829"/>
      <c r="R323" s="852"/>
      <c r="S323" s="851"/>
      <c r="T323" s="787"/>
      <c r="U323" s="829"/>
      <c r="V323" s="852"/>
      <c r="W323" s="851"/>
      <c r="X323" s="787"/>
      <c r="Y323" s="829"/>
      <c r="Z323" s="852"/>
      <c r="AA323" s="851"/>
      <c r="AB323" s="787"/>
      <c r="AC323" s="829"/>
      <c r="AD323" s="852"/>
      <c r="AE323" s="851"/>
      <c r="AF323" s="787"/>
      <c r="AG323" s="355">
        <v>1220</v>
      </c>
      <c r="AL323" s="123"/>
    </row>
    <row r="324" spans="2:38" x14ac:dyDescent="0.4">
      <c r="B324" s="356">
        <v>1225</v>
      </c>
      <c r="C324" s="851"/>
      <c r="D324" s="787"/>
      <c r="E324" s="829"/>
      <c r="F324" s="852"/>
      <c r="G324" s="851"/>
      <c r="H324" s="787"/>
      <c r="I324" s="829"/>
      <c r="J324" s="852"/>
      <c r="K324" s="851"/>
      <c r="L324" s="787"/>
      <c r="M324" s="829"/>
      <c r="N324" s="852"/>
      <c r="O324" s="851"/>
      <c r="P324" s="787"/>
      <c r="Q324" s="829"/>
      <c r="R324" s="852"/>
      <c r="S324" s="851"/>
      <c r="T324" s="787"/>
      <c r="U324" s="829"/>
      <c r="V324" s="852"/>
      <c r="W324" s="851"/>
      <c r="X324" s="787"/>
      <c r="Y324" s="829"/>
      <c r="Z324" s="852"/>
      <c r="AA324" s="851"/>
      <c r="AB324" s="787"/>
      <c r="AC324" s="829"/>
      <c r="AD324" s="852"/>
      <c r="AE324" s="851"/>
      <c r="AF324" s="787"/>
      <c r="AG324" s="355">
        <v>1225</v>
      </c>
      <c r="AL324" s="123"/>
    </row>
    <row r="325" spans="2:38" x14ac:dyDescent="0.4">
      <c r="B325" s="356">
        <v>1230</v>
      </c>
      <c r="C325" s="851"/>
      <c r="D325" s="787"/>
      <c r="E325" s="829"/>
      <c r="F325" s="852"/>
      <c r="G325" s="851"/>
      <c r="H325" s="787"/>
      <c r="I325" s="829"/>
      <c r="J325" s="852"/>
      <c r="K325" s="851"/>
      <c r="L325" s="787"/>
      <c r="M325" s="829"/>
      <c r="N325" s="852"/>
      <c r="O325" s="851"/>
      <c r="P325" s="787"/>
      <c r="Q325" s="829"/>
      <c r="R325" s="852"/>
      <c r="S325" s="851"/>
      <c r="T325" s="787"/>
      <c r="U325" s="829"/>
      <c r="V325" s="852"/>
      <c r="W325" s="851"/>
      <c r="X325" s="787"/>
      <c r="Y325" s="829"/>
      <c r="Z325" s="852"/>
      <c r="AA325" s="851"/>
      <c r="AB325" s="787"/>
      <c r="AC325" s="829"/>
      <c r="AD325" s="852"/>
      <c r="AE325" s="851"/>
      <c r="AF325" s="787"/>
      <c r="AG325" s="355">
        <v>1230</v>
      </c>
      <c r="AL325" s="123"/>
    </row>
    <row r="326" spans="2:38" x14ac:dyDescent="0.4">
      <c r="B326" s="356">
        <v>1235</v>
      </c>
      <c r="C326" s="851"/>
      <c r="D326" s="787"/>
      <c r="E326" s="829"/>
      <c r="F326" s="852"/>
      <c r="G326" s="851"/>
      <c r="H326" s="787"/>
      <c r="I326" s="829"/>
      <c r="J326" s="852"/>
      <c r="K326" s="851"/>
      <c r="L326" s="787"/>
      <c r="M326" s="829"/>
      <c r="N326" s="852"/>
      <c r="O326" s="851"/>
      <c r="P326" s="787"/>
      <c r="Q326" s="829"/>
      <c r="R326" s="852"/>
      <c r="S326" s="851"/>
      <c r="T326" s="787"/>
      <c r="U326" s="829"/>
      <c r="V326" s="852"/>
      <c r="W326" s="851"/>
      <c r="X326" s="787"/>
      <c r="Y326" s="829"/>
      <c r="Z326" s="852"/>
      <c r="AA326" s="851"/>
      <c r="AB326" s="787"/>
      <c r="AC326" s="829"/>
      <c r="AD326" s="852"/>
      <c r="AE326" s="851"/>
      <c r="AF326" s="787"/>
      <c r="AG326" s="355">
        <v>1235</v>
      </c>
      <c r="AL326" s="123"/>
    </row>
    <row r="327" spans="2:38" x14ac:dyDescent="0.4">
      <c r="B327" s="356">
        <v>1240</v>
      </c>
      <c r="C327" s="851"/>
      <c r="D327" s="787"/>
      <c r="E327" s="829"/>
      <c r="F327" s="852"/>
      <c r="G327" s="851"/>
      <c r="H327" s="787"/>
      <c r="I327" s="829"/>
      <c r="J327" s="852"/>
      <c r="K327" s="851"/>
      <c r="L327" s="787"/>
      <c r="M327" s="829"/>
      <c r="N327" s="852"/>
      <c r="O327" s="851"/>
      <c r="P327" s="787"/>
      <c r="Q327" s="829"/>
      <c r="R327" s="852"/>
      <c r="S327" s="851"/>
      <c r="T327" s="787"/>
      <c r="U327" s="829"/>
      <c r="V327" s="852"/>
      <c r="W327" s="851"/>
      <c r="X327" s="787"/>
      <c r="Y327" s="829"/>
      <c r="Z327" s="852"/>
      <c r="AA327" s="851"/>
      <c r="AB327" s="787"/>
      <c r="AC327" s="829"/>
      <c r="AD327" s="852"/>
      <c r="AE327" s="851"/>
      <c r="AF327" s="787"/>
      <c r="AG327" s="355">
        <v>1240</v>
      </c>
      <c r="AL327" s="123"/>
    </row>
    <row r="328" spans="2:38" x14ac:dyDescent="0.4">
      <c r="B328" s="356">
        <v>1245</v>
      </c>
      <c r="C328" s="851"/>
      <c r="D328" s="787"/>
      <c r="E328" s="829"/>
      <c r="F328" s="852"/>
      <c r="G328" s="851"/>
      <c r="H328" s="787"/>
      <c r="I328" s="829"/>
      <c r="J328" s="852"/>
      <c r="K328" s="851"/>
      <c r="L328" s="787"/>
      <c r="M328" s="829"/>
      <c r="N328" s="852"/>
      <c r="O328" s="851"/>
      <c r="P328" s="787"/>
      <c r="Q328" s="829"/>
      <c r="R328" s="852"/>
      <c r="S328" s="851"/>
      <c r="T328" s="787"/>
      <c r="U328" s="829"/>
      <c r="V328" s="852"/>
      <c r="W328" s="851"/>
      <c r="X328" s="787"/>
      <c r="Y328" s="829"/>
      <c r="Z328" s="852"/>
      <c r="AA328" s="851"/>
      <c r="AB328" s="787"/>
      <c r="AC328" s="829"/>
      <c r="AD328" s="852"/>
      <c r="AE328" s="851"/>
      <c r="AF328" s="787"/>
      <c r="AG328" s="355">
        <v>1245</v>
      </c>
      <c r="AL328" s="123"/>
    </row>
    <row r="329" spans="2:38" x14ac:dyDescent="0.4">
      <c r="B329" s="356">
        <v>1250</v>
      </c>
      <c r="C329" s="851"/>
      <c r="D329" s="787"/>
      <c r="E329" s="829"/>
      <c r="F329" s="852"/>
      <c r="G329" s="851"/>
      <c r="H329" s="787"/>
      <c r="I329" s="829"/>
      <c r="J329" s="852"/>
      <c r="K329" s="851"/>
      <c r="L329" s="787"/>
      <c r="M329" s="829"/>
      <c r="N329" s="852"/>
      <c r="O329" s="851"/>
      <c r="P329" s="787"/>
      <c r="Q329" s="829"/>
      <c r="R329" s="852"/>
      <c r="S329" s="851"/>
      <c r="T329" s="787"/>
      <c r="U329" s="829"/>
      <c r="V329" s="852"/>
      <c r="W329" s="851"/>
      <c r="X329" s="787"/>
      <c r="Y329" s="829"/>
      <c r="Z329" s="852"/>
      <c r="AA329" s="851"/>
      <c r="AB329" s="787"/>
      <c r="AC329" s="829"/>
      <c r="AD329" s="852"/>
      <c r="AE329" s="851"/>
      <c r="AF329" s="787"/>
      <c r="AG329" s="355">
        <v>1250</v>
      </c>
      <c r="AL329" s="123"/>
    </row>
    <row r="330" spans="2:38" x14ac:dyDescent="0.4">
      <c r="B330" s="356">
        <v>1255</v>
      </c>
      <c r="C330" s="851"/>
      <c r="D330" s="787"/>
      <c r="E330" s="829"/>
      <c r="F330" s="852"/>
      <c r="G330" s="851"/>
      <c r="H330" s="787"/>
      <c r="I330" s="829"/>
      <c r="J330" s="852"/>
      <c r="K330" s="851"/>
      <c r="L330" s="787"/>
      <c r="M330" s="829"/>
      <c r="N330" s="852"/>
      <c r="O330" s="851"/>
      <c r="P330" s="787"/>
      <c r="Q330" s="829"/>
      <c r="R330" s="852"/>
      <c r="S330" s="851"/>
      <c r="T330" s="787"/>
      <c r="U330" s="829"/>
      <c r="V330" s="852"/>
      <c r="W330" s="851"/>
      <c r="X330" s="787"/>
      <c r="Y330" s="829"/>
      <c r="Z330" s="852"/>
      <c r="AA330" s="851"/>
      <c r="AB330" s="787"/>
      <c r="AC330" s="829"/>
      <c r="AD330" s="852"/>
      <c r="AE330" s="851"/>
      <c r="AF330" s="787"/>
      <c r="AG330" s="355">
        <v>1255</v>
      </c>
      <c r="AL330" s="123"/>
    </row>
    <row r="331" spans="2:38" x14ac:dyDescent="0.4">
      <c r="B331" s="356">
        <v>1260</v>
      </c>
      <c r="C331" s="851"/>
      <c r="D331" s="787"/>
      <c r="E331" s="829"/>
      <c r="F331" s="852"/>
      <c r="G331" s="851"/>
      <c r="H331" s="787"/>
      <c r="I331" s="829"/>
      <c r="J331" s="852"/>
      <c r="K331" s="851"/>
      <c r="L331" s="787"/>
      <c r="M331" s="829"/>
      <c r="N331" s="852"/>
      <c r="O331" s="851"/>
      <c r="P331" s="787"/>
      <c r="Q331" s="829"/>
      <c r="R331" s="852"/>
      <c r="S331" s="851"/>
      <c r="T331" s="787"/>
      <c r="U331" s="829"/>
      <c r="V331" s="852"/>
      <c r="W331" s="851"/>
      <c r="X331" s="787"/>
      <c r="Y331" s="829"/>
      <c r="Z331" s="852"/>
      <c r="AA331" s="851"/>
      <c r="AB331" s="787"/>
      <c r="AC331" s="829"/>
      <c r="AD331" s="852"/>
      <c r="AE331" s="851"/>
      <c r="AF331" s="787"/>
      <c r="AG331" s="355">
        <v>1260</v>
      </c>
      <c r="AL331" s="123"/>
    </row>
    <row r="332" spans="2:38" x14ac:dyDescent="0.4">
      <c r="B332" s="356">
        <v>1265</v>
      </c>
      <c r="C332" s="851"/>
      <c r="D332" s="787"/>
      <c r="E332" s="829"/>
      <c r="F332" s="852"/>
      <c r="G332" s="851"/>
      <c r="H332" s="787"/>
      <c r="I332" s="829"/>
      <c r="J332" s="852"/>
      <c r="K332" s="851"/>
      <c r="L332" s="787"/>
      <c r="M332" s="829"/>
      <c r="N332" s="852"/>
      <c r="O332" s="851"/>
      <c r="P332" s="787"/>
      <c r="Q332" s="829"/>
      <c r="R332" s="852"/>
      <c r="S332" s="851"/>
      <c r="T332" s="787"/>
      <c r="U332" s="829"/>
      <c r="V332" s="852"/>
      <c r="W332" s="851"/>
      <c r="X332" s="787"/>
      <c r="Y332" s="829"/>
      <c r="Z332" s="852"/>
      <c r="AA332" s="851"/>
      <c r="AB332" s="787"/>
      <c r="AC332" s="829"/>
      <c r="AD332" s="852"/>
      <c r="AE332" s="851"/>
      <c r="AF332" s="787"/>
      <c r="AG332" s="355">
        <v>1265</v>
      </c>
      <c r="AL332" s="123"/>
    </row>
    <row r="333" spans="2:38" x14ac:dyDescent="0.4">
      <c r="B333" s="356">
        <v>1270</v>
      </c>
      <c r="C333" s="851"/>
      <c r="D333" s="787"/>
      <c r="E333" s="829"/>
      <c r="F333" s="852"/>
      <c r="G333" s="851"/>
      <c r="H333" s="787"/>
      <c r="I333" s="829"/>
      <c r="J333" s="852"/>
      <c r="K333" s="851"/>
      <c r="L333" s="787"/>
      <c r="M333" s="829"/>
      <c r="N333" s="852"/>
      <c r="O333" s="851"/>
      <c r="P333" s="787"/>
      <c r="Q333" s="829"/>
      <c r="R333" s="852"/>
      <c r="S333" s="851"/>
      <c r="T333" s="787"/>
      <c r="U333" s="829"/>
      <c r="V333" s="852"/>
      <c r="W333" s="851"/>
      <c r="X333" s="787"/>
      <c r="Y333" s="829"/>
      <c r="Z333" s="852"/>
      <c r="AA333" s="851"/>
      <c r="AB333" s="787"/>
      <c r="AC333" s="829"/>
      <c r="AD333" s="852"/>
      <c r="AE333" s="851"/>
      <c r="AF333" s="787"/>
      <c r="AG333" s="355">
        <v>1270</v>
      </c>
      <c r="AL333" s="123"/>
    </row>
    <row r="334" spans="2:38" x14ac:dyDescent="0.4">
      <c r="B334" s="356">
        <v>1275</v>
      </c>
      <c r="C334" s="851"/>
      <c r="D334" s="787"/>
      <c r="E334" s="829"/>
      <c r="F334" s="852"/>
      <c r="G334" s="851"/>
      <c r="H334" s="787"/>
      <c r="I334" s="829"/>
      <c r="J334" s="852"/>
      <c r="K334" s="851"/>
      <c r="L334" s="787"/>
      <c r="M334" s="829"/>
      <c r="N334" s="852"/>
      <c r="O334" s="851"/>
      <c r="P334" s="787"/>
      <c r="Q334" s="829"/>
      <c r="R334" s="852"/>
      <c r="S334" s="851"/>
      <c r="T334" s="787"/>
      <c r="U334" s="829"/>
      <c r="V334" s="852"/>
      <c r="W334" s="851"/>
      <c r="X334" s="787"/>
      <c r="Y334" s="829"/>
      <c r="Z334" s="852"/>
      <c r="AA334" s="851"/>
      <c r="AB334" s="787"/>
      <c r="AC334" s="829"/>
      <c r="AD334" s="852"/>
      <c r="AE334" s="851"/>
      <c r="AF334" s="787"/>
      <c r="AG334" s="355">
        <v>1275</v>
      </c>
      <c r="AL334" s="123"/>
    </row>
    <row r="335" spans="2:38" x14ac:dyDescent="0.4">
      <c r="B335" s="356">
        <v>1280</v>
      </c>
      <c r="C335" s="851"/>
      <c r="D335" s="787"/>
      <c r="E335" s="829"/>
      <c r="F335" s="852"/>
      <c r="G335" s="851"/>
      <c r="H335" s="787"/>
      <c r="I335" s="829"/>
      <c r="J335" s="852"/>
      <c r="K335" s="851"/>
      <c r="L335" s="787"/>
      <c r="M335" s="829"/>
      <c r="N335" s="852"/>
      <c r="O335" s="851"/>
      <c r="P335" s="787"/>
      <c r="Q335" s="829"/>
      <c r="R335" s="852"/>
      <c r="S335" s="851"/>
      <c r="T335" s="787"/>
      <c r="U335" s="829"/>
      <c r="V335" s="852"/>
      <c r="W335" s="851"/>
      <c r="X335" s="787"/>
      <c r="Y335" s="829"/>
      <c r="Z335" s="852"/>
      <c r="AA335" s="851"/>
      <c r="AB335" s="787"/>
      <c r="AC335" s="829"/>
      <c r="AD335" s="852"/>
      <c r="AE335" s="851"/>
      <c r="AF335" s="787"/>
      <c r="AG335" s="355">
        <v>1280</v>
      </c>
      <c r="AL335" s="123"/>
    </row>
    <row r="336" spans="2:38" x14ac:dyDescent="0.4">
      <c r="B336" s="356">
        <v>1285</v>
      </c>
      <c r="C336" s="851"/>
      <c r="D336" s="787"/>
      <c r="E336" s="829"/>
      <c r="F336" s="852"/>
      <c r="G336" s="851"/>
      <c r="H336" s="787"/>
      <c r="I336" s="829"/>
      <c r="J336" s="852"/>
      <c r="K336" s="851"/>
      <c r="L336" s="787"/>
      <c r="M336" s="829"/>
      <c r="N336" s="852"/>
      <c r="O336" s="851"/>
      <c r="P336" s="787"/>
      <c r="Q336" s="829"/>
      <c r="R336" s="852"/>
      <c r="S336" s="851"/>
      <c r="T336" s="787"/>
      <c r="U336" s="829"/>
      <c r="V336" s="852"/>
      <c r="W336" s="851"/>
      <c r="X336" s="787"/>
      <c r="Y336" s="829"/>
      <c r="Z336" s="852"/>
      <c r="AA336" s="851"/>
      <c r="AB336" s="787"/>
      <c r="AC336" s="829"/>
      <c r="AD336" s="852"/>
      <c r="AE336" s="851"/>
      <c r="AF336" s="787"/>
      <c r="AG336" s="355">
        <v>1285</v>
      </c>
      <c r="AL336" s="123"/>
    </row>
    <row r="337" spans="2:38" x14ac:dyDescent="0.4">
      <c r="B337" s="356">
        <v>1290</v>
      </c>
      <c r="C337" s="851"/>
      <c r="D337" s="787"/>
      <c r="E337" s="829"/>
      <c r="F337" s="852"/>
      <c r="G337" s="851"/>
      <c r="H337" s="787"/>
      <c r="I337" s="829"/>
      <c r="J337" s="852"/>
      <c r="K337" s="851"/>
      <c r="L337" s="787"/>
      <c r="M337" s="829"/>
      <c r="N337" s="852"/>
      <c r="O337" s="851"/>
      <c r="P337" s="787"/>
      <c r="Q337" s="829"/>
      <c r="R337" s="852"/>
      <c r="S337" s="851"/>
      <c r="T337" s="787"/>
      <c r="U337" s="829"/>
      <c r="V337" s="852"/>
      <c r="W337" s="851"/>
      <c r="X337" s="787"/>
      <c r="Y337" s="829"/>
      <c r="Z337" s="852"/>
      <c r="AA337" s="851"/>
      <c r="AB337" s="787"/>
      <c r="AC337" s="829"/>
      <c r="AD337" s="852"/>
      <c r="AE337" s="851"/>
      <c r="AF337" s="787"/>
      <c r="AG337" s="355">
        <v>1290</v>
      </c>
      <c r="AL337" s="123"/>
    </row>
    <row r="338" spans="2:38" x14ac:dyDescent="0.4">
      <c r="B338" s="356">
        <v>1295</v>
      </c>
      <c r="C338" s="851"/>
      <c r="D338" s="787"/>
      <c r="E338" s="829"/>
      <c r="F338" s="852"/>
      <c r="G338" s="851"/>
      <c r="H338" s="787"/>
      <c r="I338" s="829"/>
      <c r="J338" s="852"/>
      <c r="K338" s="851"/>
      <c r="L338" s="787"/>
      <c r="M338" s="829"/>
      <c r="N338" s="852"/>
      <c r="O338" s="851"/>
      <c r="P338" s="787"/>
      <c r="Q338" s="829"/>
      <c r="R338" s="852"/>
      <c r="S338" s="851"/>
      <c r="T338" s="787"/>
      <c r="U338" s="829"/>
      <c r="V338" s="852"/>
      <c r="W338" s="851"/>
      <c r="X338" s="787"/>
      <c r="Y338" s="829"/>
      <c r="Z338" s="852"/>
      <c r="AA338" s="851"/>
      <c r="AB338" s="787"/>
      <c r="AC338" s="829"/>
      <c r="AD338" s="852"/>
      <c r="AE338" s="851"/>
      <c r="AF338" s="787"/>
      <c r="AG338" s="355">
        <v>1295</v>
      </c>
      <c r="AL338" s="123"/>
    </row>
    <row r="339" spans="2:38" x14ac:dyDescent="0.4">
      <c r="B339" s="356">
        <v>1300</v>
      </c>
      <c r="C339" s="851"/>
      <c r="D339" s="787"/>
      <c r="E339" s="829"/>
      <c r="F339" s="852"/>
      <c r="G339" s="851"/>
      <c r="H339" s="787"/>
      <c r="I339" s="829"/>
      <c r="J339" s="852"/>
      <c r="K339" s="851"/>
      <c r="L339" s="787"/>
      <c r="M339" s="829"/>
      <c r="N339" s="852"/>
      <c r="O339" s="851"/>
      <c r="P339" s="787"/>
      <c r="Q339" s="829"/>
      <c r="R339" s="852"/>
      <c r="S339" s="851"/>
      <c r="T339" s="787"/>
      <c r="U339" s="829"/>
      <c r="V339" s="852"/>
      <c r="W339" s="851"/>
      <c r="X339" s="787"/>
      <c r="Y339" s="829"/>
      <c r="Z339" s="852"/>
      <c r="AA339" s="851"/>
      <c r="AB339" s="787"/>
      <c r="AC339" s="829"/>
      <c r="AD339" s="852"/>
      <c r="AE339" s="851"/>
      <c r="AF339" s="787"/>
      <c r="AG339" s="355">
        <v>1300</v>
      </c>
      <c r="AL339" s="123"/>
    </row>
    <row r="340" spans="2:38" x14ac:dyDescent="0.4">
      <c r="B340" s="356">
        <v>1305</v>
      </c>
      <c r="C340" s="851"/>
      <c r="D340" s="787"/>
      <c r="E340" s="829"/>
      <c r="F340" s="852"/>
      <c r="G340" s="851"/>
      <c r="H340" s="787"/>
      <c r="I340" s="829"/>
      <c r="J340" s="852"/>
      <c r="K340" s="851"/>
      <c r="L340" s="787"/>
      <c r="M340" s="829"/>
      <c r="N340" s="852"/>
      <c r="O340" s="851"/>
      <c r="P340" s="787"/>
      <c r="Q340" s="829"/>
      <c r="R340" s="852"/>
      <c r="S340" s="851"/>
      <c r="T340" s="787"/>
      <c r="U340" s="829"/>
      <c r="V340" s="852"/>
      <c r="W340" s="851"/>
      <c r="X340" s="787"/>
      <c r="Y340" s="829"/>
      <c r="Z340" s="852"/>
      <c r="AA340" s="851"/>
      <c r="AB340" s="787"/>
      <c r="AC340" s="829"/>
      <c r="AD340" s="852"/>
      <c r="AE340" s="851"/>
      <c r="AF340" s="787"/>
      <c r="AG340" s="355">
        <v>1305</v>
      </c>
      <c r="AL340" s="123"/>
    </row>
    <row r="341" spans="2:38" x14ac:dyDescent="0.4">
      <c r="B341" s="356">
        <v>1310</v>
      </c>
      <c r="C341" s="851"/>
      <c r="D341" s="787"/>
      <c r="E341" s="829"/>
      <c r="F341" s="852"/>
      <c r="G341" s="851"/>
      <c r="H341" s="787"/>
      <c r="I341" s="829"/>
      <c r="J341" s="852"/>
      <c r="K341" s="851"/>
      <c r="L341" s="787"/>
      <c r="M341" s="829"/>
      <c r="N341" s="852"/>
      <c r="O341" s="851"/>
      <c r="P341" s="787"/>
      <c r="Q341" s="829"/>
      <c r="R341" s="852"/>
      <c r="S341" s="851"/>
      <c r="T341" s="787"/>
      <c r="U341" s="829"/>
      <c r="V341" s="852"/>
      <c r="W341" s="851"/>
      <c r="X341" s="787"/>
      <c r="Y341" s="829"/>
      <c r="Z341" s="852"/>
      <c r="AA341" s="851"/>
      <c r="AB341" s="787"/>
      <c r="AC341" s="829"/>
      <c r="AD341" s="852"/>
      <c r="AE341" s="851"/>
      <c r="AF341" s="787"/>
      <c r="AG341" s="355">
        <v>1310</v>
      </c>
      <c r="AL341" s="123"/>
    </row>
    <row r="342" spans="2:38" x14ac:dyDescent="0.4">
      <c r="B342" s="356">
        <v>1315</v>
      </c>
      <c r="C342" s="851"/>
      <c r="D342" s="787"/>
      <c r="E342" s="829"/>
      <c r="F342" s="852"/>
      <c r="G342" s="851"/>
      <c r="H342" s="787"/>
      <c r="I342" s="829"/>
      <c r="J342" s="852"/>
      <c r="K342" s="851"/>
      <c r="L342" s="787"/>
      <c r="M342" s="829"/>
      <c r="N342" s="852"/>
      <c r="O342" s="851"/>
      <c r="P342" s="787"/>
      <c r="Q342" s="829"/>
      <c r="R342" s="852"/>
      <c r="S342" s="851"/>
      <c r="T342" s="787"/>
      <c r="U342" s="829"/>
      <c r="V342" s="852"/>
      <c r="W342" s="851"/>
      <c r="X342" s="787"/>
      <c r="Y342" s="829"/>
      <c r="Z342" s="852"/>
      <c r="AA342" s="851"/>
      <c r="AB342" s="787"/>
      <c r="AC342" s="829"/>
      <c r="AD342" s="852"/>
      <c r="AE342" s="851"/>
      <c r="AF342" s="787"/>
      <c r="AG342" s="355">
        <v>1315</v>
      </c>
      <c r="AL342" s="123"/>
    </row>
    <row r="343" spans="2:38" x14ac:dyDescent="0.4">
      <c r="B343" s="356">
        <v>1320</v>
      </c>
      <c r="C343" s="851"/>
      <c r="D343" s="787"/>
      <c r="E343" s="829"/>
      <c r="F343" s="852"/>
      <c r="G343" s="851"/>
      <c r="H343" s="787"/>
      <c r="I343" s="829"/>
      <c r="J343" s="852"/>
      <c r="K343" s="851"/>
      <c r="L343" s="787"/>
      <c r="M343" s="829"/>
      <c r="N343" s="852"/>
      <c r="O343" s="851"/>
      <c r="P343" s="787"/>
      <c r="Q343" s="829"/>
      <c r="R343" s="852"/>
      <c r="S343" s="851"/>
      <c r="T343" s="787"/>
      <c r="U343" s="829"/>
      <c r="V343" s="852"/>
      <c r="W343" s="851"/>
      <c r="X343" s="787"/>
      <c r="Y343" s="829"/>
      <c r="Z343" s="852"/>
      <c r="AA343" s="851"/>
      <c r="AB343" s="787"/>
      <c r="AC343" s="829"/>
      <c r="AD343" s="852"/>
      <c r="AE343" s="851"/>
      <c r="AF343" s="787"/>
      <c r="AG343" s="355">
        <v>1320</v>
      </c>
      <c r="AL343" s="123"/>
    </row>
    <row r="344" spans="2:38" x14ac:dyDescent="0.4">
      <c r="B344" s="356">
        <v>1325</v>
      </c>
      <c r="C344" s="851"/>
      <c r="D344" s="787"/>
      <c r="E344" s="829"/>
      <c r="F344" s="852"/>
      <c r="G344" s="851"/>
      <c r="H344" s="787"/>
      <c r="I344" s="829"/>
      <c r="J344" s="852"/>
      <c r="K344" s="851"/>
      <c r="L344" s="787"/>
      <c r="M344" s="829"/>
      <c r="N344" s="852"/>
      <c r="O344" s="851"/>
      <c r="P344" s="787"/>
      <c r="Q344" s="829"/>
      <c r="R344" s="852"/>
      <c r="S344" s="851"/>
      <c r="T344" s="787"/>
      <c r="U344" s="829"/>
      <c r="V344" s="852"/>
      <c r="W344" s="851"/>
      <c r="X344" s="787"/>
      <c r="Y344" s="829"/>
      <c r="Z344" s="852"/>
      <c r="AA344" s="851"/>
      <c r="AB344" s="787"/>
      <c r="AC344" s="829"/>
      <c r="AD344" s="852"/>
      <c r="AE344" s="851"/>
      <c r="AF344" s="787"/>
      <c r="AG344" s="355">
        <v>1325</v>
      </c>
      <c r="AL344" s="123"/>
    </row>
    <row r="345" spans="2:38" x14ac:dyDescent="0.4">
      <c r="B345" s="356">
        <v>1330</v>
      </c>
      <c r="C345" s="851"/>
      <c r="D345" s="787"/>
      <c r="E345" s="829"/>
      <c r="F345" s="852"/>
      <c r="G345" s="851"/>
      <c r="H345" s="787"/>
      <c r="I345" s="829"/>
      <c r="J345" s="852"/>
      <c r="K345" s="851"/>
      <c r="L345" s="787"/>
      <c r="M345" s="829"/>
      <c r="N345" s="852"/>
      <c r="O345" s="851"/>
      <c r="P345" s="787"/>
      <c r="Q345" s="829"/>
      <c r="R345" s="852"/>
      <c r="S345" s="851"/>
      <c r="T345" s="787"/>
      <c r="U345" s="829"/>
      <c r="V345" s="852"/>
      <c r="W345" s="851"/>
      <c r="X345" s="787"/>
      <c r="Y345" s="829"/>
      <c r="Z345" s="852"/>
      <c r="AA345" s="851"/>
      <c r="AB345" s="787"/>
      <c r="AC345" s="829"/>
      <c r="AD345" s="852"/>
      <c r="AE345" s="851"/>
      <c r="AF345" s="787"/>
      <c r="AG345" s="355">
        <v>1330</v>
      </c>
      <c r="AL345" s="123"/>
    </row>
    <row r="346" spans="2:38" x14ac:dyDescent="0.4">
      <c r="B346" s="356">
        <v>1335</v>
      </c>
      <c r="C346" s="851"/>
      <c r="D346" s="787"/>
      <c r="E346" s="829"/>
      <c r="F346" s="852"/>
      <c r="G346" s="851"/>
      <c r="H346" s="787"/>
      <c r="I346" s="829"/>
      <c r="J346" s="852"/>
      <c r="K346" s="851"/>
      <c r="L346" s="787"/>
      <c r="M346" s="829"/>
      <c r="N346" s="852"/>
      <c r="O346" s="851"/>
      <c r="P346" s="787"/>
      <c r="Q346" s="829"/>
      <c r="R346" s="852"/>
      <c r="S346" s="851"/>
      <c r="T346" s="787"/>
      <c r="U346" s="829"/>
      <c r="V346" s="852"/>
      <c r="W346" s="851"/>
      <c r="X346" s="787"/>
      <c r="Y346" s="829"/>
      <c r="Z346" s="852"/>
      <c r="AA346" s="851"/>
      <c r="AB346" s="787"/>
      <c r="AC346" s="829"/>
      <c r="AD346" s="852"/>
      <c r="AE346" s="851"/>
      <c r="AF346" s="787"/>
      <c r="AG346" s="355">
        <v>1335</v>
      </c>
      <c r="AL346" s="123"/>
    </row>
    <row r="347" spans="2:38" x14ac:dyDescent="0.4">
      <c r="B347" s="356">
        <v>1340</v>
      </c>
      <c r="C347" s="851"/>
      <c r="D347" s="787"/>
      <c r="E347" s="829"/>
      <c r="F347" s="852"/>
      <c r="G347" s="851"/>
      <c r="H347" s="787"/>
      <c r="I347" s="829"/>
      <c r="J347" s="852"/>
      <c r="K347" s="851"/>
      <c r="L347" s="787"/>
      <c r="M347" s="829"/>
      <c r="N347" s="852"/>
      <c r="O347" s="851"/>
      <c r="P347" s="787"/>
      <c r="Q347" s="829"/>
      <c r="R347" s="852"/>
      <c r="S347" s="851"/>
      <c r="T347" s="787"/>
      <c r="U347" s="829"/>
      <c r="V347" s="852"/>
      <c r="W347" s="851"/>
      <c r="X347" s="787"/>
      <c r="Y347" s="829"/>
      <c r="Z347" s="852"/>
      <c r="AA347" s="851"/>
      <c r="AB347" s="787"/>
      <c r="AC347" s="829"/>
      <c r="AD347" s="852"/>
      <c r="AE347" s="851"/>
      <c r="AF347" s="787"/>
      <c r="AG347" s="355">
        <v>1340</v>
      </c>
      <c r="AL347" s="123"/>
    </row>
    <row r="348" spans="2:38" x14ac:dyDescent="0.4">
      <c r="B348" s="356">
        <v>1345</v>
      </c>
      <c r="C348" s="851"/>
      <c r="D348" s="787"/>
      <c r="E348" s="829"/>
      <c r="F348" s="852"/>
      <c r="G348" s="851"/>
      <c r="H348" s="787"/>
      <c r="I348" s="829"/>
      <c r="J348" s="852"/>
      <c r="K348" s="851"/>
      <c r="L348" s="787"/>
      <c r="M348" s="829"/>
      <c r="N348" s="852"/>
      <c r="O348" s="851"/>
      <c r="P348" s="787"/>
      <c r="Q348" s="829"/>
      <c r="R348" s="852"/>
      <c r="S348" s="851"/>
      <c r="T348" s="787"/>
      <c r="U348" s="829"/>
      <c r="V348" s="852"/>
      <c r="W348" s="851"/>
      <c r="X348" s="787"/>
      <c r="Y348" s="829"/>
      <c r="Z348" s="852"/>
      <c r="AA348" s="851"/>
      <c r="AB348" s="787"/>
      <c r="AC348" s="829"/>
      <c r="AD348" s="852"/>
      <c r="AE348" s="851"/>
      <c r="AF348" s="787"/>
      <c r="AG348" s="355">
        <v>1345</v>
      </c>
      <c r="AL348" s="123"/>
    </row>
    <row r="349" spans="2:38" x14ac:dyDescent="0.4">
      <c r="B349" s="356">
        <v>1350</v>
      </c>
      <c r="C349" s="851"/>
      <c r="D349" s="787"/>
      <c r="E349" s="829"/>
      <c r="F349" s="852"/>
      <c r="G349" s="851"/>
      <c r="H349" s="787"/>
      <c r="I349" s="829"/>
      <c r="J349" s="852"/>
      <c r="K349" s="851"/>
      <c r="L349" s="787"/>
      <c r="M349" s="829"/>
      <c r="N349" s="852"/>
      <c r="O349" s="851"/>
      <c r="P349" s="787"/>
      <c r="Q349" s="829"/>
      <c r="R349" s="852"/>
      <c r="S349" s="851"/>
      <c r="T349" s="787"/>
      <c r="U349" s="829"/>
      <c r="V349" s="852"/>
      <c r="W349" s="851"/>
      <c r="X349" s="787"/>
      <c r="Y349" s="829"/>
      <c r="Z349" s="852"/>
      <c r="AA349" s="851"/>
      <c r="AB349" s="787"/>
      <c r="AC349" s="829"/>
      <c r="AD349" s="852"/>
      <c r="AE349" s="851"/>
      <c r="AF349" s="787"/>
      <c r="AG349" s="355">
        <v>1350</v>
      </c>
      <c r="AL349" s="123"/>
    </row>
    <row r="350" spans="2:38" x14ac:dyDescent="0.4">
      <c r="B350" s="356">
        <v>1355</v>
      </c>
      <c r="C350" s="851"/>
      <c r="D350" s="787"/>
      <c r="E350" s="829"/>
      <c r="F350" s="852"/>
      <c r="G350" s="851"/>
      <c r="H350" s="787"/>
      <c r="I350" s="829"/>
      <c r="J350" s="852"/>
      <c r="K350" s="851"/>
      <c r="L350" s="787"/>
      <c r="M350" s="829"/>
      <c r="N350" s="852"/>
      <c r="O350" s="851"/>
      <c r="P350" s="787"/>
      <c r="Q350" s="829"/>
      <c r="R350" s="852"/>
      <c r="S350" s="851"/>
      <c r="T350" s="787"/>
      <c r="U350" s="829"/>
      <c r="V350" s="852"/>
      <c r="W350" s="851"/>
      <c r="X350" s="787"/>
      <c r="Y350" s="829"/>
      <c r="Z350" s="852"/>
      <c r="AA350" s="851"/>
      <c r="AB350" s="787"/>
      <c r="AC350" s="829"/>
      <c r="AD350" s="852"/>
      <c r="AE350" s="851"/>
      <c r="AF350" s="787"/>
      <c r="AG350" s="355">
        <v>1355</v>
      </c>
      <c r="AL350" s="123"/>
    </row>
    <row r="351" spans="2:38" x14ac:dyDescent="0.4">
      <c r="B351" s="356">
        <v>1360</v>
      </c>
      <c r="C351" s="851"/>
      <c r="D351" s="787"/>
      <c r="E351" s="829"/>
      <c r="F351" s="852"/>
      <c r="G351" s="851"/>
      <c r="H351" s="787"/>
      <c r="I351" s="829"/>
      <c r="J351" s="852"/>
      <c r="K351" s="851"/>
      <c r="L351" s="787"/>
      <c r="M351" s="829"/>
      <c r="N351" s="852"/>
      <c r="O351" s="851"/>
      <c r="P351" s="787"/>
      <c r="Q351" s="829"/>
      <c r="R351" s="852"/>
      <c r="S351" s="851"/>
      <c r="T351" s="787"/>
      <c r="U351" s="829"/>
      <c r="V351" s="852"/>
      <c r="W351" s="851"/>
      <c r="X351" s="787"/>
      <c r="Y351" s="829"/>
      <c r="Z351" s="852"/>
      <c r="AA351" s="851"/>
      <c r="AB351" s="787"/>
      <c r="AC351" s="829"/>
      <c r="AD351" s="852"/>
      <c r="AE351" s="851"/>
      <c r="AF351" s="787"/>
      <c r="AG351" s="355">
        <v>1360</v>
      </c>
      <c r="AL351" s="123"/>
    </row>
    <row r="352" spans="2:38" x14ac:dyDescent="0.4">
      <c r="B352" s="356">
        <v>1365</v>
      </c>
      <c r="C352" s="851"/>
      <c r="D352" s="787"/>
      <c r="E352" s="829"/>
      <c r="F352" s="852"/>
      <c r="G352" s="851"/>
      <c r="H352" s="787"/>
      <c r="I352" s="829"/>
      <c r="J352" s="852"/>
      <c r="K352" s="851"/>
      <c r="L352" s="787"/>
      <c r="M352" s="829"/>
      <c r="N352" s="852"/>
      <c r="O352" s="851"/>
      <c r="P352" s="787"/>
      <c r="Q352" s="829"/>
      <c r="R352" s="852"/>
      <c r="S352" s="851"/>
      <c r="T352" s="787"/>
      <c r="U352" s="829"/>
      <c r="V352" s="852"/>
      <c r="W352" s="851"/>
      <c r="X352" s="787"/>
      <c r="Y352" s="829"/>
      <c r="Z352" s="852"/>
      <c r="AA352" s="851"/>
      <c r="AB352" s="787"/>
      <c r="AC352" s="829"/>
      <c r="AD352" s="852"/>
      <c r="AE352" s="851"/>
      <c r="AF352" s="787"/>
      <c r="AG352" s="355">
        <v>1365</v>
      </c>
      <c r="AL352" s="123"/>
    </row>
    <row r="353" spans="2:38" x14ac:dyDescent="0.4">
      <c r="B353" s="356">
        <v>1370</v>
      </c>
      <c r="C353" s="851"/>
      <c r="D353" s="787"/>
      <c r="E353" s="829"/>
      <c r="F353" s="852"/>
      <c r="G353" s="851"/>
      <c r="H353" s="787"/>
      <c r="I353" s="829"/>
      <c r="J353" s="852"/>
      <c r="K353" s="851"/>
      <c r="L353" s="787"/>
      <c r="M353" s="829"/>
      <c r="N353" s="852"/>
      <c r="O353" s="851"/>
      <c r="P353" s="787"/>
      <c r="Q353" s="829"/>
      <c r="R353" s="852"/>
      <c r="S353" s="851"/>
      <c r="T353" s="787"/>
      <c r="U353" s="829"/>
      <c r="V353" s="852"/>
      <c r="W353" s="851"/>
      <c r="X353" s="787"/>
      <c r="Y353" s="829"/>
      <c r="Z353" s="852"/>
      <c r="AA353" s="851"/>
      <c r="AB353" s="787"/>
      <c r="AC353" s="829"/>
      <c r="AD353" s="852"/>
      <c r="AE353" s="851"/>
      <c r="AF353" s="787"/>
      <c r="AG353" s="355">
        <v>1370</v>
      </c>
      <c r="AL353" s="123"/>
    </row>
    <row r="354" spans="2:38" x14ac:dyDescent="0.4">
      <c r="B354" s="356">
        <v>1375</v>
      </c>
      <c r="C354" s="851"/>
      <c r="D354" s="787"/>
      <c r="E354" s="829"/>
      <c r="F354" s="852"/>
      <c r="G354" s="851"/>
      <c r="H354" s="787"/>
      <c r="I354" s="829"/>
      <c r="J354" s="852"/>
      <c r="K354" s="851"/>
      <c r="L354" s="787"/>
      <c r="M354" s="829"/>
      <c r="N354" s="852"/>
      <c r="O354" s="851"/>
      <c r="P354" s="787"/>
      <c r="Q354" s="829"/>
      <c r="R354" s="852"/>
      <c r="S354" s="851"/>
      <c r="T354" s="787"/>
      <c r="U354" s="829"/>
      <c r="V354" s="852"/>
      <c r="W354" s="851"/>
      <c r="X354" s="787"/>
      <c r="Y354" s="829"/>
      <c r="Z354" s="852"/>
      <c r="AA354" s="851"/>
      <c r="AB354" s="787"/>
      <c r="AC354" s="829"/>
      <c r="AD354" s="852"/>
      <c r="AE354" s="851"/>
      <c r="AF354" s="787"/>
      <c r="AG354" s="355">
        <v>1375</v>
      </c>
      <c r="AL354" s="123"/>
    </row>
    <row r="355" spans="2:38" x14ac:dyDescent="0.4">
      <c r="B355" s="356">
        <v>1380</v>
      </c>
      <c r="C355" s="851"/>
      <c r="D355" s="787"/>
      <c r="E355" s="829"/>
      <c r="F355" s="852"/>
      <c r="G355" s="851"/>
      <c r="H355" s="787"/>
      <c r="I355" s="829"/>
      <c r="J355" s="852"/>
      <c r="K355" s="851"/>
      <c r="L355" s="787"/>
      <c r="M355" s="829"/>
      <c r="N355" s="852"/>
      <c r="O355" s="851"/>
      <c r="P355" s="787"/>
      <c r="Q355" s="829"/>
      <c r="R355" s="852"/>
      <c r="S355" s="851"/>
      <c r="T355" s="787"/>
      <c r="U355" s="829"/>
      <c r="V355" s="852"/>
      <c r="W355" s="851"/>
      <c r="X355" s="787"/>
      <c r="Y355" s="829"/>
      <c r="Z355" s="852"/>
      <c r="AA355" s="851"/>
      <c r="AB355" s="787"/>
      <c r="AC355" s="829"/>
      <c r="AD355" s="852"/>
      <c r="AE355" s="851"/>
      <c r="AF355" s="787"/>
      <c r="AG355" s="355">
        <v>1380</v>
      </c>
      <c r="AL355" s="123"/>
    </row>
    <row r="356" spans="2:38" x14ac:dyDescent="0.4">
      <c r="B356" s="356">
        <v>1385</v>
      </c>
      <c r="C356" s="851"/>
      <c r="D356" s="787"/>
      <c r="E356" s="829"/>
      <c r="F356" s="852"/>
      <c r="G356" s="851"/>
      <c r="H356" s="787"/>
      <c r="I356" s="829"/>
      <c r="J356" s="852"/>
      <c r="K356" s="851"/>
      <c r="L356" s="787"/>
      <c r="M356" s="829"/>
      <c r="N356" s="852"/>
      <c r="O356" s="851"/>
      <c r="P356" s="787"/>
      <c r="Q356" s="829"/>
      <c r="R356" s="852"/>
      <c r="S356" s="851"/>
      <c r="T356" s="787"/>
      <c r="U356" s="829"/>
      <c r="V356" s="852"/>
      <c r="W356" s="851"/>
      <c r="X356" s="787"/>
      <c r="Y356" s="829"/>
      <c r="Z356" s="852"/>
      <c r="AA356" s="851"/>
      <c r="AB356" s="787"/>
      <c r="AC356" s="829"/>
      <c r="AD356" s="852"/>
      <c r="AE356" s="851"/>
      <c r="AF356" s="787"/>
      <c r="AG356" s="355">
        <v>1385</v>
      </c>
      <c r="AL356" s="123"/>
    </row>
    <row r="357" spans="2:38" x14ac:dyDescent="0.4">
      <c r="B357" s="356">
        <v>1390</v>
      </c>
      <c r="C357" s="851"/>
      <c r="D357" s="787"/>
      <c r="E357" s="829"/>
      <c r="F357" s="852"/>
      <c r="G357" s="851"/>
      <c r="H357" s="787"/>
      <c r="I357" s="829"/>
      <c r="J357" s="852"/>
      <c r="K357" s="851"/>
      <c r="L357" s="787"/>
      <c r="M357" s="829"/>
      <c r="N357" s="852"/>
      <c r="O357" s="851"/>
      <c r="P357" s="787"/>
      <c r="Q357" s="829"/>
      <c r="R357" s="852"/>
      <c r="S357" s="851"/>
      <c r="T357" s="787"/>
      <c r="U357" s="829"/>
      <c r="V357" s="852"/>
      <c r="W357" s="851"/>
      <c r="X357" s="787"/>
      <c r="Y357" s="829"/>
      <c r="Z357" s="852"/>
      <c r="AA357" s="851"/>
      <c r="AB357" s="787"/>
      <c r="AC357" s="829"/>
      <c r="AD357" s="852"/>
      <c r="AE357" s="851"/>
      <c r="AF357" s="787"/>
      <c r="AG357" s="355">
        <v>1390</v>
      </c>
      <c r="AL357" s="123"/>
    </row>
    <row r="358" spans="2:38" x14ac:dyDescent="0.4">
      <c r="B358" s="356">
        <v>1395</v>
      </c>
      <c r="C358" s="851"/>
      <c r="D358" s="787"/>
      <c r="E358" s="829"/>
      <c r="F358" s="852"/>
      <c r="G358" s="851"/>
      <c r="H358" s="787"/>
      <c r="I358" s="829"/>
      <c r="J358" s="852"/>
      <c r="K358" s="851"/>
      <c r="L358" s="787"/>
      <c r="M358" s="829"/>
      <c r="N358" s="852"/>
      <c r="O358" s="851"/>
      <c r="P358" s="787"/>
      <c r="Q358" s="829"/>
      <c r="R358" s="852"/>
      <c r="S358" s="851"/>
      <c r="T358" s="787"/>
      <c r="U358" s="829"/>
      <c r="V358" s="852"/>
      <c r="W358" s="851"/>
      <c r="X358" s="787"/>
      <c r="Y358" s="829"/>
      <c r="Z358" s="852"/>
      <c r="AA358" s="851"/>
      <c r="AB358" s="787"/>
      <c r="AC358" s="829"/>
      <c r="AD358" s="852"/>
      <c r="AE358" s="851"/>
      <c r="AF358" s="787"/>
      <c r="AG358" s="355">
        <v>1395</v>
      </c>
      <c r="AL358" s="123"/>
    </row>
    <row r="359" spans="2:38" x14ac:dyDescent="0.4">
      <c r="B359" s="356">
        <v>1400</v>
      </c>
      <c r="C359" s="851"/>
      <c r="D359" s="787"/>
      <c r="E359" s="829"/>
      <c r="F359" s="852"/>
      <c r="G359" s="851"/>
      <c r="H359" s="787"/>
      <c r="I359" s="829"/>
      <c r="J359" s="852"/>
      <c r="K359" s="851"/>
      <c r="L359" s="787"/>
      <c r="M359" s="829"/>
      <c r="N359" s="852"/>
      <c r="O359" s="851"/>
      <c r="P359" s="787"/>
      <c r="Q359" s="829"/>
      <c r="R359" s="852"/>
      <c r="S359" s="851"/>
      <c r="T359" s="787"/>
      <c r="U359" s="829"/>
      <c r="V359" s="852"/>
      <c r="W359" s="851"/>
      <c r="X359" s="787"/>
      <c r="Y359" s="829"/>
      <c r="Z359" s="852"/>
      <c r="AA359" s="851"/>
      <c r="AB359" s="787"/>
      <c r="AC359" s="829"/>
      <c r="AD359" s="852"/>
      <c r="AE359" s="851"/>
      <c r="AF359" s="787"/>
      <c r="AG359" s="355">
        <v>1400</v>
      </c>
      <c r="AL359" s="123"/>
    </row>
    <row r="360" spans="2:38" x14ac:dyDescent="0.4">
      <c r="B360" s="356">
        <v>1405</v>
      </c>
      <c r="C360" s="851"/>
      <c r="D360" s="787"/>
      <c r="E360" s="829"/>
      <c r="F360" s="852"/>
      <c r="G360" s="851"/>
      <c r="H360" s="787"/>
      <c r="I360" s="829"/>
      <c r="J360" s="852"/>
      <c r="K360" s="851"/>
      <c r="L360" s="787"/>
      <c r="M360" s="829"/>
      <c r="N360" s="852"/>
      <c r="O360" s="851"/>
      <c r="P360" s="787"/>
      <c r="Q360" s="829"/>
      <c r="R360" s="852"/>
      <c r="S360" s="851"/>
      <c r="T360" s="787"/>
      <c r="U360" s="829"/>
      <c r="V360" s="852"/>
      <c r="W360" s="851"/>
      <c r="X360" s="787"/>
      <c r="Y360" s="829"/>
      <c r="Z360" s="852"/>
      <c r="AA360" s="851"/>
      <c r="AB360" s="787"/>
      <c r="AC360" s="829"/>
      <c r="AD360" s="852"/>
      <c r="AE360" s="851"/>
      <c r="AF360" s="787"/>
      <c r="AG360" s="355">
        <v>1405</v>
      </c>
      <c r="AL360" s="123"/>
    </row>
    <row r="361" spans="2:38" x14ac:dyDescent="0.4">
      <c r="B361" s="356">
        <v>1410</v>
      </c>
      <c r="C361" s="851"/>
      <c r="D361" s="787"/>
      <c r="E361" s="829"/>
      <c r="F361" s="852"/>
      <c r="G361" s="851"/>
      <c r="H361" s="787"/>
      <c r="I361" s="829"/>
      <c r="J361" s="852"/>
      <c r="K361" s="851"/>
      <c r="L361" s="787"/>
      <c r="M361" s="829"/>
      <c r="N361" s="852"/>
      <c r="O361" s="851"/>
      <c r="P361" s="787"/>
      <c r="Q361" s="829"/>
      <c r="R361" s="852"/>
      <c r="S361" s="851"/>
      <c r="T361" s="787"/>
      <c r="U361" s="829"/>
      <c r="V361" s="852"/>
      <c r="W361" s="851"/>
      <c r="X361" s="787"/>
      <c r="Y361" s="829"/>
      <c r="Z361" s="852"/>
      <c r="AA361" s="851"/>
      <c r="AB361" s="787"/>
      <c r="AC361" s="829"/>
      <c r="AD361" s="852"/>
      <c r="AE361" s="851"/>
      <c r="AF361" s="787"/>
      <c r="AG361" s="355">
        <v>1410</v>
      </c>
      <c r="AL361" s="123"/>
    </row>
    <row r="362" spans="2:38" x14ac:dyDescent="0.4">
      <c r="B362" s="356">
        <v>1415</v>
      </c>
      <c r="C362" s="851"/>
      <c r="D362" s="787"/>
      <c r="E362" s="829"/>
      <c r="F362" s="852"/>
      <c r="G362" s="851"/>
      <c r="H362" s="787"/>
      <c r="I362" s="829"/>
      <c r="J362" s="852"/>
      <c r="K362" s="851"/>
      <c r="L362" s="787"/>
      <c r="M362" s="829"/>
      <c r="N362" s="852"/>
      <c r="O362" s="851"/>
      <c r="P362" s="787"/>
      <c r="Q362" s="829"/>
      <c r="R362" s="852"/>
      <c r="S362" s="851"/>
      <c r="T362" s="787"/>
      <c r="U362" s="829"/>
      <c r="V362" s="852"/>
      <c r="W362" s="851"/>
      <c r="X362" s="787"/>
      <c r="Y362" s="829"/>
      <c r="Z362" s="852"/>
      <c r="AA362" s="851"/>
      <c r="AB362" s="787"/>
      <c r="AC362" s="829"/>
      <c r="AD362" s="852"/>
      <c r="AE362" s="851"/>
      <c r="AF362" s="787"/>
      <c r="AG362" s="355">
        <v>1415</v>
      </c>
      <c r="AL362" s="123"/>
    </row>
    <row r="363" spans="2:38" x14ac:dyDescent="0.4">
      <c r="B363" s="356">
        <v>1420</v>
      </c>
      <c r="C363" s="851"/>
      <c r="D363" s="787"/>
      <c r="E363" s="829"/>
      <c r="F363" s="852"/>
      <c r="G363" s="851"/>
      <c r="H363" s="787"/>
      <c r="I363" s="829"/>
      <c r="J363" s="852"/>
      <c r="K363" s="851"/>
      <c r="L363" s="787"/>
      <c r="M363" s="829"/>
      <c r="N363" s="852"/>
      <c r="O363" s="851"/>
      <c r="P363" s="787"/>
      <c r="Q363" s="829"/>
      <c r="R363" s="852"/>
      <c r="S363" s="851"/>
      <c r="T363" s="787"/>
      <c r="U363" s="829"/>
      <c r="V363" s="852"/>
      <c r="W363" s="851"/>
      <c r="X363" s="787"/>
      <c r="Y363" s="829"/>
      <c r="Z363" s="852"/>
      <c r="AA363" s="851"/>
      <c r="AB363" s="787"/>
      <c r="AC363" s="829"/>
      <c r="AD363" s="852"/>
      <c r="AE363" s="851"/>
      <c r="AF363" s="787"/>
      <c r="AG363" s="355">
        <v>1420</v>
      </c>
      <c r="AL363" s="123"/>
    </row>
    <row r="364" spans="2:38" x14ac:dyDescent="0.4">
      <c r="B364" s="356">
        <v>1425</v>
      </c>
      <c r="C364" s="851"/>
      <c r="D364" s="787"/>
      <c r="E364" s="829"/>
      <c r="F364" s="852"/>
      <c r="G364" s="851"/>
      <c r="H364" s="787"/>
      <c r="I364" s="829"/>
      <c r="J364" s="852"/>
      <c r="K364" s="851"/>
      <c r="L364" s="787"/>
      <c r="M364" s="829"/>
      <c r="N364" s="852"/>
      <c r="O364" s="851"/>
      <c r="P364" s="787"/>
      <c r="Q364" s="829"/>
      <c r="R364" s="852"/>
      <c r="S364" s="851"/>
      <c r="T364" s="787"/>
      <c r="U364" s="829"/>
      <c r="V364" s="852"/>
      <c r="W364" s="851"/>
      <c r="X364" s="787"/>
      <c r="Y364" s="829"/>
      <c r="Z364" s="852"/>
      <c r="AA364" s="851"/>
      <c r="AB364" s="787"/>
      <c r="AC364" s="829"/>
      <c r="AD364" s="852"/>
      <c r="AE364" s="851"/>
      <c r="AF364" s="787"/>
      <c r="AG364" s="355">
        <v>1425</v>
      </c>
      <c r="AL364" s="123"/>
    </row>
    <row r="365" spans="2:38" x14ac:dyDescent="0.4">
      <c r="B365" s="356">
        <v>1430</v>
      </c>
      <c r="C365" s="851"/>
      <c r="D365" s="787"/>
      <c r="E365" s="829"/>
      <c r="F365" s="852"/>
      <c r="G365" s="851"/>
      <c r="H365" s="787"/>
      <c r="I365" s="829"/>
      <c r="J365" s="852"/>
      <c r="K365" s="851"/>
      <c r="L365" s="787"/>
      <c r="M365" s="829"/>
      <c r="N365" s="852"/>
      <c r="O365" s="851"/>
      <c r="P365" s="787"/>
      <c r="Q365" s="829"/>
      <c r="R365" s="852"/>
      <c r="S365" s="851"/>
      <c r="T365" s="787"/>
      <c r="U365" s="829"/>
      <c r="V365" s="852"/>
      <c r="W365" s="851"/>
      <c r="X365" s="787"/>
      <c r="Y365" s="829"/>
      <c r="Z365" s="852"/>
      <c r="AA365" s="851"/>
      <c r="AB365" s="787"/>
      <c r="AC365" s="829"/>
      <c r="AD365" s="852"/>
      <c r="AE365" s="851"/>
      <c r="AF365" s="787"/>
      <c r="AG365" s="355">
        <v>1430</v>
      </c>
      <c r="AL365" s="123"/>
    </row>
    <row r="366" spans="2:38" x14ac:dyDescent="0.4">
      <c r="B366" s="356">
        <v>1435</v>
      </c>
      <c r="C366" s="851"/>
      <c r="D366" s="787"/>
      <c r="E366" s="829"/>
      <c r="F366" s="852"/>
      <c r="G366" s="851"/>
      <c r="H366" s="787"/>
      <c r="I366" s="829"/>
      <c r="J366" s="852"/>
      <c r="K366" s="851"/>
      <c r="L366" s="787"/>
      <c r="M366" s="829"/>
      <c r="N366" s="852"/>
      <c r="O366" s="851"/>
      <c r="P366" s="787"/>
      <c r="Q366" s="829"/>
      <c r="R366" s="852"/>
      <c r="S366" s="851"/>
      <c r="T366" s="787"/>
      <c r="U366" s="829"/>
      <c r="V366" s="852"/>
      <c r="W366" s="851"/>
      <c r="X366" s="787"/>
      <c r="Y366" s="829"/>
      <c r="Z366" s="852"/>
      <c r="AA366" s="851"/>
      <c r="AB366" s="787"/>
      <c r="AC366" s="829"/>
      <c r="AD366" s="852"/>
      <c r="AE366" s="851"/>
      <c r="AF366" s="787"/>
      <c r="AG366" s="355">
        <v>1435</v>
      </c>
      <c r="AL366" s="123"/>
    </row>
    <row r="367" spans="2:38" x14ac:dyDescent="0.4">
      <c r="B367" s="356">
        <v>1440</v>
      </c>
      <c r="C367" s="851"/>
      <c r="D367" s="787"/>
      <c r="E367" s="829"/>
      <c r="F367" s="852"/>
      <c r="G367" s="851"/>
      <c r="H367" s="787"/>
      <c r="I367" s="829"/>
      <c r="J367" s="852"/>
      <c r="K367" s="851"/>
      <c r="L367" s="787"/>
      <c r="M367" s="829"/>
      <c r="N367" s="852"/>
      <c r="O367" s="851"/>
      <c r="P367" s="787"/>
      <c r="Q367" s="829"/>
      <c r="R367" s="852"/>
      <c r="S367" s="851"/>
      <c r="T367" s="787"/>
      <c r="U367" s="829"/>
      <c r="V367" s="852"/>
      <c r="W367" s="851"/>
      <c r="X367" s="787"/>
      <c r="Y367" s="829"/>
      <c r="Z367" s="852"/>
      <c r="AA367" s="851"/>
      <c r="AB367" s="787"/>
      <c r="AC367" s="829"/>
      <c r="AD367" s="852"/>
      <c r="AE367" s="851"/>
      <c r="AF367" s="787"/>
      <c r="AG367" s="355">
        <v>1440</v>
      </c>
      <c r="AL367" s="123"/>
    </row>
    <row r="368" spans="2:38" x14ac:dyDescent="0.4">
      <c r="B368" s="356">
        <v>1445</v>
      </c>
      <c r="C368" s="851"/>
      <c r="D368" s="787"/>
      <c r="E368" s="829"/>
      <c r="F368" s="852"/>
      <c r="G368" s="851"/>
      <c r="H368" s="787"/>
      <c r="I368" s="829"/>
      <c r="J368" s="852"/>
      <c r="K368" s="851"/>
      <c r="L368" s="787"/>
      <c r="M368" s="829"/>
      <c r="N368" s="852"/>
      <c r="O368" s="851"/>
      <c r="P368" s="787"/>
      <c r="Q368" s="829"/>
      <c r="R368" s="852"/>
      <c r="S368" s="851"/>
      <c r="T368" s="787"/>
      <c r="U368" s="829"/>
      <c r="V368" s="852"/>
      <c r="W368" s="851"/>
      <c r="X368" s="787"/>
      <c r="Y368" s="829"/>
      <c r="Z368" s="852"/>
      <c r="AA368" s="851"/>
      <c r="AB368" s="787"/>
      <c r="AC368" s="829"/>
      <c r="AD368" s="852"/>
      <c r="AE368" s="851"/>
      <c r="AF368" s="787"/>
      <c r="AG368" s="355">
        <v>1445</v>
      </c>
      <c r="AL368" s="123"/>
    </row>
    <row r="369" spans="2:38" x14ac:dyDescent="0.4">
      <c r="B369" s="356">
        <v>1450</v>
      </c>
      <c r="C369" s="851"/>
      <c r="D369" s="787"/>
      <c r="E369" s="829"/>
      <c r="F369" s="852"/>
      <c r="G369" s="851"/>
      <c r="H369" s="787"/>
      <c r="I369" s="829"/>
      <c r="J369" s="852"/>
      <c r="K369" s="851"/>
      <c r="L369" s="787"/>
      <c r="M369" s="829"/>
      <c r="N369" s="852"/>
      <c r="O369" s="851"/>
      <c r="P369" s="787"/>
      <c r="Q369" s="829"/>
      <c r="R369" s="852"/>
      <c r="S369" s="851"/>
      <c r="T369" s="787"/>
      <c r="U369" s="829"/>
      <c r="V369" s="852"/>
      <c r="W369" s="851"/>
      <c r="X369" s="787"/>
      <c r="Y369" s="829"/>
      <c r="Z369" s="852"/>
      <c r="AA369" s="851"/>
      <c r="AB369" s="787"/>
      <c r="AC369" s="829"/>
      <c r="AD369" s="852"/>
      <c r="AE369" s="851"/>
      <c r="AF369" s="787"/>
      <c r="AG369" s="355">
        <v>1450</v>
      </c>
      <c r="AL369" s="123"/>
    </row>
    <row r="370" spans="2:38" x14ac:dyDescent="0.4">
      <c r="B370" s="356">
        <v>1455</v>
      </c>
      <c r="C370" s="851"/>
      <c r="D370" s="787"/>
      <c r="E370" s="829"/>
      <c r="F370" s="852"/>
      <c r="G370" s="851"/>
      <c r="H370" s="787"/>
      <c r="I370" s="829"/>
      <c r="J370" s="852"/>
      <c r="K370" s="851"/>
      <c r="L370" s="787"/>
      <c r="M370" s="829"/>
      <c r="N370" s="852"/>
      <c r="O370" s="851"/>
      <c r="P370" s="787"/>
      <c r="Q370" s="829"/>
      <c r="R370" s="852"/>
      <c r="S370" s="851"/>
      <c r="T370" s="787"/>
      <c r="U370" s="829"/>
      <c r="V370" s="852"/>
      <c r="W370" s="851"/>
      <c r="X370" s="787"/>
      <c r="Y370" s="829"/>
      <c r="Z370" s="852"/>
      <c r="AA370" s="851"/>
      <c r="AB370" s="787"/>
      <c r="AC370" s="829"/>
      <c r="AD370" s="852"/>
      <c r="AE370" s="851"/>
      <c r="AF370" s="787"/>
      <c r="AG370" s="355">
        <v>1455</v>
      </c>
      <c r="AL370" s="123"/>
    </row>
    <row r="371" spans="2:38" x14ac:dyDescent="0.4">
      <c r="B371" s="356">
        <v>1460</v>
      </c>
      <c r="C371" s="851"/>
      <c r="D371" s="787"/>
      <c r="E371" s="829"/>
      <c r="F371" s="852"/>
      <c r="G371" s="851"/>
      <c r="H371" s="787"/>
      <c r="I371" s="829"/>
      <c r="J371" s="852"/>
      <c r="K371" s="851"/>
      <c r="L371" s="787"/>
      <c r="M371" s="829"/>
      <c r="N371" s="852"/>
      <c r="O371" s="851"/>
      <c r="P371" s="787"/>
      <c r="Q371" s="829"/>
      <c r="R371" s="852"/>
      <c r="S371" s="851"/>
      <c r="T371" s="787"/>
      <c r="U371" s="829"/>
      <c r="V371" s="852"/>
      <c r="W371" s="851"/>
      <c r="X371" s="787"/>
      <c r="Y371" s="829"/>
      <c r="Z371" s="852"/>
      <c r="AA371" s="851"/>
      <c r="AB371" s="787"/>
      <c r="AC371" s="829"/>
      <c r="AD371" s="852"/>
      <c r="AE371" s="851"/>
      <c r="AF371" s="787"/>
      <c r="AG371" s="355">
        <v>1460</v>
      </c>
      <c r="AL371" s="123"/>
    </row>
    <row r="372" spans="2:38" x14ac:dyDescent="0.4">
      <c r="B372" s="356">
        <v>1465</v>
      </c>
      <c r="C372" s="851"/>
      <c r="D372" s="787"/>
      <c r="E372" s="829"/>
      <c r="F372" s="852"/>
      <c r="G372" s="851"/>
      <c r="H372" s="787"/>
      <c r="I372" s="829"/>
      <c r="J372" s="852"/>
      <c r="K372" s="851"/>
      <c r="L372" s="787"/>
      <c r="M372" s="829"/>
      <c r="N372" s="852"/>
      <c r="O372" s="851"/>
      <c r="P372" s="787"/>
      <c r="Q372" s="829"/>
      <c r="R372" s="852"/>
      <c r="S372" s="851"/>
      <c r="T372" s="787"/>
      <c r="U372" s="829"/>
      <c r="V372" s="852"/>
      <c r="W372" s="851"/>
      <c r="X372" s="787"/>
      <c r="Y372" s="829"/>
      <c r="Z372" s="852"/>
      <c r="AA372" s="851"/>
      <c r="AB372" s="787"/>
      <c r="AC372" s="829"/>
      <c r="AD372" s="852"/>
      <c r="AE372" s="851"/>
      <c r="AF372" s="787"/>
      <c r="AG372" s="355">
        <v>1465</v>
      </c>
      <c r="AL372" s="123"/>
    </row>
    <row r="373" spans="2:38" x14ac:dyDescent="0.4">
      <c r="B373" s="356">
        <v>1470</v>
      </c>
      <c r="C373" s="851"/>
      <c r="D373" s="787"/>
      <c r="E373" s="829"/>
      <c r="F373" s="852"/>
      <c r="G373" s="851"/>
      <c r="H373" s="787"/>
      <c r="I373" s="829"/>
      <c r="J373" s="852"/>
      <c r="K373" s="851"/>
      <c r="L373" s="787"/>
      <c r="M373" s="829"/>
      <c r="N373" s="852"/>
      <c r="O373" s="851"/>
      <c r="P373" s="787"/>
      <c r="Q373" s="829"/>
      <c r="R373" s="852"/>
      <c r="S373" s="851"/>
      <c r="T373" s="787"/>
      <c r="U373" s="829"/>
      <c r="V373" s="852"/>
      <c r="W373" s="851"/>
      <c r="X373" s="787"/>
      <c r="Y373" s="829"/>
      <c r="Z373" s="852"/>
      <c r="AA373" s="851"/>
      <c r="AB373" s="787"/>
      <c r="AC373" s="829"/>
      <c r="AD373" s="852"/>
      <c r="AE373" s="851"/>
      <c r="AF373" s="787"/>
      <c r="AG373" s="355">
        <v>1470</v>
      </c>
      <c r="AL373" s="123"/>
    </row>
    <row r="374" spans="2:38" x14ac:dyDescent="0.4">
      <c r="B374" s="356">
        <v>1475</v>
      </c>
      <c r="C374" s="851"/>
      <c r="D374" s="787"/>
      <c r="E374" s="829"/>
      <c r="F374" s="852"/>
      <c r="G374" s="851"/>
      <c r="H374" s="787"/>
      <c r="I374" s="829"/>
      <c r="J374" s="852"/>
      <c r="K374" s="851"/>
      <c r="L374" s="787"/>
      <c r="M374" s="829"/>
      <c r="N374" s="852"/>
      <c r="O374" s="851"/>
      <c r="P374" s="787"/>
      <c r="Q374" s="829"/>
      <c r="R374" s="852"/>
      <c r="S374" s="851"/>
      <c r="T374" s="787"/>
      <c r="U374" s="829"/>
      <c r="V374" s="852"/>
      <c r="W374" s="851"/>
      <c r="X374" s="787"/>
      <c r="Y374" s="829"/>
      <c r="Z374" s="852"/>
      <c r="AA374" s="851"/>
      <c r="AB374" s="787"/>
      <c r="AC374" s="829"/>
      <c r="AD374" s="852"/>
      <c r="AE374" s="851"/>
      <c r="AF374" s="787"/>
      <c r="AG374" s="355">
        <v>1475</v>
      </c>
      <c r="AL374" s="123"/>
    </row>
    <row r="375" spans="2:38" x14ac:dyDescent="0.4">
      <c r="B375" s="356">
        <v>1480</v>
      </c>
      <c r="C375" s="851"/>
      <c r="D375" s="787"/>
      <c r="E375" s="829"/>
      <c r="F375" s="852"/>
      <c r="G375" s="851"/>
      <c r="H375" s="787"/>
      <c r="I375" s="829"/>
      <c r="J375" s="852"/>
      <c r="K375" s="851"/>
      <c r="L375" s="787"/>
      <c r="M375" s="829"/>
      <c r="N375" s="852"/>
      <c r="O375" s="851"/>
      <c r="P375" s="787"/>
      <c r="Q375" s="829"/>
      <c r="R375" s="852"/>
      <c r="S375" s="851"/>
      <c r="T375" s="787"/>
      <c r="U375" s="829"/>
      <c r="V375" s="852"/>
      <c r="W375" s="851"/>
      <c r="X375" s="787"/>
      <c r="Y375" s="829"/>
      <c r="Z375" s="852"/>
      <c r="AA375" s="851"/>
      <c r="AB375" s="787"/>
      <c r="AC375" s="829"/>
      <c r="AD375" s="852"/>
      <c r="AE375" s="851"/>
      <c r="AF375" s="787"/>
      <c r="AG375" s="355">
        <v>1480</v>
      </c>
      <c r="AL375" s="123"/>
    </row>
    <row r="376" spans="2:38" x14ac:dyDescent="0.4">
      <c r="B376" s="356">
        <v>1485</v>
      </c>
      <c r="C376" s="851"/>
      <c r="D376" s="787"/>
      <c r="E376" s="829"/>
      <c r="F376" s="852"/>
      <c r="G376" s="851"/>
      <c r="H376" s="787"/>
      <c r="I376" s="829"/>
      <c r="J376" s="852"/>
      <c r="K376" s="851"/>
      <c r="L376" s="787"/>
      <c r="M376" s="829"/>
      <c r="N376" s="852"/>
      <c r="O376" s="851"/>
      <c r="P376" s="787"/>
      <c r="Q376" s="829"/>
      <c r="R376" s="852"/>
      <c r="S376" s="851"/>
      <c r="T376" s="787"/>
      <c r="U376" s="829"/>
      <c r="V376" s="852"/>
      <c r="W376" s="851"/>
      <c r="X376" s="787"/>
      <c r="Y376" s="829"/>
      <c r="Z376" s="852"/>
      <c r="AA376" s="851"/>
      <c r="AB376" s="787"/>
      <c r="AC376" s="829"/>
      <c r="AD376" s="852"/>
      <c r="AE376" s="851"/>
      <c r="AF376" s="787"/>
      <c r="AG376" s="355">
        <v>1485</v>
      </c>
      <c r="AL376" s="123"/>
    </row>
    <row r="377" spans="2:38" x14ac:dyDescent="0.4">
      <c r="B377" s="356">
        <v>1490</v>
      </c>
      <c r="C377" s="851"/>
      <c r="D377" s="787"/>
      <c r="E377" s="829"/>
      <c r="F377" s="852"/>
      <c r="G377" s="851"/>
      <c r="H377" s="787"/>
      <c r="I377" s="829"/>
      <c r="J377" s="852"/>
      <c r="K377" s="851"/>
      <c r="L377" s="787"/>
      <c r="M377" s="829"/>
      <c r="N377" s="852"/>
      <c r="O377" s="851"/>
      <c r="P377" s="787"/>
      <c r="Q377" s="829"/>
      <c r="R377" s="852"/>
      <c r="S377" s="851"/>
      <c r="T377" s="787"/>
      <c r="U377" s="829"/>
      <c r="V377" s="852"/>
      <c r="W377" s="851"/>
      <c r="X377" s="787"/>
      <c r="Y377" s="829"/>
      <c r="Z377" s="852"/>
      <c r="AA377" s="851"/>
      <c r="AB377" s="787"/>
      <c r="AC377" s="829"/>
      <c r="AD377" s="852"/>
      <c r="AE377" s="851"/>
      <c r="AF377" s="787"/>
      <c r="AG377" s="355">
        <v>1490</v>
      </c>
      <c r="AL377" s="123"/>
    </row>
    <row r="378" spans="2:38" x14ac:dyDescent="0.4">
      <c r="B378" s="356">
        <v>1495</v>
      </c>
      <c r="C378" s="851"/>
      <c r="D378" s="787"/>
      <c r="E378" s="829"/>
      <c r="F378" s="852"/>
      <c r="G378" s="851"/>
      <c r="H378" s="787"/>
      <c r="I378" s="829"/>
      <c r="J378" s="852"/>
      <c r="K378" s="851"/>
      <c r="L378" s="787"/>
      <c r="M378" s="829"/>
      <c r="N378" s="852"/>
      <c r="O378" s="851"/>
      <c r="P378" s="787"/>
      <c r="Q378" s="829"/>
      <c r="R378" s="852"/>
      <c r="S378" s="851"/>
      <c r="T378" s="787"/>
      <c r="U378" s="829"/>
      <c r="V378" s="852"/>
      <c r="W378" s="851"/>
      <c r="X378" s="787"/>
      <c r="Y378" s="829"/>
      <c r="Z378" s="852"/>
      <c r="AA378" s="851"/>
      <c r="AB378" s="787"/>
      <c r="AC378" s="829"/>
      <c r="AD378" s="852"/>
      <c r="AE378" s="851"/>
      <c r="AF378" s="787"/>
      <c r="AG378" s="355">
        <v>1495</v>
      </c>
      <c r="AL378" s="123"/>
    </row>
    <row r="379" spans="2:38" x14ac:dyDescent="0.4">
      <c r="B379" s="356">
        <v>1500</v>
      </c>
      <c r="C379" s="851"/>
      <c r="D379" s="787"/>
      <c r="E379" s="829"/>
      <c r="F379" s="852"/>
      <c r="G379" s="851"/>
      <c r="H379" s="787"/>
      <c r="I379" s="829"/>
      <c r="J379" s="852"/>
      <c r="K379" s="851"/>
      <c r="L379" s="787"/>
      <c r="M379" s="829"/>
      <c r="N379" s="852"/>
      <c r="O379" s="851"/>
      <c r="P379" s="787"/>
      <c r="Q379" s="829"/>
      <c r="R379" s="852"/>
      <c r="S379" s="851"/>
      <c r="T379" s="787"/>
      <c r="U379" s="829"/>
      <c r="V379" s="852"/>
      <c r="W379" s="851"/>
      <c r="X379" s="787"/>
      <c r="Y379" s="829"/>
      <c r="Z379" s="852"/>
      <c r="AA379" s="851"/>
      <c r="AB379" s="787"/>
      <c r="AC379" s="829"/>
      <c r="AD379" s="852"/>
      <c r="AE379" s="851"/>
      <c r="AF379" s="787"/>
      <c r="AG379" s="355">
        <v>1500</v>
      </c>
      <c r="AL379" s="123"/>
    </row>
    <row r="380" spans="2:38" x14ac:dyDescent="0.4">
      <c r="B380" s="356">
        <v>1505</v>
      </c>
      <c r="C380" s="851"/>
      <c r="D380" s="787"/>
      <c r="E380" s="829"/>
      <c r="F380" s="852"/>
      <c r="G380" s="851"/>
      <c r="H380" s="787"/>
      <c r="I380" s="829"/>
      <c r="J380" s="852"/>
      <c r="K380" s="851"/>
      <c r="L380" s="787"/>
      <c r="M380" s="829"/>
      <c r="N380" s="852"/>
      <c r="O380" s="851"/>
      <c r="P380" s="787"/>
      <c r="Q380" s="829"/>
      <c r="R380" s="852"/>
      <c r="S380" s="851"/>
      <c r="T380" s="787"/>
      <c r="U380" s="829"/>
      <c r="V380" s="852"/>
      <c r="W380" s="851"/>
      <c r="X380" s="787"/>
      <c r="Y380" s="829"/>
      <c r="Z380" s="852"/>
      <c r="AA380" s="851"/>
      <c r="AB380" s="787"/>
      <c r="AC380" s="829"/>
      <c r="AD380" s="852"/>
      <c r="AE380" s="851"/>
      <c r="AF380" s="787"/>
      <c r="AG380" s="355">
        <v>1505</v>
      </c>
      <c r="AL380" s="123"/>
    </row>
    <row r="381" spans="2:38" x14ac:dyDescent="0.4">
      <c r="B381" s="356">
        <v>1510</v>
      </c>
      <c r="C381" s="851"/>
      <c r="D381" s="787"/>
      <c r="E381" s="829"/>
      <c r="F381" s="852"/>
      <c r="G381" s="851"/>
      <c r="H381" s="787"/>
      <c r="I381" s="829"/>
      <c r="J381" s="852"/>
      <c r="K381" s="851"/>
      <c r="L381" s="787"/>
      <c r="M381" s="829"/>
      <c r="N381" s="852"/>
      <c r="O381" s="851"/>
      <c r="P381" s="787"/>
      <c r="Q381" s="829"/>
      <c r="R381" s="852"/>
      <c r="S381" s="851"/>
      <c r="T381" s="787"/>
      <c r="U381" s="829"/>
      <c r="V381" s="852"/>
      <c r="W381" s="851"/>
      <c r="X381" s="787"/>
      <c r="Y381" s="829"/>
      <c r="Z381" s="852"/>
      <c r="AA381" s="851"/>
      <c r="AB381" s="787"/>
      <c r="AC381" s="829"/>
      <c r="AD381" s="852"/>
      <c r="AE381" s="851"/>
      <c r="AF381" s="787"/>
      <c r="AG381" s="355">
        <v>1510</v>
      </c>
      <c r="AL381" s="123"/>
    </row>
    <row r="382" spans="2:38" x14ac:dyDescent="0.4">
      <c r="B382" s="356">
        <v>1515</v>
      </c>
      <c r="C382" s="851"/>
      <c r="D382" s="787"/>
      <c r="E382" s="829"/>
      <c r="F382" s="852"/>
      <c r="G382" s="851"/>
      <c r="H382" s="787"/>
      <c r="I382" s="829"/>
      <c r="J382" s="852"/>
      <c r="K382" s="851"/>
      <c r="L382" s="787"/>
      <c r="M382" s="829"/>
      <c r="N382" s="852"/>
      <c r="O382" s="851"/>
      <c r="P382" s="787"/>
      <c r="Q382" s="829"/>
      <c r="R382" s="852"/>
      <c r="S382" s="851"/>
      <c r="T382" s="787"/>
      <c r="U382" s="829"/>
      <c r="V382" s="852"/>
      <c r="W382" s="851"/>
      <c r="X382" s="787"/>
      <c r="Y382" s="829"/>
      <c r="Z382" s="852"/>
      <c r="AA382" s="851"/>
      <c r="AB382" s="787"/>
      <c r="AC382" s="829"/>
      <c r="AD382" s="852"/>
      <c r="AE382" s="851"/>
      <c r="AF382" s="787"/>
      <c r="AG382" s="355">
        <v>1515</v>
      </c>
      <c r="AL382" s="123"/>
    </row>
    <row r="383" spans="2:38" x14ac:dyDescent="0.4">
      <c r="B383" s="356">
        <v>1520</v>
      </c>
      <c r="C383" s="851"/>
      <c r="D383" s="787"/>
      <c r="E383" s="829"/>
      <c r="F383" s="852"/>
      <c r="G383" s="851"/>
      <c r="H383" s="787"/>
      <c r="I383" s="829"/>
      <c r="J383" s="852"/>
      <c r="K383" s="851"/>
      <c r="L383" s="787"/>
      <c r="M383" s="829"/>
      <c r="N383" s="852"/>
      <c r="O383" s="851"/>
      <c r="P383" s="787"/>
      <c r="Q383" s="829"/>
      <c r="R383" s="852"/>
      <c r="S383" s="851"/>
      <c r="T383" s="787"/>
      <c r="U383" s="829"/>
      <c r="V383" s="852"/>
      <c r="W383" s="851"/>
      <c r="X383" s="787"/>
      <c r="Y383" s="829"/>
      <c r="Z383" s="852"/>
      <c r="AA383" s="851"/>
      <c r="AB383" s="787"/>
      <c r="AC383" s="829"/>
      <c r="AD383" s="852"/>
      <c r="AE383" s="851"/>
      <c r="AF383" s="787"/>
      <c r="AG383" s="355">
        <v>1520</v>
      </c>
      <c r="AL383" s="123"/>
    </row>
    <row r="384" spans="2:38" x14ac:dyDescent="0.4">
      <c r="B384" s="356">
        <v>1525</v>
      </c>
      <c r="C384" s="851"/>
      <c r="D384" s="787"/>
      <c r="E384" s="829"/>
      <c r="F384" s="852"/>
      <c r="G384" s="851"/>
      <c r="H384" s="787"/>
      <c r="I384" s="829"/>
      <c r="J384" s="852"/>
      <c r="K384" s="851"/>
      <c r="L384" s="787"/>
      <c r="M384" s="829"/>
      <c r="N384" s="852"/>
      <c r="O384" s="851"/>
      <c r="P384" s="787"/>
      <c r="Q384" s="829"/>
      <c r="R384" s="852"/>
      <c r="S384" s="851"/>
      <c r="T384" s="787"/>
      <c r="U384" s="829"/>
      <c r="V384" s="852"/>
      <c r="W384" s="851"/>
      <c r="X384" s="787"/>
      <c r="Y384" s="829"/>
      <c r="Z384" s="852"/>
      <c r="AA384" s="851"/>
      <c r="AB384" s="787"/>
      <c r="AC384" s="829"/>
      <c r="AD384" s="852"/>
      <c r="AE384" s="851"/>
      <c r="AF384" s="787"/>
      <c r="AG384" s="355">
        <v>1525</v>
      </c>
      <c r="AL384" s="123"/>
    </row>
    <row r="385" spans="2:38" x14ac:dyDescent="0.4">
      <c r="B385" s="356">
        <v>1530</v>
      </c>
      <c r="C385" s="851"/>
      <c r="D385" s="787"/>
      <c r="E385" s="829"/>
      <c r="F385" s="852"/>
      <c r="G385" s="851"/>
      <c r="H385" s="787"/>
      <c r="I385" s="829"/>
      <c r="J385" s="852"/>
      <c r="K385" s="851"/>
      <c r="L385" s="787"/>
      <c r="M385" s="829"/>
      <c r="N385" s="852"/>
      <c r="O385" s="851"/>
      <c r="P385" s="787"/>
      <c r="Q385" s="829"/>
      <c r="R385" s="852"/>
      <c r="S385" s="851"/>
      <c r="T385" s="787"/>
      <c r="U385" s="829"/>
      <c r="V385" s="852"/>
      <c r="W385" s="851"/>
      <c r="X385" s="787"/>
      <c r="Y385" s="829"/>
      <c r="Z385" s="852"/>
      <c r="AA385" s="851"/>
      <c r="AB385" s="787"/>
      <c r="AC385" s="829"/>
      <c r="AD385" s="852"/>
      <c r="AE385" s="851"/>
      <c r="AF385" s="787"/>
      <c r="AG385" s="355">
        <v>1530</v>
      </c>
      <c r="AL385" s="123"/>
    </row>
    <row r="386" spans="2:38" x14ac:dyDescent="0.4">
      <c r="B386" s="356">
        <v>1535</v>
      </c>
      <c r="C386" s="851"/>
      <c r="D386" s="787"/>
      <c r="E386" s="829"/>
      <c r="F386" s="852"/>
      <c r="G386" s="851"/>
      <c r="H386" s="787"/>
      <c r="I386" s="829"/>
      <c r="J386" s="852"/>
      <c r="K386" s="851"/>
      <c r="L386" s="787"/>
      <c r="M386" s="829"/>
      <c r="N386" s="852"/>
      <c r="O386" s="851"/>
      <c r="P386" s="787"/>
      <c r="Q386" s="829"/>
      <c r="R386" s="852"/>
      <c r="S386" s="851"/>
      <c r="T386" s="787"/>
      <c r="U386" s="829"/>
      <c r="V386" s="852"/>
      <c r="W386" s="851"/>
      <c r="X386" s="787"/>
      <c r="Y386" s="829"/>
      <c r="Z386" s="852"/>
      <c r="AA386" s="851"/>
      <c r="AB386" s="787"/>
      <c r="AC386" s="829"/>
      <c r="AD386" s="852"/>
      <c r="AE386" s="851"/>
      <c r="AF386" s="787"/>
      <c r="AG386" s="355">
        <v>1535</v>
      </c>
      <c r="AL386" s="123"/>
    </row>
    <row r="387" spans="2:38" x14ac:dyDescent="0.4">
      <c r="B387" s="356">
        <v>1540</v>
      </c>
      <c r="C387" s="851"/>
      <c r="D387" s="787"/>
      <c r="E387" s="829"/>
      <c r="F387" s="852"/>
      <c r="G387" s="851"/>
      <c r="H387" s="787"/>
      <c r="I387" s="829"/>
      <c r="J387" s="852"/>
      <c r="K387" s="851"/>
      <c r="L387" s="787"/>
      <c r="M387" s="829"/>
      <c r="N387" s="852"/>
      <c r="O387" s="851"/>
      <c r="P387" s="787"/>
      <c r="Q387" s="829"/>
      <c r="R387" s="852"/>
      <c r="S387" s="851"/>
      <c r="T387" s="787"/>
      <c r="U387" s="829"/>
      <c r="V387" s="852"/>
      <c r="W387" s="851"/>
      <c r="X387" s="787"/>
      <c r="Y387" s="829"/>
      <c r="Z387" s="852"/>
      <c r="AA387" s="851"/>
      <c r="AB387" s="787"/>
      <c r="AC387" s="829"/>
      <c r="AD387" s="852"/>
      <c r="AE387" s="851"/>
      <c r="AF387" s="787"/>
      <c r="AG387" s="355">
        <v>1540</v>
      </c>
      <c r="AL387" s="123"/>
    </row>
    <row r="388" spans="2:38" x14ac:dyDescent="0.4">
      <c r="B388" s="356">
        <v>1545</v>
      </c>
      <c r="C388" s="851"/>
      <c r="D388" s="787"/>
      <c r="E388" s="829"/>
      <c r="F388" s="852"/>
      <c r="G388" s="851"/>
      <c r="H388" s="787"/>
      <c r="I388" s="829"/>
      <c r="J388" s="852"/>
      <c r="K388" s="851"/>
      <c r="L388" s="787"/>
      <c r="M388" s="829"/>
      <c r="N388" s="852"/>
      <c r="O388" s="851"/>
      <c r="P388" s="787"/>
      <c r="Q388" s="829"/>
      <c r="R388" s="852"/>
      <c r="S388" s="851"/>
      <c r="T388" s="787"/>
      <c r="U388" s="829"/>
      <c r="V388" s="852"/>
      <c r="W388" s="851"/>
      <c r="X388" s="787"/>
      <c r="Y388" s="829"/>
      <c r="Z388" s="852"/>
      <c r="AA388" s="851"/>
      <c r="AB388" s="787"/>
      <c r="AC388" s="829"/>
      <c r="AD388" s="852"/>
      <c r="AE388" s="851"/>
      <c r="AF388" s="787"/>
      <c r="AG388" s="355">
        <v>1545</v>
      </c>
      <c r="AL388" s="123"/>
    </row>
    <row r="389" spans="2:38" x14ac:dyDescent="0.4">
      <c r="B389" s="356">
        <v>1550</v>
      </c>
      <c r="C389" s="851"/>
      <c r="D389" s="787"/>
      <c r="E389" s="829"/>
      <c r="F389" s="852"/>
      <c r="G389" s="851"/>
      <c r="H389" s="787"/>
      <c r="I389" s="829"/>
      <c r="J389" s="852"/>
      <c r="K389" s="851"/>
      <c r="L389" s="787"/>
      <c r="M389" s="829"/>
      <c r="N389" s="852"/>
      <c r="O389" s="851"/>
      <c r="P389" s="787"/>
      <c r="Q389" s="829"/>
      <c r="R389" s="852"/>
      <c r="S389" s="851"/>
      <c r="T389" s="787"/>
      <c r="U389" s="829"/>
      <c r="V389" s="852"/>
      <c r="W389" s="851"/>
      <c r="X389" s="787"/>
      <c r="Y389" s="829"/>
      <c r="Z389" s="852"/>
      <c r="AA389" s="851"/>
      <c r="AB389" s="787"/>
      <c r="AC389" s="829"/>
      <c r="AD389" s="852"/>
      <c r="AE389" s="851"/>
      <c r="AF389" s="787"/>
      <c r="AG389" s="355">
        <v>1550</v>
      </c>
      <c r="AL389" s="123"/>
    </row>
    <row r="390" spans="2:38" x14ac:dyDescent="0.4">
      <c r="B390" s="356">
        <v>1555</v>
      </c>
      <c r="C390" s="851"/>
      <c r="D390" s="787"/>
      <c r="E390" s="829"/>
      <c r="F390" s="852"/>
      <c r="G390" s="851"/>
      <c r="H390" s="787"/>
      <c r="I390" s="829"/>
      <c r="J390" s="852"/>
      <c r="K390" s="851"/>
      <c r="L390" s="787"/>
      <c r="M390" s="829"/>
      <c r="N390" s="852"/>
      <c r="O390" s="851"/>
      <c r="P390" s="787"/>
      <c r="Q390" s="829"/>
      <c r="R390" s="852"/>
      <c r="S390" s="851"/>
      <c r="T390" s="787"/>
      <c r="U390" s="829"/>
      <c r="V390" s="852"/>
      <c r="W390" s="851"/>
      <c r="X390" s="787"/>
      <c r="Y390" s="829"/>
      <c r="Z390" s="852"/>
      <c r="AA390" s="851"/>
      <c r="AB390" s="787"/>
      <c r="AC390" s="829"/>
      <c r="AD390" s="852"/>
      <c r="AE390" s="851"/>
      <c r="AF390" s="787"/>
      <c r="AG390" s="355">
        <v>1555</v>
      </c>
      <c r="AL390" s="123"/>
    </row>
    <row r="391" spans="2:38" x14ac:dyDescent="0.4">
      <c r="B391" s="356">
        <v>1560</v>
      </c>
      <c r="C391" s="851"/>
      <c r="D391" s="787"/>
      <c r="E391" s="829"/>
      <c r="F391" s="852"/>
      <c r="G391" s="851"/>
      <c r="H391" s="787"/>
      <c r="I391" s="829"/>
      <c r="J391" s="852"/>
      <c r="K391" s="851"/>
      <c r="L391" s="787"/>
      <c r="M391" s="829"/>
      <c r="N391" s="852"/>
      <c r="O391" s="851"/>
      <c r="P391" s="787"/>
      <c r="Q391" s="829"/>
      <c r="R391" s="852"/>
      <c r="S391" s="851"/>
      <c r="T391" s="787"/>
      <c r="U391" s="829"/>
      <c r="V391" s="852"/>
      <c r="W391" s="851"/>
      <c r="X391" s="787"/>
      <c r="Y391" s="829"/>
      <c r="Z391" s="852"/>
      <c r="AA391" s="851"/>
      <c r="AB391" s="787"/>
      <c r="AC391" s="829"/>
      <c r="AD391" s="852"/>
      <c r="AE391" s="851"/>
      <c r="AF391" s="787"/>
      <c r="AG391" s="355">
        <v>1560</v>
      </c>
      <c r="AL391" s="123"/>
    </row>
    <row r="392" spans="2:38" x14ac:dyDescent="0.4">
      <c r="B392" s="356">
        <v>1565</v>
      </c>
      <c r="C392" s="851"/>
      <c r="D392" s="787"/>
      <c r="E392" s="829"/>
      <c r="F392" s="852"/>
      <c r="G392" s="851"/>
      <c r="H392" s="787"/>
      <c r="I392" s="829"/>
      <c r="J392" s="852"/>
      <c r="K392" s="851"/>
      <c r="L392" s="787"/>
      <c r="M392" s="829"/>
      <c r="N392" s="852"/>
      <c r="O392" s="851"/>
      <c r="P392" s="787"/>
      <c r="Q392" s="829"/>
      <c r="R392" s="852"/>
      <c r="S392" s="851"/>
      <c r="T392" s="787"/>
      <c r="U392" s="829"/>
      <c r="V392" s="852"/>
      <c r="W392" s="851"/>
      <c r="X392" s="787"/>
      <c r="Y392" s="829"/>
      <c r="Z392" s="852"/>
      <c r="AA392" s="851"/>
      <c r="AB392" s="787"/>
      <c r="AC392" s="829"/>
      <c r="AD392" s="852"/>
      <c r="AE392" s="851"/>
      <c r="AF392" s="787"/>
      <c r="AG392" s="355">
        <v>1565</v>
      </c>
      <c r="AL392" s="123"/>
    </row>
    <row r="393" spans="2:38" x14ac:dyDescent="0.4">
      <c r="B393" s="356">
        <v>1570</v>
      </c>
      <c r="C393" s="851"/>
      <c r="D393" s="787"/>
      <c r="E393" s="829"/>
      <c r="F393" s="852"/>
      <c r="G393" s="851"/>
      <c r="H393" s="787"/>
      <c r="I393" s="829"/>
      <c r="J393" s="852"/>
      <c r="K393" s="851"/>
      <c r="L393" s="787"/>
      <c r="M393" s="829"/>
      <c r="N393" s="852"/>
      <c r="O393" s="851"/>
      <c r="P393" s="787"/>
      <c r="Q393" s="829"/>
      <c r="R393" s="852"/>
      <c r="S393" s="851"/>
      <c r="T393" s="787"/>
      <c r="U393" s="829"/>
      <c r="V393" s="852"/>
      <c r="W393" s="851"/>
      <c r="X393" s="787"/>
      <c r="Y393" s="829"/>
      <c r="Z393" s="852"/>
      <c r="AA393" s="851"/>
      <c r="AB393" s="787"/>
      <c r="AC393" s="829"/>
      <c r="AD393" s="852"/>
      <c r="AE393" s="851"/>
      <c r="AF393" s="787"/>
      <c r="AG393" s="355">
        <v>1570</v>
      </c>
      <c r="AL393" s="123"/>
    </row>
    <row r="394" spans="2:38" x14ac:dyDescent="0.4">
      <c r="B394" s="356">
        <v>1575</v>
      </c>
      <c r="C394" s="851"/>
      <c r="D394" s="787"/>
      <c r="E394" s="829"/>
      <c r="F394" s="852"/>
      <c r="G394" s="851"/>
      <c r="H394" s="787"/>
      <c r="I394" s="829"/>
      <c r="J394" s="852"/>
      <c r="K394" s="851"/>
      <c r="L394" s="787"/>
      <c r="M394" s="829"/>
      <c r="N394" s="852"/>
      <c r="O394" s="851"/>
      <c r="P394" s="787"/>
      <c r="Q394" s="829"/>
      <c r="R394" s="852"/>
      <c r="S394" s="851"/>
      <c r="T394" s="787"/>
      <c r="U394" s="829"/>
      <c r="V394" s="852"/>
      <c r="W394" s="851"/>
      <c r="X394" s="787"/>
      <c r="Y394" s="829"/>
      <c r="Z394" s="852"/>
      <c r="AA394" s="851"/>
      <c r="AB394" s="787"/>
      <c r="AC394" s="829"/>
      <c r="AD394" s="852"/>
      <c r="AE394" s="851"/>
      <c r="AF394" s="787"/>
      <c r="AG394" s="355">
        <v>1575</v>
      </c>
      <c r="AL394" s="123"/>
    </row>
    <row r="395" spans="2:38" x14ac:dyDescent="0.4">
      <c r="B395" s="356">
        <v>1580</v>
      </c>
      <c r="C395" s="851"/>
      <c r="D395" s="787"/>
      <c r="E395" s="829"/>
      <c r="F395" s="852"/>
      <c r="G395" s="851"/>
      <c r="H395" s="787"/>
      <c r="I395" s="829"/>
      <c r="J395" s="852"/>
      <c r="K395" s="851"/>
      <c r="L395" s="787"/>
      <c r="M395" s="829"/>
      <c r="N395" s="852"/>
      <c r="O395" s="851"/>
      <c r="P395" s="787"/>
      <c r="Q395" s="829"/>
      <c r="R395" s="852"/>
      <c r="S395" s="851"/>
      <c r="T395" s="787"/>
      <c r="U395" s="829"/>
      <c r="V395" s="852"/>
      <c r="W395" s="851"/>
      <c r="X395" s="787"/>
      <c r="Y395" s="829"/>
      <c r="Z395" s="852"/>
      <c r="AA395" s="851"/>
      <c r="AB395" s="787"/>
      <c r="AC395" s="829"/>
      <c r="AD395" s="852"/>
      <c r="AE395" s="851"/>
      <c r="AF395" s="787"/>
      <c r="AG395" s="355">
        <v>1580</v>
      </c>
      <c r="AL395" s="123"/>
    </row>
    <row r="396" spans="2:38" x14ac:dyDescent="0.4">
      <c r="B396" s="356">
        <v>1585</v>
      </c>
      <c r="C396" s="851"/>
      <c r="D396" s="787"/>
      <c r="E396" s="829"/>
      <c r="F396" s="852"/>
      <c r="G396" s="851"/>
      <c r="H396" s="787"/>
      <c r="I396" s="829"/>
      <c r="J396" s="852"/>
      <c r="K396" s="851"/>
      <c r="L396" s="787"/>
      <c r="M396" s="829"/>
      <c r="N396" s="852"/>
      <c r="O396" s="851"/>
      <c r="P396" s="787"/>
      <c r="Q396" s="829"/>
      <c r="R396" s="852"/>
      <c r="S396" s="851"/>
      <c r="T396" s="787"/>
      <c r="U396" s="829"/>
      <c r="V396" s="852"/>
      <c r="W396" s="851"/>
      <c r="X396" s="787"/>
      <c r="Y396" s="829"/>
      <c r="Z396" s="852"/>
      <c r="AA396" s="851"/>
      <c r="AB396" s="787"/>
      <c r="AC396" s="829"/>
      <c r="AD396" s="852"/>
      <c r="AE396" s="851"/>
      <c r="AF396" s="787"/>
      <c r="AG396" s="355">
        <v>1585</v>
      </c>
      <c r="AL396" s="123"/>
    </row>
    <row r="397" spans="2:38" x14ac:dyDescent="0.4">
      <c r="B397" s="356">
        <v>1590</v>
      </c>
      <c r="C397" s="851"/>
      <c r="D397" s="787"/>
      <c r="E397" s="829"/>
      <c r="F397" s="852"/>
      <c r="G397" s="851"/>
      <c r="H397" s="787"/>
      <c r="I397" s="829"/>
      <c r="J397" s="852"/>
      <c r="K397" s="851"/>
      <c r="L397" s="787"/>
      <c r="M397" s="829"/>
      <c r="N397" s="852"/>
      <c r="O397" s="851"/>
      <c r="P397" s="787"/>
      <c r="Q397" s="829"/>
      <c r="R397" s="852"/>
      <c r="S397" s="851"/>
      <c r="T397" s="787"/>
      <c r="U397" s="829"/>
      <c r="V397" s="852"/>
      <c r="W397" s="851"/>
      <c r="X397" s="787"/>
      <c r="Y397" s="829"/>
      <c r="Z397" s="852"/>
      <c r="AA397" s="851"/>
      <c r="AB397" s="787"/>
      <c r="AC397" s="829"/>
      <c r="AD397" s="852"/>
      <c r="AE397" s="851"/>
      <c r="AF397" s="787"/>
      <c r="AG397" s="355">
        <v>1590</v>
      </c>
      <c r="AL397" s="123"/>
    </row>
    <row r="398" spans="2:38" x14ac:dyDescent="0.4">
      <c r="B398" s="356">
        <v>1595</v>
      </c>
      <c r="C398" s="851"/>
      <c r="D398" s="787"/>
      <c r="E398" s="829"/>
      <c r="F398" s="852"/>
      <c r="G398" s="851"/>
      <c r="H398" s="787"/>
      <c r="I398" s="829"/>
      <c r="J398" s="852"/>
      <c r="K398" s="851"/>
      <c r="L398" s="787"/>
      <c r="M398" s="829"/>
      <c r="N398" s="852"/>
      <c r="O398" s="851"/>
      <c r="P398" s="787"/>
      <c r="Q398" s="829"/>
      <c r="R398" s="852"/>
      <c r="S398" s="851"/>
      <c r="T398" s="787"/>
      <c r="U398" s="829"/>
      <c r="V398" s="852"/>
      <c r="W398" s="851"/>
      <c r="X398" s="787"/>
      <c r="Y398" s="829"/>
      <c r="Z398" s="852"/>
      <c r="AA398" s="851"/>
      <c r="AB398" s="787"/>
      <c r="AC398" s="829"/>
      <c r="AD398" s="852"/>
      <c r="AE398" s="851"/>
      <c r="AF398" s="787"/>
      <c r="AG398" s="355">
        <v>1595</v>
      </c>
      <c r="AL398" s="123"/>
    </row>
    <row r="399" spans="2:38" x14ac:dyDescent="0.4">
      <c r="B399" s="356">
        <v>1600</v>
      </c>
      <c r="C399" s="851"/>
      <c r="D399" s="787"/>
      <c r="E399" s="829"/>
      <c r="F399" s="852"/>
      <c r="G399" s="851"/>
      <c r="H399" s="787"/>
      <c r="I399" s="829"/>
      <c r="J399" s="852"/>
      <c r="K399" s="851"/>
      <c r="L399" s="787"/>
      <c r="M399" s="829"/>
      <c r="N399" s="852"/>
      <c r="O399" s="851"/>
      <c r="P399" s="787"/>
      <c r="Q399" s="829"/>
      <c r="R399" s="852"/>
      <c r="S399" s="851"/>
      <c r="T399" s="787"/>
      <c r="U399" s="829"/>
      <c r="V399" s="852"/>
      <c r="W399" s="851"/>
      <c r="X399" s="787"/>
      <c r="Y399" s="829"/>
      <c r="Z399" s="852"/>
      <c r="AA399" s="851"/>
      <c r="AB399" s="787"/>
      <c r="AC399" s="829"/>
      <c r="AD399" s="852"/>
      <c r="AE399" s="851"/>
      <c r="AF399" s="787"/>
      <c r="AG399" s="355">
        <v>1600</v>
      </c>
      <c r="AL399" s="123"/>
    </row>
    <row r="400" spans="2:38" x14ac:dyDescent="0.4">
      <c r="B400" s="356">
        <v>1605</v>
      </c>
      <c r="C400" s="851"/>
      <c r="D400" s="787"/>
      <c r="E400" s="829"/>
      <c r="F400" s="852"/>
      <c r="G400" s="851"/>
      <c r="H400" s="787"/>
      <c r="I400" s="829"/>
      <c r="J400" s="852"/>
      <c r="K400" s="851"/>
      <c r="L400" s="787"/>
      <c r="M400" s="829"/>
      <c r="N400" s="852"/>
      <c r="O400" s="851"/>
      <c r="P400" s="787"/>
      <c r="Q400" s="829"/>
      <c r="R400" s="852"/>
      <c r="S400" s="851"/>
      <c r="T400" s="787"/>
      <c r="U400" s="829"/>
      <c r="V400" s="852"/>
      <c r="W400" s="851"/>
      <c r="X400" s="787"/>
      <c r="Y400" s="829"/>
      <c r="Z400" s="852"/>
      <c r="AA400" s="851"/>
      <c r="AB400" s="787"/>
      <c r="AC400" s="829"/>
      <c r="AD400" s="852"/>
      <c r="AE400" s="851"/>
      <c r="AF400" s="787"/>
      <c r="AG400" s="355">
        <v>1605</v>
      </c>
      <c r="AL400" s="123"/>
    </row>
    <row r="401" spans="2:38" x14ac:dyDescent="0.4">
      <c r="B401" s="356">
        <v>1610</v>
      </c>
      <c r="C401" s="851"/>
      <c r="D401" s="787"/>
      <c r="E401" s="829"/>
      <c r="F401" s="852"/>
      <c r="G401" s="851"/>
      <c r="H401" s="787"/>
      <c r="I401" s="829"/>
      <c r="J401" s="852"/>
      <c r="K401" s="851"/>
      <c r="L401" s="787"/>
      <c r="M401" s="829"/>
      <c r="N401" s="852"/>
      <c r="O401" s="851"/>
      <c r="P401" s="787"/>
      <c r="Q401" s="829"/>
      <c r="R401" s="852"/>
      <c r="S401" s="851"/>
      <c r="T401" s="787"/>
      <c r="U401" s="829"/>
      <c r="V401" s="852"/>
      <c r="W401" s="851"/>
      <c r="X401" s="787"/>
      <c r="Y401" s="829"/>
      <c r="Z401" s="852"/>
      <c r="AA401" s="851"/>
      <c r="AB401" s="787"/>
      <c r="AC401" s="829"/>
      <c r="AD401" s="852"/>
      <c r="AE401" s="851"/>
      <c r="AF401" s="787"/>
      <c r="AG401" s="355">
        <v>1610</v>
      </c>
      <c r="AL401" s="123"/>
    </row>
    <row r="402" spans="2:38" x14ac:dyDescent="0.4">
      <c r="B402" s="356">
        <v>1615</v>
      </c>
      <c r="C402" s="851"/>
      <c r="D402" s="787"/>
      <c r="E402" s="829"/>
      <c r="F402" s="852"/>
      <c r="G402" s="851"/>
      <c r="H402" s="787"/>
      <c r="I402" s="829"/>
      <c r="J402" s="852"/>
      <c r="K402" s="851"/>
      <c r="L402" s="787"/>
      <c r="M402" s="829"/>
      <c r="N402" s="852"/>
      <c r="O402" s="851"/>
      <c r="P402" s="787"/>
      <c r="Q402" s="829"/>
      <c r="R402" s="852"/>
      <c r="S402" s="851"/>
      <c r="T402" s="787"/>
      <c r="U402" s="829"/>
      <c r="V402" s="852"/>
      <c r="W402" s="851"/>
      <c r="X402" s="787"/>
      <c r="Y402" s="829"/>
      <c r="Z402" s="852"/>
      <c r="AA402" s="851"/>
      <c r="AB402" s="787"/>
      <c r="AC402" s="829"/>
      <c r="AD402" s="852"/>
      <c r="AE402" s="851"/>
      <c r="AF402" s="787"/>
      <c r="AG402" s="355">
        <v>1615</v>
      </c>
      <c r="AL402" s="123"/>
    </row>
    <row r="403" spans="2:38" x14ac:dyDescent="0.4">
      <c r="B403" s="356">
        <v>1620</v>
      </c>
      <c r="C403" s="851"/>
      <c r="D403" s="787"/>
      <c r="E403" s="829"/>
      <c r="F403" s="852"/>
      <c r="G403" s="851"/>
      <c r="H403" s="787"/>
      <c r="I403" s="829"/>
      <c r="J403" s="852"/>
      <c r="K403" s="851"/>
      <c r="L403" s="787"/>
      <c r="M403" s="829"/>
      <c r="N403" s="852"/>
      <c r="O403" s="851"/>
      <c r="P403" s="787"/>
      <c r="Q403" s="829"/>
      <c r="R403" s="852"/>
      <c r="S403" s="851"/>
      <c r="T403" s="787"/>
      <c r="U403" s="829"/>
      <c r="V403" s="852"/>
      <c r="W403" s="851"/>
      <c r="X403" s="787"/>
      <c r="Y403" s="829"/>
      <c r="Z403" s="852"/>
      <c r="AA403" s="851"/>
      <c r="AB403" s="787"/>
      <c r="AC403" s="829"/>
      <c r="AD403" s="852"/>
      <c r="AE403" s="851"/>
      <c r="AF403" s="787"/>
      <c r="AG403" s="355">
        <v>1620</v>
      </c>
      <c r="AL403" s="123"/>
    </row>
    <row r="404" spans="2:38" x14ac:dyDescent="0.4">
      <c r="B404" s="356">
        <v>1625</v>
      </c>
      <c r="C404" s="851"/>
      <c r="D404" s="787"/>
      <c r="E404" s="829"/>
      <c r="F404" s="852"/>
      <c r="G404" s="851"/>
      <c r="H404" s="787"/>
      <c r="I404" s="829"/>
      <c r="J404" s="852"/>
      <c r="K404" s="851"/>
      <c r="L404" s="787"/>
      <c r="M404" s="829"/>
      <c r="N404" s="852"/>
      <c r="O404" s="851"/>
      <c r="P404" s="787"/>
      <c r="Q404" s="829"/>
      <c r="R404" s="852"/>
      <c r="S404" s="851"/>
      <c r="T404" s="787"/>
      <c r="U404" s="829"/>
      <c r="V404" s="852"/>
      <c r="W404" s="851"/>
      <c r="X404" s="787"/>
      <c r="Y404" s="829"/>
      <c r="Z404" s="852"/>
      <c r="AA404" s="851"/>
      <c r="AB404" s="787"/>
      <c r="AC404" s="829"/>
      <c r="AD404" s="852"/>
      <c r="AE404" s="851"/>
      <c r="AF404" s="787"/>
      <c r="AG404" s="355">
        <v>1625</v>
      </c>
      <c r="AL404" s="123"/>
    </row>
    <row r="405" spans="2:38" x14ac:dyDescent="0.4">
      <c r="B405" s="356">
        <v>1630</v>
      </c>
      <c r="C405" s="851"/>
      <c r="D405" s="787"/>
      <c r="E405" s="829"/>
      <c r="F405" s="852"/>
      <c r="G405" s="851"/>
      <c r="H405" s="787"/>
      <c r="I405" s="829"/>
      <c r="J405" s="852"/>
      <c r="K405" s="851"/>
      <c r="L405" s="787"/>
      <c r="M405" s="829"/>
      <c r="N405" s="852"/>
      <c r="O405" s="851"/>
      <c r="P405" s="787"/>
      <c r="Q405" s="829"/>
      <c r="R405" s="852"/>
      <c r="S405" s="851"/>
      <c r="T405" s="787"/>
      <c r="U405" s="829"/>
      <c r="V405" s="852"/>
      <c r="W405" s="851"/>
      <c r="X405" s="787"/>
      <c r="Y405" s="829"/>
      <c r="Z405" s="852"/>
      <c r="AA405" s="851"/>
      <c r="AB405" s="787"/>
      <c r="AC405" s="829"/>
      <c r="AD405" s="852"/>
      <c r="AE405" s="851"/>
      <c r="AF405" s="787"/>
      <c r="AG405" s="355">
        <v>1630</v>
      </c>
      <c r="AL405" s="123"/>
    </row>
    <row r="406" spans="2:38" x14ac:dyDescent="0.4">
      <c r="B406" s="356">
        <v>1635</v>
      </c>
      <c r="C406" s="851"/>
      <c r="D406" s="787"/>
      <c r="E406" s="829"/>
      <c r="F406" s="852"/>
      <c r="G406" s="851"/>
      <c r="H406" s="787"/>
      <c r="I406" s="829"/>
      <c r="J406" s="852"/>
      <c r="K406" s="851"/>
      <c r="L406" s="787"/>
      <c r="M406" s="829"/>
      <c r="N406" s="852"/>
      <c r="O406" s="851"/>
      <c r="P406" s="787"/>
      <c r="Q406" s="829"/>
      <c r="R406" s="852"/>
      <c r="S406" s="851"/>
      <c r="T406" s="787"/>
      <c r="U406" s="829"/>
      <c r="V406" s="852"/>
      <c r="W406" s="851"/>
      <c r="X406" s="787"/>
      <c r="Y406" s="829"/>
      <c r="Z406" s="852"/>
      <c r="AA406" s="851"/>
      <c r="AB406" s="787"/>
      <c r="AC406" s="829"/>
      <c r="AD406" s="852"/>
      <c r="AE406" s="851"/>
      <c r="AF406" s="787"/>
      <c r="AG406" s="355">
        <v>1635</v>
      </c>
      <c r="AL406" s="123"/>
    </row>
    <row r="407" spans="2:38" x14ac:dyDescent="0.4">
      <c r="B407" s="356">
        <v>1640</v>
      </c>
      <c r="C407" s="851"/>
      <c r="D407" s="787"/>
      <c r="E407" s="829"/>
      <c r="F407" s="852"/>
      <c r="G407" s="851"/>
      <c r="H407" s="787"/>
      <c r="I407" s="829"/>
      <c r="J407" s="852"/>
      <c r="K407" s="851"/>
      <c r="L407" s="787"/>
      <c r="M407" s="829"/>
      <c r="N407" s="852"/>
      <c r="O407" s="851"/>
      <c r="P407" s="787"/>
      <c r="Q407" s="829"/>
      <c r="R407" s="852"/>
      <c r="S407" s="851"/>
      <c r="T407" s="787"/>
      <c r="U407" s="829"/>
      <c r="V407" s="852"/>
      <c r="W407" s="851"/>
      <c r="X407" s="787"/>
      <c r="Y407" s="829"/>
      <c r="Z407" s="852"/>
      <c r="AA407" s="851"/>
      <c r="AB407" s="787"/>
      <c r="AC407" s="829"/>
      <c r="AD407" s="852"/>
      <c r="AE407" s="851"/>
      <c r="AF407" s="787"/>
      <c r="AG407" s="355">
        <v>1640</v>
      </c>
      <c r="AL407" s="123"/>
    </row>
    <row r="408" spans="2:38" x14ac:dyDescent="0.4">
      <c r="B408" s="356">
        <v>1645</v>
      </c>
      <c r="C408" s="851"/>
      <c r="D408" s="787"/>
      <c r="E408" s="829"/>
      <c r="F408" s="852"/>
      <c r="G408" s="851"/>
      <c r="H408" s="787"/>
      <c r="I408" s="829"/>
      <c r="J408" s="852"/>
      <c r="K408" s="851"/>
      <c r="L408" s="787"/>
      <c r="M408" s="829"/>
      <c r="N408" s="852"/>
      <c r="O408" s="851"/>
      <c r="P408" s="787"/>
      <c r="Q408" s="829"/>
      <c r="R408" s="852"/>
      <c r="S408" s="851"/>
      <c r="T408" s="787"/>
      <c r="U408" s="829"/>
      <c r="V408" s="852"/>
      <c r="W408" s="851"/>
      <c r="X408" s="787"/>
      <c r="Y408" s="829"/>
      <c r="Z408" s="852"/>
      <c r="AA408" s="851"/>
      <c r="AB408" s="787"/>
      <c r="AC408" s="829"/>
      <c r="AD408" s="852"/>
      <c r="AE408" s="851"/>
      <c r="AF408" s="787"/>
      <c r="AG408" s="355">
        <v>1645</v>
      </c>
      <c r="AL408" s="123"/>
    </row>
    <row r="409" spans="2:38" x14ac:dyDescent="0.4">
      <c r="B409" s="356">
        <v>1650</v>
      </c>
      <c r="C409" s="851"/>
      <c r="D409" s="787"/>
      <c r="E409" s="829"/>
      <c r="F409" s="852"/>
      <c r="G409" s="851"/>
      <c r="H409" s="787"/>
      <c r="I409" s="829"/>
      <c r="J409" s="852"/>
      <c r="K409" s="851"/>
      <c r="L409" s="787"/>
      <c r="M409" s="829"/>
      <c r="N409" s="852"/>
      <c r="O409" s="851"/>
      <c r="P409" s="787"/>
      <c r="Q409" s="829"/>
      <c r="R409" s="852"/>
      <c r="S409" s="851"/>
      <c r="T409" s="787"/>
      <c r="U409" s="829"/>
      <c r="V409" s="852"/>
      <c r="W409" s="851"/>
      <c r="X409" s="787"/>
      <c r="Y409" s="829"/>
      <c r="Z409" s="852"/>
      <c r="AA409" s="851"/>
      <c r="AB409" s="787"/>
      <c r="AC409" s="829"/>
      <c r="AD409" s="852"/>
      <c r="AE409" s="851"/>
      <c r="AF409" s="787"/>
      <c r="AG409" s="355">
        <v>1650</v>
      </c>
      <c r="AL409" s="123"/>
    </row>
    <row r="410" spans="2:38" x14ac:dyDescent="0.4">
      <c r="B410" s="356">
        <v>1655</v>
      </c>
      <c r="C410" s="851"/>
      <c r="D410" s="787"/>
      <c r="E410" s="829"/>
      <c r="F410" s="852"/>
      <c r="G410" s="851"/>
      <c r="H410" s="787"/>
      <c r="I410" s="829"/>
      <c r="J410" s="852"/>
      <c r="K410" s="851"/>
      <c r="L410" s="787"/>
      <c r="M410" s="829"/>
      <c r="N410" s="852"/>
      <c r="O410" s="851"/>
      <c r="P410" s="787"/>
      <c r="Q410" s="829"/>
      <c r="R410" s="852"/>
      <c r="S410" s="851"/>
      <c r="T410" s="787"/>
      <c r="U410" s="829"/>
      <c r="V410" s="852"/>
      <c r="W410" s="851"/>
      <c r="X410" s="787"/>
      <c r="Y410" s="829"/>
      <c r="Z410" s="852"/>
      <c r="AA410" s="851"/>
      <c r="AB410" s="787"/>
      <c r="AC410" s="829"/>
      <c r="AD410" s="852"/>
      <c r="AE410" s="851"/>
      <c r="AF410" s="787"/>
      <c r="AG410" s="355">
        <v>1655</v>
      </c>
      <c r="AL410" s="123"/>
    </row>
    <row r="411" spans="2:38" x14ac:dyDescent="0.4">
      <c r="B411" s="356">
        <v>1660</v>
      </c>
      <c r="C411" s="851"/>
      <c r="D411" s="787"/>
      <c r="E411" s="829"/>
      <c r="F411" s="852"/>
      <c r="G411" s="851"/>
      <c r="H411" s="787"/>
      <c r="I411" s="829"/>
      <c r="J411" s="852"/>
      <c r="K411" s="851"/>
      <c r="L411" s="787"/>
      <c r="M411" s="829"/>
      <c r="N411" s="852"/>
      <c r="O411" s="851"/>
      <c r="P411" s="787"/>
      <c r="Q411" s="829"/>
      <c r="R411" s="852"/>
      <c r="S411" s="851"/>
      <c r="T411" s="787"/>
      <c r="U411" s="829"/>
      <c r="V411" s="852"/>
      <c r="W411" s="851"/>
      <c r="X411" s="787"/>
      <c r="Y411" s="829"/>
      <c r="Z411" s="852"/>
      <c r="AA411" s="851"/>
      <c r="AB411" s="787"/>
      <c r="AC411" s="829"/>
      <c r="AD411" s="852"/>
      <c r="AE411" s="851"/>
      <c r="AF411" s="787"/>
      <c r="AG411" s="355">
        <v>1660</v>
      </c>
      <c r="AL411" s="123"/>
    </row>
    <row r="412" spans="2:38" x14ac:dyDescent="0.4">
      <c r="B412" s="356">
        <v>1665</v>
      </c>
      <c r="C412" s="851"/>
      <c r="D412" s="787"/>
      <c r="E412" s="829"/>
      <c r="F412" s="852"/>
      <c r="G412" s="851"/>
      <c r="H412" s="787"/>
      <c r="I412" s="829"/>
      <c r="J412" s="852"/>
      <c r="K412" s="851"/>
      <c r="L412" s="787"/>
      <c r="M412" s="829"/>
      <c r="N412" s="852"/>
      <c r="O412" s="851"/>
      <c r="P412" s="787"/>
      <c r="Q412" s="829"/>
      <c r="R412" s="852"/>
      <c r="S412" s="851"/>
      <c r="T412" s="787"/>
      <c r="U412" s="829"/>
      <c r="V412" s="852"/>
      <c r="W412" s="851"/>
      <c r="X412" s="787"/>
      <c r="Y412" s="829"/>
      <c r="Z412" s="852"/>
      <c r="AA412" s="851"/>
      <c r="AB412" s="787"/>
      <c r="AC412" s="829"/>
      <c r="AD412" s="852"/>
      <c r="AE412" s="851"/>
      <c r="AF412" s="787"/>
      <c r="AG412" s="355">
        <v>1665</v>
      </c>
      <c r="AL412" s="123"/>
    </row>
    <row r="413" spans="2:38" x14ac:dyDescent="0.4">
      <c r="B413" s="356">
        <v>1670</v>
      </c>
      <c r="C413" s="851"/>
      <c r="D413" s="787"/>
      <c r="E413" s="829"/>
      <c r="F413" s="852"/>
      <c r="G413" s="851"/>
      <c r="H413" s="787"/>
      <c r="I413" s="829"/>
      <c r="J413" s="852"/>
      <c r="K413" s="851"/>
      <c r="L413" s="787"/>
      <c r="M413" s="829"/>
      <c r="N413" s="852"/>
      <c r="O413" s="851"/>
      <c r="P413" s="787"/>
      <c r="Q413" s="829"/>
      <c r="R413" s="852"/>
      <c r="S413" s="851"/>
      <c r="T413" s="787"/>
      <c r="U413" s="829"/>
      <c r="V413" s="852"/>
      <c r="W413" s="851"/>
      <c r="X413" s="787"/>
      <c r="Y413" s="829"/>
      <c r="Z413" s="852"/>
      <c r="AA413" s="851"/>
      <c r="AB413" s="787"/>
      <c r="AC413" s="829"/>
      <c r="AD413" s="852"/>
      <c r="AE413" s="851"/>
      <c r="AF413" s="787"/>
      <c r="AG413" s="355">
        <v>1670</v>
      </c>
      <c r="AL413" s="123"/>
    </row>
    <row r="414" spans="2:38" x14ac:dyDescent="0.4">
      <c r="B414" s="356">
        <v>1675</v>
      </c>
      <c r="C414" s="851"/>
      <c r="D414" s="787"/>
      <c r="E414" s="829"/>
      <c r="F414" s="852"/>
      <c r="G414" s="851"/>
      <c r="H414" s="787"/>
      <c r="I414" s="829"/>
      <c r="J414" s="852"/>
      <c r="K414" s="851"/>
      <c r="L414" s="787"/>
      <c r="M414" s="829"/>
      <c r="N414" s="852"/>
      <c r="O414" s="851"/>
      <c r="P414" s="787"/>
      <c r="Q414" s="829"/>
      <c r="R414" s="852"/>
      <c r="S414" s="851"/>
      <c r="T414" s="787"/>
      <c r="U414" s="829"/>
      <c r="V414" s="852"/>
      <c r="W414" s="851"/>
      <c r="X414" s="787"/>
      <c r="Y414" s="829"/>
      <c r="Z414" s="852"/>
      <c r="AA414" s="851"/>
      <c r="AB414" s="787"/>
      <c r="AC414" s="829"/>
      <c r="AD414" s="852"/>
      <c r="AE414" s="851"/>
      <c r="AF414" s="787"/>
      <c r="AG414" s="355">
        <v>1675</v>
      </c>
      <c r="AL414" s="123"/>
    </row>
    <row r="415" spans="2:38" x14ac:dyDescent="0.4">
      <c r="B415" s="356">
        <v>1680</v>
      </c>
      <c r="C415" s="851"/>
      <c r="D415" s="787"/>
      <c r="E415" s="829"/>
      <c r="F415" s="852"/>
      <c r="G415" s="851"/>
      <c r="H415" s="787"/>
      <c r="I415" s="829"/>
      <c r="J415" s="852"/>
      <c r="K415" s="851"/>
      <c r="L415" s="787"/>
      <c r="M415" s="829"/>
      <c r="N415" s="852"/>
      <c r="O415" s="851"/>
      <c r="P415" s="787"/>
      <c r="Q415" s="829"/>
      <c r="R415" s="852"/>
      <c r="S415" s="851"/>
      <c r="T415" s="787"/>
      <c r="U415" s="829"/>
      <c r="V415" s="852"/>
      <c r="W415" s="851"/>
      <c r="X415" s="787"/>
      <c r="Y415" s="829"/>
      <c r="Z415" s="852"/>
      <c r="AA415" s="851"/>
      <c r="AB415" s="787"/>
      <c r="AC415" s="829"/>
      <c r="AD415" s="852"/>
      <c r="AE415" s="851"/>
      <c r="AF415" s="787"/>
      <c r="AG415" s="355">
        <v>1680</v>
      </c>
      <c r="AL415" s="123"/>
    </row>
    <row r="416" spans="2:38" x14ac:dyDescent="0.4">
      <c r="B416" s="356">
        <v>1685</v>
      </c>
      <c r="C416" s="851"/>
      <c r="D416" s="787"/>
      <c r="E416" s="829"/>
      <c r="F416" s="852"/>
      <c r="G416" s="851"/>
      <c r="H416" s="787"/>
      <c r="I416" s="829"/>
      <c r="J416" s="852"/>
      <c r="K416" s="851"/>
      <c r="L416" s="787"/>
      <c r="M416" s="829"/>
      <c r="N416" s="852"/>
      <c r="O416" s="851"/>
      <c r="P416" s="787"/>
      <c r="Q416" s="829"/>
      <c r="R416" s="852"/>
      <c r="S416" s="851"/>
      <c r="T416" s="787"/>
      <c r="U416" s="829"/>
      <c r="V416" s="852"/>
      <c r="W416" s="851"/>
      <c r="X416" s="787"/>
      <c r="Y416" s="829"/>
      <c r="Z416" s="852"/>
      <c r="AA416" s="851"/>
      <c r="AB416" s="787"/>
      <c r="AC416" s="829"/>
      <c r="AD416" s="852"/>
      <c r="AE416" s="851"/>
      <c r="AF416" s="787"/>
      <c r="AG416" s="355">
        <v>1685</v>
      </c>
      <c r="AL416" s="123"/>
    </row>
    <row r="417" spans="1:38" x14ac:dyDescent="0.4">
      <c r="B417" s="356">
        <v>1690</v>
      </c>
      <c r="C417" s="851"/>
      <c r="D417" s="787"/>
      <c r="E417" s="829"/>
      <c r="F417" s="852"/>
      <c r="G417" s="851"/>
      <c r="H417" s="787"/>
      <c r="I417" s="829"/>
      <c r="J417" s="852"/>
      <c r="K417" s="851"/>
      <c r="L417" s="787"/>
      <c r="M417" s="829"/>
      <c r="N417" s="852"/>
      <c r="O417" s="851"/>
      <c r="P417" s="787"/>
      <c r="Q417" s="829"/>
      <c r="R417" s="852"/>
      <c r="S417" s="851"/>
      <c r="T417" s="787"/>
      <c r="U417" s="829"/>
      <c r="V417" s="852"/>
      <c r="W417" s="851"/>
      <c r="X417" s="787"/>
      <c r="Y417" s="829"/>
      <c r="Z417" s="852"/>
      <c r="AA417" s="851"/>
      <c r="AB417" s="787"/>
      <c r="AC417" s="829"/>
      <c r="AD417" s="852"/>
      <c r="AE417" s="851"/>
      <c r="AF417" s="787"/>
      <c r="AG417" s="355">
        <v>1690</v>
      </c>
      <c r="AL417" s="123"/>
    </row>
    <row r="418" spans="1:38" x14ac:dyDescent="0.4">
      <c r="B418" s="356">
        <v>1695</v>
      </c>
      <c r="C418" s="851"/>
      <c r="D418" s="787"/>
      <c r="E418" s="829"/>
      <c r="F418" s="852"/>
      <c r="G418" s="851"/>
      <c r="H418" s="787"/>
      <c r="I418" s="829"/>
      <c r="J418" s="852"/>
      <c r="K418" s="851"/>
      <c r="L418" s="787"/>
      <c r="M418" s="829"/>
      <c r="N418" s="852"/>
      <c r="O418" s="851"/>
      <c r="P418" s="787"/>
      <c r="Q418" s="829"/>
      <c r="R418" s="852"/>
      <c r="S418" s="851"/>
      <c r="T418" s="787"/>
      <c r="U418" s="829"/>
      <c r="V418" s="852"/>
      <c r="W418" s="851"/>
      <c r="X418" s="787"/>
      <c r="Y418" s="829"/>
      <c r="Z418" s="852"/>
      <c r="AA418" s="851"/>
      <c r="AB418" s="787"/>
      <c r="AC418" s="829"/>
      <c r="AD418" s="852"/>
      <c r="AE418" s="851"/>
      <c r="AF418" s="787"/>
      <c r="AG418" s="355">
        <v>1695</v>
      </c>
      <c r="AL418" s="123"/>
    </row>
    <row r="419" spans="1:38" x14ac:dyDescent="0.4">
      <c r="B419" s="356">
        <v>1700</v>
      </c>
      <c r="C419" s="851"/>
      <c r="D419" s="787"/>
      <c r="E419" s="829"/>
      <c r="F419" s="852"/>
      <c r="G419" s="851"/>
      <c r="H419" s="787"/>
      <c r="I419" s="829"/>
      <c r="J419" s="852"/>
      <c r="K419" s="851"/>
      <c r="L419" s="787"/>
      <c r="M419" s="829"/>
      <c r="N419" s="852"/>
      <c r="O419" s="851"/>
      <c r="P419" s="787"/>
      <c r="Q419" s="829"/>
      <c r="R419" s="852"/>
      <c r="S419" s="851"/>
      <c r="T419" s="787"/>
      <c r="U419" s="829"/>
      <c r="V419" s="852"/>
      <c r="W419" s="851"/>
      <c r="X419" s="787"/>
      <c r="Y419" s="829"/>
      <c r="Z419" s="852"/>
      <c r="AA419" s="851"/>
      <c r="AB419" s="787"/>
      <c r="AC419" s="829"/>
      <c r="AD419" s="852"/>
      <c r="AE419" s="851"/>
      <c r="AF419" s="787"/>
      <c r="AG419" s="355">
        <v>1700</v>
      </c>
      <c r="AL419" s="123"/>
    </row>
    <row r="420" spans="1:38" x14ac:dyDescent="0.4">
      <c r="B420" s="356">
        <v>1705</v>
      </c>
      <c r="C420" s="851"/>
      <c r="D420" s="787"/>
      <c r="E420" s="829"/>
      <c r="F420" s="852"/>
      <c r="G420" s="851"/>
      <c r="H420" s="787"/>
      <c r="I420" s="829"/>
      <c r="J420" s="852"/>
      <c r="K420" s="851"/>
      <c r="L420" s="787"/>
      <c r="M420" s="829"/>
      <c r="N420" s="852"/>
      <c r="O420" s="851"/>
      <c r="P420" s="787"/>
      <c r="Q420" s="829"/>
      <c r="R420" s="852"/>
      <c r="S420" s="851"/>
      <c r="T420" s="787"/>
      <c r="U420" s="829"/>
      <c r="V420" s="852"/>
      <c r="W420" s="851"/>
      <c r="X420" s="787"/>
      <c r="Y420" s="829"/>
      <c r="Z420" s="852"/>
      <c r="AA420" s="851"/>
      <c r="AB420" s="787"/>
      <c r="AC420" s="829"/>
      <c r="AD420" s="852"/>
      <c r="AE420" s="851"/>
      <c r="AF420" s="787"/>
      <c r="AG420" s="355">
        <v>1705</v>
      </c>
      <c r="AL420" s="123"/>
    </row>
    <row r="421" spans="1:38" x14ac:dyDescent="0.4">
      <c r="B421" s="356">
        <v>1710</v>
      </c>
      <c r="C421" s="851"/>
      <c r="D421" s="787"/>
      <c r="E421" s="829"/>
      <c r="F421" s="852"/>
      <c r="G421" s="851"/>
      <c r="H421" s="787"/>
      <c r="I421" s="829"/>
      <c r="J421" s="852"/>
      <c r="K421" s="851"/>
      <c r="L421" s="787"/>
      <c r="M421" s="829"/>
      <c r="N421" s="852"/>
      <c r="O421" s="851"/>
      <c r="P421" s="787"/>
      <c r="Q421" s="829"/>
      <c r="R421" s="852"/>
      <c r="S421" s="851"/>
      <c r="T421" s="787"/>
      <c r="U421" s="829"/>
      <c r="V421" s="852"/>
      <c r="W421" s="851"/>
      <c r="X421" s="787"/>
      <c r="Y421" s="829"/>
      <c r="Z421" s="852"/>
      <c r="AA421" s="851"/>
      <c r="AB421" s="787"/>
      <c r="AC421" s="829"/>
      <c r="AD421" s="852"/>
      <c r="AE421" s="851"/>
      <c r="AF421" s="787"/>
      <c r="AG421" s="355">
        <v>1710</v>
      </c>
      <c r="AL421" s="123"/>
    </row>
    <row r="422" spans="1:38" x14ac:dyDescent="0.4">
      <c r="B422" s="356">
        <v>1715</v>
      </c>
      <c r="C422" s="851"/>
      <c r="D422" s="787"/>
      <c r="E422" s="829"/>
      <c r="F422" s="852"/>
      <c r="G422" s="851"/>
      <c r="H422" s="787"/>
      <c r="I422" s="829"/>
      <c r="J422" s="852"/>
      <c r="K422" s="851"/>
      <c r="L422" s="787"/>
      <c r="M422" s="829"/>
      <c r="N422" s="852"/>
      <c r="O422" s="851"/>
      <c r="P422" s="787"/>
      <c r="Q422" s="829"/>
      <c r="R422" s="852"/>
      <c r="S422" s="851"/>
      <c r="T422" s="787"/>
      <c r="U422" s="829"/>
      <c r="V422" s="852"/>
      <c r="W422" s="851"/>
      <c r="X422" s="787"/>
      <c r="Y422" s="829"/>
      <c r="Z422" s="852"/>
      <c r="AA422" s="851"/>
      <c r="AB422" s="787"/>
      <c r="AC422" s="829"/>
      <c r="AD422" s="852"/>
      <c r="AE422" s="851"/>
      <c r="AF422" s="787"/>
      <c r="AG422" s="355">
        <v>1715</v>
      </c>
      <c r="AL422" s="123"/>
    </row>
    <row r="423" spans="1:38" x14ac:dyDescent="0.4">
      <c r="B423" s="356">
        <v>1720</v>
      </c>
      <c r="C423" s="851"/>
      <c r="D423" s="787"/>
      <c r="E423" s="829"/>
      <c r="F423" s="852"/>
      <c r="G423" s="851"/>
      <c r="H423" s="787"/>
      <c r="I423" s="829"/>
      <c r="J423" s="852"/>
      <c r="K423" s="851"/>
      <c r="L423" s="787"/>
      <c r="M423" s="829"/>
      <c r="N423" s="852"/>
      <c r="O423" s="851"/>
      <c r="P423" s="787"/>
      <c r="Q423" s="829"/>
      <c r="R423" s="852"/>
      <c r="S423" s="851"/>
      <c r="T423" s="787"/>
      <c r="U423" s="829"/>
      <c r="V423" s="852"/>
      <c r="W423" s="851"/>
      <c r="X423" s="787"/>
      <c r="Y423" s="829"/>
      <c r="Z423" s="852"/>
      <c r="AA423" s="851"/>
      <c r="AB423" s="787"/>
      <c r="AC423" s="829"/>
      <c r="AD423" s="852"/>
      <c r="AE423" s="851"/>
      <c r="AF423" s="787"/>
      <c r="AG423" s="355">
        <v>1720</v>
      </c>
      <c r="AL423" s="123"/>
    </row>
    <row r="424" spans="1:38" x14ac:dyDescent="0.4">
      <c r="B424" s="356">
        <v>1725</v>
      </c>
      <c r="C424" s="851"/>
      <c r="D424" s="787"/>
      <c r="E424" s="829"/>
      <c r="F424" s="852"/>
      <c r="G424" s="851"/>
      <c r="H424" s="787"/>
      <c r="I424" s="829"/>
      <c r="J424" s="852"/>
      <c r="K424" s="851"/>
      <c r="L424" s="787"/>
      <c r="M424" s="829"/>
      <c r="N424" s="852"/>
      <c r="O424" s="851"/>
      <c r="P424" s="787"/>
      <c r="Q424" s="829"/>
      <c r="R424" s="852"/>
      <c r="S424" s="851"/>
      <c r="T424" s="787"/>
      <c r="U424" s="829"/>
      <c r="V424" s="852"/>
      <c r="W424" s="851"/>
      <c r="X424" s="787"/>
      <c r="Y424" s="829"/>
      <c r="Z424" s="852"/>
      <c r="AA424" s="851"/>
      <c r="AB424" s="787"/>
      <c r="AC424" s="829"/>
      <c r="AD424" s="852"/>
      <c r="AE424" s="851"/>
      <c r="AF424" s="787"/>
      <c r="AG424" s="355">
        <v>1725</v>
      </c>
      <c r="AL424" s="123"/>
    </row>
    <row r="425" spans="1:38" x14ac:dyDescent="0.4">
      <c r="A425" s="63"/>
      <c r="B425" s="356">
        <v>1730</v>
      </c>
      <c r="C425" s="851"/>
      <c r="D425" s="787"/>
      <c r="E425" s="829"/>
      <c r="F425" s="852"/>
      <c r="G425" s="851"/>
      <c r="H425" s="787"/>
      <c r="I425" s="829"/>
      <c r="J425" s="852"/>
      <c r="K425" s="851"/>
      <c r="L425" s="787"/>
      <c r="M425" s="829"/>
      <c r="N425" s="852"/>
      <c r="O425" s="851"/>
      <c r="P425" s="787"/>
      <c r="Q425" s="829"/>
      <c r="R425" s="852"/>
      <c r="S425" s="851"/>
      <c r="T425" s="787"/>
      <c r="U425" s="829"/>
      <c r="V425" s="852"/>
      <c r="W425" s="851"/>
      <c r="X425" s="787"/>
      <c r="Y425" s="829"/>
      <c r="Z425" s="852"/>
      <c r="AA425" s="851"/>
      <c r="AB425" s="787"/>
      <c r="AC425" s="829"/>
      <c r="AD425" s="852"/>
      <c r="AE425" s="851"/>
      <c r="AF425" s="787"/>
      <c r="AG425" s="355">
        <v>1730</v>
      </c>
      <c r="AL425" s="123"/>
    </row>
    <row r="426" spans="1:38" x14ac:dyDescent="0.4">
      <c r="A426" s="65"/>
      <c r="B426" s="356">
        <v>1735</v>
      </c>
      <c r="C426" s="851"/>
      <c r="D426" s="787"/>
      <c r="E426" s="829"/>
      <c r="F426" s="852"/>
      <c r="G426" s="851"/>
      <c r="H426" s="787"/>
      <c r="I426" s="829"/>
      <c r="J426" s="852"/>
      <c r="K426" s="851"/>
      <c r="L426" s="787"/>
      <c r="M426" s="829"/>
      <c r="N426" s="852"/>
      <c r="O426" s="851"/>
      <c r="P426" s="787"/>
      <c r="Q426" s="829"/>
      <c r="R426" s="852"/>
      <c r="S426" s="851"/>
      <c r="T426" s="787"/>
      <c r="U426" s="829"/>
      <c r="V426" s="852"/>
      <c r="W426" s="851"/>
      <c r="X426" s="787"/>
      <c r="Y426" s="829"/>
      <c r="Z426" s="852"/>
      <c r="AA426" s="851"/>
      <c r="AB426" s="787"/>
      <c r="AC426" s="829"/>
      <c r="AD426" s="852"/>
      <c r="AE426" s="851"/>
      <c r="AF426" s="787"/>
      <c r="AG426" s="355">
        <v>1735</v>
      </c>
      <c r="AL426" s="123"/>
    </row>
    <row r="427" spans="1:38" x14ac:dyDescent="0.4">
      <c r="A427" s="65"/>
      <c r="B427" s="356">
        <v>1740</v>
      </c>
      <c r="C427" s="851"/>
      <c r="D427" s="787"/>
      <c r="E427" s="829"/>
      <c r="F427" s="852"/>
      <c r="G427" s="851"/>
      <c r="H427" s="787"/>
      <c r="I427" s="829"/>
      <c r="J427" s="852"/>
      <c r="K427" s="851"/>
      <c r="L427" s="787"/>
      <c r="M427" s="829"/>
      <c r="N427" s="852"/>
      <c r="O427" s="851"/>
      <c r="P427" s="787"/>
      <c r="Q427" s="829"/>
      <c r="R427" s="852"/>
      <c r="S427" s="851"/>
      <c r="T427" s="787"/>
      <c r="U427" s="829"/>
      <c r="V427" s="852"/>
      <c r="W427" s="851"/>
      <c r="X427" s="787"/>
      <c r="Y427" s="829"/>
      <c r="Z427" s="852"/>
      <c r="AA427" s="851"/>
      <c r="AB427" s="787"/>
      <c r="AC427" s="829"/>
      <c r="AD427" s="852"/>
      <c r="AE427" s="851"/>
      <c r="AF427" s="787"/>
      <c r="AG427" s="355">
        <v>1740</v>
      </c>
      <c r="AL427" s="123"/>
    </row>
    <row r="428" spans="1:38" x14ac:dyDescent="0.4">
      <c r="A428" s="65"/>
      <c r="B428" s="356">
        <v>1745</v>
      </c>
      <c r="C428" s="851"/>
      <c r="D428" s="787"/>
      <c r="E428" s="829"/>
      <c r="F428" s="852"/>
      <c r="G428" s="851"/>
      <c r="H428" s="787"/>
      <c r="I428" s="829"/>
      <c r="J428" s="852"/>
      <c r="K428" s="851"/>
      <c r="L428" s="787"/>
      <c r="M428" s="829"/>
      <c r="N428" s="852"/>
      <c r="O428" s="851"/>
      <c r="P428" s="787"/>
      <c r="Q428" s="829"/>
      <c r="R428" s="852"/>
      <c r="S428" s="851"/>
      <c r="T428" s="787"/>
      <c r="U428" s="829"/>
      <c r="V428" s="852"/>
      <c r="W428" s="851"/>
      <c r="X428" s="787"/>
      <c r="Y428" s="829"/>
      <c r="Z428" s="852"/>
      <c r="AA428" s="851"/>
      <c r="AB428" s="787"/>
      <c r="AC428" s="829"/>
      <c r="AD428" s="852"/>
      <c r="AE428" s="851"/>
      <c r="AF428" s="787"/>
      <c r="AG428" s="355">
        <v>1745</v>
      </c>
      <c r="AL428" s="123"/>
    </row>
    <row r="429" spans="1:38" x14ac:dyDescent="0.4">
      <c r="A429" s="65"/>
      <c r="B429" s="356">
        <v>1750</v>
      </c>
      <c r="C429" s="851"/>
      <c r="D429" s="787"/>
      <c r="E429" s="829"/>
      <c r="F429" s="852"/>
      <c r="G429" s="851"/>
      <c r="H429" s="787"/>
      <c r="I429" s="829"/>
      <c r="J429" s="852"/>
      <c r="K429" s="851"/>
      <c r="L429" s="787"/>
      <c r="M429" s="829"/>
      <c r="N429" s="852"/>
      <c r="O429" s="851"/>
      <c r="P429" s="787"/>
      <c r="Q429" s="829"/>
      <c r="R429" s="852"/>
      <c r="S429" s="851"/>
      <c r="T429" s="787"/>
      <c r="U429" s="829"/>
      <c r="V429" s="852"/>
      <c r="W429" s="851"/>
      <c r="X429" s="787"/>
      <c r="Y429" s="829"/>
      <c r="Z429" s="852"/>
      <c r="AA429" s="851"/>
      <c r="AB429" s="787"/>
      <c r="AC429" s="829"/>
      <c r="AD429" s="852"/>
      <c r="AE429" s="851"/>
      <c r="AF429" s="787"/>
      <c r="AG429" s="355">
        <v>1750</v>
      </c>
      <c r="AL429" s="123"/>
    </row>
    <row r="430" spans="1:38" x14ac:dyDescent="0.4">
      <c r="A430" s="65"/>
      <c r="B430" s="356">
        <v>1755</v>
      </c>
      <c r="C430" s="851"/>
      <c r="D430" s="787"/>
      <c r="E430" s="829"/>
      <c r="F430" s="852"/>
      <c r="G430" s="851"/>
      <c r="H430" s="787"/>
      <c r="I430" s="829"/>
      <c r="J430" s="852"/>
      <c r="K430" s="851"/>
      <c r="L430" s="787"/>
      <c r="M430" s="829"/>
      <c r="N430" s="852"/>
      <c r="O430" s="851"/>
      <c r="P430" s="787"/>
      <c r="Q430" s="829"/>
      <c r="R430" s="852"/>
      <c r="S430" s="851"/>
      <c r="T430" s="787"/>
      <c r="U430" s="829"/>
      <c r="V430" s="852"/>
      <c r="W430" s="851"/>
      <c r="X430" s="787"/>
      <c r="Y430" s="829"/>
      <c r="Z430" s="852"/>
      <c r="AA430" s="851"/>
      <c r="AB430" s="787"/>
      <c r="AC430" s="829"/>
      <c r="AD430" s="852"/>
      <c r="AE430" s="851"/>
      <c r="AF430" s="787"/>
      <c r="AG430" s="355">
        <v>1755</v>
      </c>
      <c r="AL430" s="123"/>
    </row>
    <row r="431" spans="1:38" x14ac:dyDescent="0.4">
      <c r="A431" s="65"/>
      <c r="B431" s="356">
        <v>1760</v>
      </c>
      <c r="C431" s="851"/>
      <c r="D431" s="787"/>
      <c r="E431" s="829"/>
      <c r="F431" s="852"/>
      <c r="G431" s="851"/>
      <c r="H431" s="787"/>
      <c r="I431" s="829"/>
      <c r="J431" s="852"/>
      <c r="K431" s="851"/>
      <c r="L431" s="787"/>
      <c r="M431" s="829"/>
      <c r="N431" s="852"/>
      <c r="O431" s="851"/>
      <c r="P431" s="787"/>
      <c r="Q431" s="829"/>
      <c r="R431" s="852"/>
      <c r="S431" s="851"/>
      <c r="T431" s="787"/>
      <c r="U431" s="829"/>
      <c r="V431" s="852"/>
      <c r="W431" s="851"/>
      <c r="X431" s="787"/>
      <c r="Y431" s="829"/>
      <c r="Z431" s="852"/>
      <c r="AA431" s="851"/>
      <c r="AB431" s="787"/>
      <c r="AC431" s="829"/>
      <c r="AD431" s="852"/>
      <c r="AE431" s="851"/>
      <c r="AF431" s="787"/>
      <c r="AG431" s="355">
        <v>1760</v>
      </c>
      <c r="AL431" s="123"/>
    </row>
    <row r="432" spans="1:38" x14ac:dyDescent="0.4">
      <c r="A432" s="65"/>
      <c r="B432" s="356">
        <v>1765</v>
      </c>
      <c r="C432" s="851"/>
      <c r="D432" s="787"/>
      <c r="E432" s="829"/>
      <c r="F432" s="852"/>
      <c r="G432" s="851"/>
      <c r="H432" s="787"/>
      <c r="I432" s="829"/>
      <c r="J432" s="852"/>
      <c r="K432" s="851"/>
      <c r="L432" s="787"/>
      <c r="M432" s="829"/>
      <c r="N432" s="852"/>
      <c r="O432" s="851"/>
      <c r="P432" s="787"/>
      <c r="Q432" s="829"/>
      <c r="R432" s="852"/>
      <c r="S432" s="851"/>
      <c r="T432" s="787"/>
      <c r="U432" s="829"/>
      <c r="V432" s="852"/>
      <c r="W432" s="851"/>
      <c r="X432" s="787"/>
      <c r="Y432" s="829"/>
      <c r="Z432" s="852"/>
      <c r="AA432" s="851"/>
      <c r="AB432" s="787"/>
      <c r="AC432" s="829"/>
      <c r="AD432" s="852"/>
      <c r="AE432" s="851"/>
      <c r="AF432" s="787"/>
      <c r="AG432" s="355">
        <v>1765</v>
      </c>
      <c r="AL432" s="123"/>
    </row>
    <row r="433" spans="1:38" x14ac:dyDescent="0.4">
      <c r="A433" s="65"/>
      <c r="B433" s="356">
        <v>1770</v>
      </c>
      <c r="C433" s="851"/>
      <c r="D433" s="787"/>
      <c r="E433" s="829"/>
      <c r="F433" s="852"/>
      <c r="G433" s="851"/>
      <c r="H433" s="787"/>
      <c r="I433" s="829"/>
      <c r="J433" s="852"/>
      <c r="K433" s="851"/>
      <c r="L433" s="787"/>
      <c r="M433" s="829"/>
      <c r="N433" s="852"/>
      <c r="O433" s="851"/>
      <c r="P433" s="787"/>
      <c r="Q433" s="829"/>
      <c r="R433" s="852"/>
      <c r="S433" s="851"/>
      <c r="T433" s="787"/>
      <c r="U433" s="829"/>
      <c r="V433" s="852"/>
      <c r="W433" s="851"/>
      <c r="X433" s="787"/>
      <c r="Y433" s="829"/>
      <c r="Z433" s="852"/>
      <c r="AA433" s="851"/>
      <c r="AB433" s="787"/>
      <c r="AC433" s="829"/>
      <c r="AD433" s="852"/>
      <c r="AE433" s="851"/>
      <c r="AF433" s="787"/>
      <c r="AG433" s="355">
        <v>1770</v>
      </c>
      <c r="AL433" s="123"/>
    </row>
    <row r="434" spans="1:38" x14ac:dyDescent="0.4">
      <c r="A434" s="65"/>
      <c r="B434" s="356">
        <v>1775</v>
      </c>
      <c r="C434" s="851"/>
      <c r="D434" s="787"/>
      <c r="E434" s="829"/>
      <c r="F434" s="852"/>
      <c r="G434" s="851"/>
      <c r="H434" s="787"/>
      <c r="I434" s="829"/>
      <c r="J434" s="852"/>
      <c r="K434" s="851"/>
      <c r="L434" s="787"/>
      <c r="M434" s="829"/>
      <c r="N434" s="852"/>
      <c r="O434" s="851"/>
      <c r="P434" s="787"/>
      <c r="Q434" s="829"/>
      <c r="R434" s="852"/>
      <c r="S434" s="851"/>
      <c r="T434" s="787"/>
      <c r="U434" s="829"/>
      <c r="V434" s="852"/>
      <c r="W434" s="851"/>
      <c r="X434" s="787"/>
      <c r="Y434" s="829"/>
      <c r="Z434" s="852"/>
      <c r="AA434" s="851"/>
      <c r="AB434" s="787"/>
      <c r="AC434" s="829"/>
      <c r="AD434" s="852"/>
      <c r="AE434" s="851"/>
      <c r="AF434" s="787"/>
      <c r="AG434" s="355">
        <v>1775</v>
      </c>
      <c r="AL434" s="123"/>
    </row>
    <row r="435" spans="1:38" x14ac:dyDescent="0.4">
      <c r="A435" s="65"/>
      <c r="B435" s="356">
        <v>1780</v>
      </c>
      <c r="C435" s="851"/>
      <c r="D435" s="787"/>
      <c r="E435" s="829"/>
      <c r="F435" s="852"/>
      <c r="G435" s="851"/>
      <c r="H435" s="787"/>
      <c r="I435" s="829"/>
      <c r="J435" s="852"/>
      <c r="K435" s="851"/>
      <c r="L435" s="787"/>
      <c r="M435" s="829"/>
      <c r="N435" s="852"/>
      <c r="O435" s="851"/>
      <c r="P435" s="787"/>
      <c r="Q435" s="829"/>
      <c r="R435" s="852"/>
      <c r="S435" s="851"/>
      <c r="T435" s="787"/>
      <c r="U435" s="829"/>
      <c r="V435" s="852"/>
      <c r="W435" s="851"/>
      <c r="X435" s="787"/>
      <c r="Y435" s="829"/>
      <c r="Z435" s="852"/>
      <c r="AA435" s="851"/>
      <c r="AB435" s="787"/>
      <c r="AC435" s="829"/>
      <c r="AD435" s="852"/>
      <c r="AE435" s="851"/>
      <c r="AF435" s="787"/>
      <c r="AG435" s="355">
        <v>1780</v>
      </c>
      <c r="AL435" s="123"/>
    </row>
    <row r="436" spans="1:38" x14ac:dyDescent="0.4">
      <c r="A436" s="65"/>
      <c r="B436" s="356">
        <v>1785</v>
      </c>
      <c r="C436" s="851"/>
      <c r="D436" s="787"/>
      <c r="E436" s="829"/>
      <c r="F436" s="852"/>
      <c r="G436" s="851"/>
      <c r="H436" s="787"/>
      <c r="I436" s="829"/>
      <c r="J436" s="852"/>
      <c r="K436" s="851"/>
      <c r="L436" s="787"/>
      <c r="M436" s="829"/>
      <c r="N436" s="852"/>
      <c r="O436" s="851"/>
      <c r="P436" s="787"/>
      <c r="Q436" s="829"/>
      <c r="R436" s="852"/>
      <c r="S436" s="851"/>
      <c r="T436" s="787"/>
      <c r="U436" s="829"/>
      <c r="V436" s="852"/>
      <c r="W436" s="851"/>
      <c r="X436" s="787"/>
      <c r="Y436" s="829"/>
      <c r="Z436" s="852"/>
      <c r="AA436" s="851"/>
      <c r="AB436" s="787"/>
      <c r="AC436" s="829"/>
      <c r="AD436" s="852"/>
      <c r="AE436" s="851"/>
      <c r="AF436" s="787"/>
      <c r="AG436" s="355">
        <v>1785</v>
      </c>
      <c r="AL436" s="123"/>
    </row>
    <row r="437" spans="1:38" x14ac:dyDescent="0.4">
      <c r="A437" s="65"/>
      <c r="B437" s="356">
        <v>1790</v>
      </c>
      <c r="C437" s="851"/>
      <c r="D437" s="787"/>
      <c r="E437" s="829"/>
      <c r="F437" s="852"/>
      <c r="G437" s="851"/>
      <c r="H437" s="787"/>
      <c r="I437" s="829"/>
      <c r="J437" s="852"/>
      <c r="K437" s="851"/>
      <c r="L437" s="787"/>
      <c r="M437" s="829"/>
      <c r="N437" s="852"/>
      <c r="O437" s="851"/>
      <c r="P437" s="787"/>
      <c r="Q437" s="829"/>
      <c r="R437" s="852"/>
      <c r="S437" s="851"/>
      <c r="T437" s="787"/>
      <c r="U437" s="829"/>
      <c r="V437" s="852"/>
      <c r="W437" s="851"/>
      <c r="X437" s="787"/>
      <c r="Y437" s="829"/>
      <c r="Z437" s="852"/>
      <c r="AA437" s="851"/>
      <c r="AB437" s="787"/>
      <c r="AC437" s="829"/>
      <c r="AD437" s="852"/>
      <c r="AE437" s="851"/>
      <c r="AF437" s="787"/>
      <c r="AG437" s="355">
        <v>1790</v>
      </c>
      <c r="AL437" s="123"/>
    </row>
    <row r="438" spans="1:38" x14ac:dyDescent="0.4">
      <c r="A438" s="65"/>
      <c r="B438" s="356">
        <v>1795</v>
      </c>
      <c r="C438" s="851"/>
      <c r="D438" s="787"/>
      <c r="E438" s="829"/>
      <c r="F438" s="852"/>
      <c r="G438" s="851"/>
      <c r="H438" s="787"/>
      <c r="I438" s="829"/>
      <c r="J438" s="852"/>
      <c r="K438" s="851"/>
      <c r="L438" s="787"/>
      <c r="M438" s="829"/>
      <c r="N438" s="852"/>
      <c r="O438" s="851"/>
      <c r="P438" s="787"/>
      <c r="Q438" s="829"/>
      <c r="R438" s="852"/>
      <c r="S438" s="851"/>
      <c r="T438" s="787"/>
      <c r="U438" s="829"/>
      <c r="V438" s="852"/>
      <c r="W438" s="851"/>
      <c r="X438" s="787"/>
      <c r="Y438" s="829"/>
      <c r="Z438" s="852"/>
      <c r="AA438" s="851"/>
      <c r="AB438" s="787"/>
      <c r="AC438" s="829"/>
      <c r="AD438" s="852"/>
      <c r="AE438" s="851"/>
      <c r="AF438" s="787"/>
      <c r="AG438" s="355">
        <v>1795</v>
      </c>
      <c r="AL438" s="123"/>
    </row>
    <row r="439" spans="1:38" x14ac:dyDescent="0.4">
      <c r="A439" s="65"/>
      <c r="B439" s="356">
        <v>1800</v>
      </c>
      <c r="C439" s="851"/>
      <c r="D439" s="787"/>
      <c r="E439" s="829"/>
      <c r="F439" s="852"/>
      <c r="G439" s="851"/>
      <c r="H439" s="787"/>
      <c r="I439" s="829"/>
      <c r="J439" s="852"/>
      <c r="K439" s="851"/>
      <c r="L439" s="787"/>
      <c r="M439" s="829"/>
      <c r="N439" s="852"/>
      <c r="O439" s="851"/>
      <c r="P439" s="787"/>
      <c r="Q439" s="829"/>
      <c r="R439" s="852"/>
      <c r="S439" s="851"/>
      <c r="T439" s="787"/>
      <c r="U439" s="829"/>
      <c r="V439" s="852"/>
      <c r="W439" s="851"/>
      <c r="X439" s="787"/>
      <c r="Y439" s="829"/>
      <c r="Z439" s="852"/>
      <c r="AA439" s="851"/>
      <c r="AB439" s="787"/>
      <c r="AC439" s="829"/>
      <c r="AD439" s="852"/>
      <c r="AE439" s="851"/>
      <c r="AF439" s="787"/>
      <c r="AG439" s="355">
        <v>1800</v>
      </c>
      <c r="AL439" s="123"/>
    </row>
    <row r="440" spans="1:38" x14ac:dyDescent="0.4">
      <c r="A440" s="65"/>
      <c r="B440" s="356">
        <v>1805</v>
      </c>
      <c r="C440" s="851"/>
      <c r="D440" s="787"/>
      <c r="E440" s="829"/>
      <c r="F440" s="852"/>
      <c r="G440" s="851"/>
      <c r="H440" s="787"/>
      <c r="I440" s="829"/>
      <c r="J440" s="852"/>
      <c r="K440" s="851"/>
      <c r="L440" s="787"/>
      <c r="M440" s="829"/>
      <c r="N440" s="852"/>
      <c r="O440" s="851"/>
      <c r="P440" s="787"/>
      <c r="Q440" s="829"/>
      <c r="R440" s="852"/>
      <c r="S440" s="851"/>
      <c r="T440" s="787"/>
      <c r="U440" s="829"/>
      <c r="V440" s="852"/>
      <c r="W440" s="851"/>
      <c r="X440" s="787"/>
      <c r="Y440" s="829"/>
      <c r="Z440" s="852"/>
      <c r="AA440" s="851"/>
      <c r="AB440" s="787"/>
      <c r="AC440" s="829"/>
      <c r="AD440" s="852"/>
      <c r="AE440" s="851"/>
      <c r="AF440" s="787"/>
      <c r="AG440" s="355">
        <v>1805</v>
      </c>
      <c r="AL440" s="123"/>
    </row>
    <row r="441" spans="1:38" x14ac:dyDescent="0.4">
      <c r="A441" s="65"/>
      <c r="B441" s="356">
        <v>1810</v>
      </c>
      <c r="C441" s="851"/>
      <c r="D441" s="787"/>
      <c r="E441" s="829"/>
      <c r="F441" s="852"/>
      <c r="G441" s="851"/>
      <c r="H441" s="787"/>
      <c r="I441" s="829"/>
      <c r="J441" s="852"/>
      <c r="K441" s="851"/>
      <c r="L441" s="787"/>
      <c r="M441" s="829"/>
      <c r="N441" s="852"/>
      <c r="O441" s="851"/>
      <c r="P441" s="787"/>
      <c r="Q441" s="829"/>
      <c r="R441" s="852"/>
      <c r="S441" s="851"/>
      <c r="T441" s="787"/>
      <c r="U441" s="829"/>
      <c r="V441" s="852"/>
      <c r="W441" s="851"/>
      <c r="X441" s="787"/>
      <c r="Y441" s="829"/>
      <c r="Z441" s="852"/>
      <c r="AA441" s="851"/>
      <c r="AB441" s="787"/>
      <c r="AC441" s="829"/>
      <c r="AD441" s="852"/>
      <c r="AE441" s="851"/>
      <c r="AF441" s="787"/>
      <c r="AG441" s="355">
        <v>1810</v>
      </c>
      <c r="AL441" s="123"/>
    </row>
    <row r="442" spans="1:38" x14ac:dyDescent="0.4">
      <c r="A442" s="65"/>
      <c r="B442" s="356">
        <v>1815</v>
      </c>
      <c r="C442" s="851"/>
      <c r="D442" s="787"/>
      <c r="E442" s="829"/>
      <c r="F442" s="852"/>
      <c r="G442" s="851"/>
      <c r="H442" s="787"/>
      <c r="I442" s="829"/>
      <c r="J442" s="852"/>
      <c r="K442" s="851"/>
      <c r="L442" s="787"/>
      <c r="M442" s="829"/>
      <c r="N442" s="852"/>
      <c r="O442" s="851"/>
      <c r="P442" s="787"/>
      <c r="Q442" s="829"/>
      <c r="R442" s="852"/>
      <c r="S442" s="851"/>
      <c r="T442" s="787"/>
      <c r="U442" s="829"/>
      <c r="V442" s="852"/>
      <c r="W442" s="851"/>
      <c r="X442" s="787"/>
      <c r="Y442" s="829"/>
      <c r="Z442" s="852"/>
      <c r="AA442" s="851"/>
      <c r="AB442" s="787"/>
      <c r="AC442" s="829"/>
      <c r="AD442" s="852"/>
      <c r="AE442" s="851"/>
      <c r="AF442" s="787"/>
      <c r="AG442" s="355">
        <v>1815</v>
      </c>
      <c r="AL442" s="123"/>
    </row>
    <row r="443" spans="1:38" x14ac:dyDescent="0.4">
      <c r="A443" s="65"/>
      <c r="B443" s="356">
        <v>1820</v>
      </c>
      <c r="C443" s="851"/>
      <c r="D443" s="787"/>
      <c r="E443" s="829"/>
      <c r="F443" s="852"/>
      <c r="G443" s="851"/>
      <c r="H443" s="787"/>
      <c r="I443" s="829"/>
      <c r="J443" s="852"/>
      <c r="K443" s="851"/>
      <c r="L443" s="787"/>
      <c r="M443" s="829"/>
      <c r="N443" s="852"/>
      <c r="O443" s="851"/>
      <c r="P443" s="787"/>
      <c r="Q443" s="829"/>
      <c r="R443" s="852"/>
      <c r="S443" s="851"/>
      <c r="T443" s="787"/>
      <c r="U443" s="829"/>
      <c r="V443" s="852"/>
      <c r="W443" s="851"/>
      <c r="X443" s="787"/>
      <c r="Y443" s="829"/>
      <c r="Z443" s="852"/>
      <c r="AA443" s="851"/>
      <c r="AB443" s="787"/>
      <c r="AC443" s="829"/>
      <c r="AD443" s="852"/>
      <c r="AE443" s="851"/>
      <c r="AF443" s="787"/>
      <c r="AG443" s="355">
        <v>1820</v>
      </c>
      <c r="AL443" s="123"/>
    </row>
    <row r="444" spans="1:38" x14ac:dyDescent="0.4">
      <c r="A444" s="65"/>
      <c r="B444" s="356">
        <v>1825</v>
      </c>
      <c r="C444" s="851"/>
      <c r="D444" s="787"/>
      <c r="E444" s="829"/>
      <c r="F444" s="852"/>
      <c r="G444" s="851"/>
      <c r="H444" s="787"/>
      <c r="I444" s="829"/>
      <c r="J444" s="852"/>
      <c r="K444" s="851"/>
      <c r="L444" s="787"/>
      <c r="M444" s="829"/>
      <c r="N444" s="852"/>
      <c r="O444" s="851"/>
      <c r="P444" s="787"/>
      <c r="Q444" s="829"/>
      <c r="R444" s="852"/>
      <c r="S444" s="851"/>
      <c r="T444" s="787"/>
      <c r="U444" s="829"/>
      <c r="V444" s="852"/>
      <c r="W444" s="851"/>
      <c r="X444" s="787"/>
      <c r="Y444" s="829"/>
      <c r="Z444" s="852"/>
      <c r="AA444" s="851"/>
      <c r="AB444" s="787"/>
      <c r="AC444" s="829"/>
      <c r="AD444" s="852"/>
      <c r="AE444" s="851"/>
      <c r="AF444" s="787"/>
      <c r="AG444" s="355">
        <v>1825</v>
      </c>
      <c r="AL444" s="123"/>
    </row>
    <row r="445" spans="1:38" x14ac:dyDescent="0.4">
      <c r="A445" s="65"/>
      <c r="B445" s="356">
        <v>1830</v>
      </c>
      <c r="C445" s="851"/>
      <c r="D445" s="787"/>
      <c r="E445" s="829"/>
      <c r="F445" s="852"/>
      <c r="G445" s="851"/>
      <c r="H445" s="787"/>
      <c r="I445" s="829"/>
      <c r="J445" s="852"/>
      <c r="K445" s="851"/>
      <c r="L445" s="787"/>
      <c r="M445" s="829"/>
      <c r="N445" s="852"/>
      <c r="O445" s="851"/>
      <c r="P445" s="787"/>
      <c r="Q445" s="829"/>
      <c r="R445" s="852"/>
      <c r="S445" s="851"/>
      <c r="T445" s="787"/>
      <c r="U445" s="829"/>
      <c r="V445" s="852"/>
      <c r="W445" s="851"/>
      <c r="X445" s="787"/>
      <c r="Y445" s="829"/>
      <c r="Z445" s="852"/>
      <c r="AA445" s="851"/>
      <c r="AB445" s="787"/>
      <c r="AC445" s="829"/>
      <c r="AD445" s="852"/>
      <c r="AE445" s="851"/>
      <c r="AF445" s="787"/>
      <c r="AG445" s="355">
        <v>1830</v>
      </c>
      <c r="AL445" s="123"/>
    </row>
    <row r="446" spans="1:38" x14ac:dyDescent="0.4">
      <c r="A446" s="65"/>
      <c r="B446" s="356">
        <v>1835</v>
      </c>
      <c r="C446" s="851"/>
      <c r="D446" s="787"/>
      <c r="E446" s="829"/>
      <c r="F446" s="852"/>
      <c r="G446" s="851"/>
      <c r="H446" s="787"/>
      <c r="I446" s="829"/>
      <c r="J446" s="852"/>
      <c r="K446" s="851"/>
      <c r="L446" s="787"/>
      <c r="M446" s="829"/>
      <c r="N446" s="852"/>
      <c r="O446" s="851"/>
      <c r="P446" s="787"/>
      <c r="Q446" s="829"/>
      <c r="R446" s="852"/>
      <c r="S446" s="851"/>
      <c r="T446" s="787"/>
      <c r="U446" s="829"/>
      <c r="V446" s="852"/>
      <c r="W446" s="851"/>
      <c r="X446" s="787"/>
      <c r="Y446" s="829"/>
      <c r="Z446" s="852"/>
      <c r="AA446" s="851"/>
      <c r="AB446" s="787"/>
      <c r="AC446" s="829"/>
      <c r="AD446" s="852"/>
      <c r="AE446" s="851"/>
      <c r="AF446" s="787"/>
      <c r="AG446" s="355">
        <v>1835</v>
      </c>
      <c r="AL446" s="123"/>
    </row>
    <row r="447" spans="1:38" x14ac:dyDescent="0.4">
      <c r="A447" s="65"/>
      <c r="B447" s="356">
        <v>1840</v>
      </c>
      <c r="C447" s="851"/>
      <c r="D447" s="787"/>
      <c r="E447" s="829"/>
      <c r="F447" s="852"/>
      <c r="G447" s="851"/>
      <c r="H447" s="787"/>
      <c r="I447" s="829"/>
      <c r="J447" s="852"/>
      <c r="K447" s="851"/>
      <c r="L447" s="787"/>
      <c r="M447" s="829"/>
      <c r="N447" s="852"/>
      <c r="O447" s="851"/>
      <c r="P447" s="787"/>
      <c r="Q447" s="829"/>
      <c r="R447" s="852"/>
      <c r="S447" s="851"/>
      <c r="T447" s="787"/>
      <c r="U447" s="829"/>
      <c r="V447" s="852"/>
      <c r="W447" s="851"/>
      <c r="X447" s="787"/>
      <c r="Y447" s="829"/>
      <c r="Z447" s="852"/>
      <c r="AA447" s="851"/>
      <c r="AB447" s="787"/>
      <c r="AC447" s="829"/>
      <c r="AD447" s="852"/>
      <c r="AE447" s="851"/>
      <c r="AF447" s="787"/>
      <c r="AG447" s="355">
        <v>1840</v>
      </c>
      <c r="AL447" s="123"/>
    </row>
    <row r="448" spans="1:38" x14ac:dyDescent="0.4">
      <c r="A448" s="65"/>
      <c r="B448" s="356">
        <v>1845</v>
      </c>
      <c r="C448" s="851"/>
      <c r="D448" s="787"/>
      <c r="E448" s="829"/>
      <c r="F448" s="852"/>
      <c r="G448" s="851"/>
      <c r="H448" s="787"/>
      <c r="I448" s="829"/>
      <c r="J448" s="852"/>
      <c r="K448" s="851"/>
      <c r="L448" s="787"/>
      <c r="M448" s="829"/>
      <c r="N448" s="852"/>
      <c r="O448" s="851"/>
      <c r="P448" s="787"/>
      <c r="Q448" s="829"/>
      <c r="R448" s="852"/>
      <c r="S448" s="851"/>
      <c r="T448" s="787"/>
      <c r="U448" s="829"/>
      <c r="V448" s="852"/>
      <c r="W448" s="851"/>
      <c r="X448" s="787"/>
      <c r="Y448" s="829"/>
      <c r="Z448" s="852"/>
      <c r="AA448" s="851"/>
      <c r="AB448" s="787"/>
      <c r="AC448" s="829"/>
      <c r="AD448" s="852"/>
      <c r="AE448" s="851"/>
      <c r="AF448" s="787"/>
      <c r="AG448" s="355">
        <v>1845</v>
      </c>
      <c r="AL448" s="123"/>
    </row>
    <row r="449" spans="1:38" x14ac:dyDescent="0.4">
      <c r="A449" s="65"/>
      <c r="B449" s="356">
        <v>1850</v>
      </c>
      <c r="C449" s="851"/>
      <c r="D449" s="787"/>
      <c r="E449" s="829"/>
      <c r="F449" s="852"/>
      <c r="G449" s="851"/>
      <c r="H449" s="787"/>
      <c r="I449" s="829"/>
      <c r="J449" s="852"/>
      <c r="K449" s="851"/>
      <c r="L449" s="787"/>
      <c r="M449" s="829"/>
      <c r="N449" s="852"/>
      <c r="O449" s="851"/>
      <c r="P449" s="787"/>
      <c r="Q449" s="829"/>
      <c r="R449" s="852"/>
      <c r="S449" s="851"/>
      <c r="T449" s="787"/>
      <c r="U449" s="829"/>
      <c r="V449" s="852"/>
      <c r="W449" s="851"/>
      <c r="X449" s="787"/>
      <c r="Y449" s="829"/>
      <c r="Z449" s="852"/>
      <c r="AA449" s="851"/>
      <c r="AB449" s="787"/>
      <c r="AC449" s="829"/>
      <c r="AD449" s="852"/>
      <c r="AE449" s="851"/>
      <c r="AF449" s="787"/>
      <c r="AG449" s="355">
        <v>1850</v>
      </c>
      <c r="AL449" s="123"/>
    </row>
    <row r="450" spans="1:38" x14ac:dyDescent="0.4">
      <c r="A450" s="65"/>
      <c r="B450" s="356">
        <v>1855</v>
      </c>
      <c r="C450" s="851"/>
      <c r="D450" s="787"/>
      <c r="E450" s="829"/>
      <c r="F450" s="852"/>
      <c r="G450" s="851"/>
      <c r="H450" s="787"/>
      <c r="I450" s="829"/>
      <c r="J450" s="852"/>
      <c r="K450" s="851"/>
      <c r="L450" s="787"/>
      <c r="M450" s="829"/>
      <c r="N450" s="852"/>
      <c r="O450" s="851"/>
      <c r="P450" s="787"/>
      <c r="Q450" s="829"/>
      <c r="R450" s="852"/>
      <c r="S450" s="851"/>
      <c r="T450" s="787"/>
      <c r="U450" s="829"/>
      <c r="V450" s="852"/>
      <c r="W450" s="851"/>
      <c r="X450" s="787"/>
      <c r="Y450" s="829"/>
      <c r="Z450" s="852"/>
      <c r="AA450" s="851"/>
      <c r="AB450" s="787"/>
      <c r="AC450" s="829"/>
      <c r="AD450" s="852"/>
      <c r="AE450" s="851"/>
      <c r="AF450" s="787"/>
      <c r="AG450" s="355">
        <v>1855</v>
      </c>
      <c r="AL450" s="123"/>
    </row>
    <row r="451" spans="1:38" x14ac:dyDescent="0.4">
      <c r="A451" s="65"/>
      <c r="B451" s="356">
        <v>1860</v>
      </c>
      <c r="C451" s="851"/>
      <c r="D451" s="787"/>
      <c r="E451" s="829"/>
      <c r="F451" s="852"/>
      <c r="G451" s="851"/>
      <c r="H451" s="787"/>
      <c r="I451" s="829"/>
      <c r="J451" s="852"/>
      <c r="K451" s="851"/>
      <c r="L451" s="787"/>
      <c r="M451" s="829"/>
      <c r="N451" s="852"/>
      <c r="O451" s="851"/>
      <c r="P451" s="787"/>
      <c r="Q451" s="829"/>
      <c r="R451" s="852"/>
      <c r="S451" s="851"/>
      <c r="T451" s="787"/>
      <c r="U451" s="829"/>
      <c r="V451" s="852"/>
      <c r="W451" s="851"/>
      <c r="X451" s="787"/>
      <c r="Y451" s="829"/>
      <c r="Z451" s="852"/>
      <c r="AA451" s="851"/>
      <c r="AB451" s="787"/>
      <c r="AC451" s="829"/>
      <c r="AD451" s="852"/>
      <c r="AE451" s="851"/>
      <c r="AF451" s="787"/>
      <c r="AG451" s="355">
        <v>1860</v>
      </c>
      <c r="AL451" s="123"/>
    </row>
    <row r="452" spans="1:38" x14ac:dyDescent="0.4">
      <c r="A452" s="65"/>
      <c r="B452" s="356">
        <v>1865</v>
      </c>
      <c r="C452" s="851"/>
      <c r="D452" s="787"/>
      <c r="E452" s="829"/>
      <c r="F452" s="852"/>
      <c r="G452" s="851"/>
      <c r="H452" s="787"/>
      <c r="I452" s="829"/>
      <c r="J452" s="852"/>
      <c r="K452" s="851"/>
      <c r="L452" s="787"/>
      <c r="M452" s="829"/>
      <c r="N452" s="852"/>
      <c r="O452" s="851"/>
      <c r="P452" s="787"/>
      <c r="Q452" s="829"/>
      <c r="R452" s="852"/>
      <c r="S452" s="851"/>
      <c r="T452" s="787"/>
      <c r="U452" s="829"/>
      <c r="V452" s="852"/>
      <c r="W452" s="851"/>
      <c r="X452" s="787"/>
      <c r="Y452" s="829"/>
      <c r="Z452" s="852"/>
      <c r="AA452" s="851"/>
      <c r="AB452" s="787"/>
      <c r="AC452" s="829"/>
      <c r="AD452" s="852"/>
      <c r="AE452" s="851"/>
      <c r="AF452" s="787"/>
      <c r="AG452" s="355">
        <v>1865</v>
      </c>
      <c r="AL452" s="123"/>
    </row>
    <row r="453" spans="1:38" x14ac:dyDescent="0.4">
      <c r="A453" s="65"/>
      <c r="B453" s="356">
        <v>1870</v>
      </c>
      <c r="C453" s="851"/>
      <c r="D453" s="787"/>
      <c r="E453" s="829"/>
      <c r="F453" s="852"/>
      <c r="G453" s="851"/>
      <c r="H453" s="787"/>
      <c r="I453" s="829"/>
      <c r="J453" s="852"/>
      <c r="K453" s="851"/>
      <c r="L453" s="787"/>
      <c r="M453" s="829"/>
      <c r="N453" s="852"/>
      <c r="O453" s="851"/>
      <c r="P453" s="787"/>
      <c r="Q453" s="829"/>
      <c r="R453" s="852"/>
      <c r="S453" s="851"/>
      <c r="T453" s="787"/>
      <c r="U453" s="829"/>
      <c r="V453" s="852"/>
      <c r="W453" s="851"/>
      <c r="X453" s="787"/>
      <c r="Y453" s="829"/>
      <c r="Z453" s="852"/>
      <c r="AA453" s="851"/>
      <c r="AB453" s="787"/>
      <c r="AC453" s="829"/>
      <c r="AD453" s="852"/>
      <c r="AE453" s="851"/>
      <c r="AF453" s="787"/>
      <c r="AG453" s="355">
        <v>1870</v>
      </c>
      <c r="AL453" s="123"/>
    </row>
    <row r="454" spans="1:38" x14ac:dyDescent="0.4">
      <c r="A454" s="65"/>
      <c r="B454" s="356">
        <v>1875</v>
      </c>
      <c r="C454" s="851"/>
      <c r="D454" s="787"/>
      <c r="E454" s="829"/>
      <c r="F454" s="852"/>
      <c r="G454" s="851"/>
      <c r="H454" s="787"/>
      <c r="I454" s="829"/>
      <c r="J454" s="852"/>
      <c r="K454" s="851"/>
      <c r="L454" s="787"/>
      <c r="M454" s="829"/>
      <c r="N454" s="852"/>
      <c r="O454" s="851"/>
      <c r="P454" s="787"/>
      <c r="Q454" s="829"/>
      <c r="R454" s="852"/>
      <c r="S454" s="851"/>
      <c r="T454" s="787"/>
      <c r="U454" s="829"/>
      <c r="V454" s="852"/>
      <c r="W454" s="851"/>
      <c r="X454" s="787"/>
      <c r="Y454" s="829"/>
      <c r="Z454" s="852"/>
      <c r="AA454" s="851"/>
      <c r="AB454" s="787"/>
      <c r="AC454" s="829"/>
      <c r="AD454" s="852"/>
      <c r="AE454" s="851"/>
      <c r="AF454" s="787"/>
      <c r="AG454" s="355">
        <v>1875</v>
      </c>
      <c r="AL454" s="123"/>
    </row>
    <row r="455" spans="1:38" x14ac:dyDescent="0.4">
      <c r="A455" s="65"/>
      <c r="B455" s="356">
        <v>1880</v>
      </c>
      <c r="C455" s="851"/>
      <c r="D455" s="787"/>
      <c r="E455" s="829"/>
      <c r="F455" s="852"/>
      <c r="G455" s="851"/>
      <c r="H455" s="787"/>
      <c r="I455" s="829"/>
      <c r="J455" s="852"/>
      <c r="K455" s="851"/>
      <c r="L455" s="787"/>
      <c r="M455" s="829"/>
      <c r="N455" s="852"/>
      <c r="O455" s="851"/>
      <c r="P455" s="787"/>
      <c r="Q455" s="829"/>
      <c r="R455" s="852"/>
      <c r="S455" s="851"/>
      <c r="T455" s="787"/>
      <c r="U455" s="829"/>
      <c r="V455" s="852"/>
      <c r="W455" s="851"/>
      <c r="X455" s="787"/>
      <c r="Y455" s="829"/>
      <c r="Z455" s="852"/>
      <c r="AA455" s="851"/>
      <c r="AB455" s="787"/>
      <c r="AC455" s="829"/>
      <c r="AD455" s="852"/>
      <c r="AE455" s="851"/>
      <c r="AF455" s="787"/>
      <c r="AG455" s="355">
        <v>1880</v>
      </c>
      <c r="AL455" s="123"/>
    </row>
    <row r="456" spans="1:38" x14ac:dyDescent="0.4">
      <c r="A456" s="65"/>
      <c r="B456" s="356">
        <v>1885</v>
      </c>
      <c r="C456" s="851"/>
      <c r="D456" s="787"/>
      <c r="E456" s="829"/>
      <c r="F456" s="852"/>
      <c r="G456" s="851"/>
      <c r="H456" s="787"/>
      <c r="I456" s="829"/>
      <c r="J456" s="852"/>
      <c r="K456" s="851"/>
      <c r="L456" s="787"/>
      <c r="M456" s="829"/>
      <c r="N456" s="852"/>
      <c r="O456" s="851"/>
      <c r="P456" s="787"/>
      <c r="Q456" s="829"/>
      <c r="R456" s="852"/>
      <c r="S456" s="851"/>
      <c r="T456" s="787"/>
      <c r="U456" s="829"/>
      <c r="V456" s="852"/>
      <c r="W456" s="851"/>
      <c r="X456" s="787"/>
      <c r="Y456" s="829"/>
      <c r="Z456" s="852"/>
      <c r="AA456" s="851"/>
      <c r="AB456" s="787"/>
      <c r="AC456" s="829"/>
      <c r="AD456" s="852"/>
      <c r="AE456" s="851"/>
      <c r="AF456" s="787"/>
      <c r="AG456" s="355">
        <v>1885</v>
      </c>
      <c r="AL456" s="123"/>
    </row>
    <row r="457" spans="1:38" x14ac:dyDescent="0.4">
      <c r="A457" s="65"/>
      <c r="B457" s="356">
        <v>1890</v>
      </c>
      <c r="C457" s="851"/>
      <c r="D457" s="787"/>
      <c r="E457" s="829"/>
      <c r="F457" s="852"/>
      <c r="G457" s="851"/>
      <c r="H457" s="787"/>
      <c r="I457" s="829"/>
      <c r="J457" s="852"/>
      <c r="K457" s="851"/>
      <c r="L457" s="787"/>
      <c r="M457" s="829"/>
      <c r="N457" s="852"/>
      <c r="O457" s="851"/>
      <c r="P457" s="787"/>
      <c r="Q457" s="829"/>
      <c r="R457" s="852"/>
      <c r="S457" s="851"/>
      <c r="T457" s="787"/>
      <c r="U457" s="829"/>
      <c r="V457" s="852"/>
      <c r="W457" s="851"/>
      <c r="X457" s="787"/>
      <c r="Y457" s="829"/>
      <c r="Z457" s="852"/>
      <c r="AA457" s="851"/>
      <c r="AB457" s="787"/>
      <c r="AC457" s="829"/>
      <c r="AD457" s="852"/>
      <c r="AE457" s="851"/>
      <c r="AF457" s="787"/>
      <c r="AG457" s="355">
        <v>1890</v>
      </c>
      <c r="AL457" s="123"/>
    </row>
    <row r="458" spans="1:38" x14ac:dyDescent="0.4">
      <c r="A458" s="65"/>
      <c r="B458" s="356">
        <v>1895</v>
      </c>
      <c r="C458" s="851"/>
      <c r="D458" s="787"/>
      <c r="E458" s="829"/>
      <c r="F458" s="852"/>
      <c r="G458" s="851"/>
      <c r="H458" s="787"/>
      <c r="I458" s="829"/>
      <c r="J458" s="852"/>
      <c r="K458" s="851"/>
      <c r="L458" s="787"/>
      <c r="M458" s="829"/>
      <c r="N458" s="852"/>
      <c r="O458" s="851"/>
      <c r="P458" s="787"/>
      <c r="Q458" s="829"/>
      <c r="R458" s="852"/>
      <c r="S458" s="851"/>
      <c r="T458" s="787"/>
      <c r="U458" s="829"/>
      <c r="V458" s="852"/>
      <c r="W458" s="851"/>
      <c r="X458" s="787"/>
      <c r="Y458" s="829"/>
      <c r="Z458" s="852"/>
      <c r="AA458" s="851"/>
      <c r="AB458" s="787"/>
      <c r="AC458" s="829"/>
      <c r="AD458" s="852"/>
      <c r="AE458" s="851"/>
      <c r="AF458" s="787"/>
      <c r="AG458" s="355">
        <v>1895</v>
      </c>
      <c r="AL458" s="123"/>
    </row>
    <row r="459" spans="1:38" x14ac:dyDescent="0.4">
      <c r="A459" s="65"/>
      <c r="B459" s="356">
        <v>1900</v>
      </c>
      <c r="C459" s="851"/>
      <c r="D459" s="787"/>
      <c r="E459" s="829"/>
      <c r="F459" s="852"/>
      <c r="G459" s="851"/>
      <c r="H459" s="787"/>
      <c r="I459" s="829"/>
      <c r="J459" s="852"/>
      <c r="K459" s="851"/>
      <c r="L459" s="787"/>
      <c r="M459" s="829"/>
      <c r="N459" s="852"/>
      <c r="O459" s="851"/>
      <c r="P459" s="787"/>
      <c r="Q459" s="829"/>
      <c r="R459" s="852"/>
      <c r="S459" s="851"/>
      <c r="T459" s="787"/>
      <c r="U459" s="829"/>
      <c r="V459" s="852"/>
      <c r="W459" s="851"/>
      <c r="X459" s="787"/>
      <c r="Y459" s="829"/>
      <c r="Z459" s="852"/>
      <c r="AA459" s="851"/>
      <c r="AB459" s="787"/>
      <c r="AC459" s="829"/>
      <c r="AD459" s="852"/>
      <c r="AE459" s="851"/>
      <c r="AF459" s="787"/>
      <c r="AG459" s="355">
        <v>1900</v>
      </c>
      <c r="AL459" s="123"/>
    </row>
    <row r="460" spans="1:38" x14ac:dyDescent="0.4">
      <c r="A460" s="65"/>
      <c r="B460" s="356">
        <v>1905</v>
      </c>
      <c r="C460" s="851"/>
      <c r="D460" s="787"/>
      <c r="E460" s="829"/>
      <c r="F460" s="852"/>
      <c r="G460" s="851"/>
      <c r="H460" s="787"/>
      <c r="I460" s="829"/>
      <c r="J460" s="852"/>
      <c r="K460" s="851"/>
      <c r="L460" s="787"/>
      <c r="M460" s="829"/>
      <c r="N460" s="852"/>
      <c r="O460" s="851"/>
      <c r="P460" s="787"/>
      <c r="Q460" s="829"/>
      <c r="R460" s="852"/>
      <c r="S460" s="851"/>
      <c r="T460" s="787"/>
      <c r="U460" s="829"/>
      <c r="V460" s="852"/>
      <c r="W460" s="851"/>
      <c r="X460" s="787"/>
      <c r="Y460" s="829"/>
      <c r="Z460" s="852"/>
      <c r="AA460" s="851"/>
      <c r="AB460" s="787"/>
      <c r="AC460" s="829"/>
      <c r="AD460" s="852"/>
      <c r="AE460" s="851"/>
      <c r="AF460" s="787"/>
      <c r="AG460" s="355">
        <v>1905</v>
      </c>
      <c r="AL460" s="123"/>
    </row>
    <row r="461" spans="1:38" x14ac:dyDescent="0.4">
      <c r="A461" s="65"/>
      <c r="B461" s="356">
        <v>1910</v>
      </c>
      <c r="C461" s="851"/>
      <c r="D461" s="787"/>
      <c r="E461" s="829"/>
      <c r="F461" s="852"/>
      <c r="G461" s="851"/>
      <c r="H461" s="787"/>
      <c r="I461" s="829"/>
      <c r="J461" s="852"/>
      <c r="K461" s="851"/>
      <c r="L461" s="787"/>
      <c r="M461" s="829"/>
      <c r="N461" s="852"/>
      <c r="O461" s="851"/>
      <c r="P461" s="787"/>
      <c r="Q461" s="829"/>
      <c r="R461" s="852"/>
      <c r="S461" s="851"/>
      <c r="T461" s="787"/>
      <c r="U461" s="829"/>
      <c r="V461" s="852"/>
      <c r="W461" s="851"/>
      <c r="X461" s="787"/>
      <c r="Y461" s="829"/>
      <c r="Z461" s="852"/>
      <c r="AA461" s="851"/>
      <c r="AB461" s="787"/>
      <c r="AC461" s="829"/>
      <c r="AD461" s="852"/>
      <c r="AE461" s="851"/>
      <c r="AF461" s="787"/>
      <c r="AG461" s="355">
        <v>1910</v>
      </c>
      <c r="AL461" s="123"/>
    </row>
    <row r="462" spans="1:38" x14ac:dyDescent="0.4">
      <c r="A462" s="65"/>
      <c r="B462" s="356">
        <v>1915</v>
      </c>
      <c r="C462" s="851"/>
      <c r="D462" s="787"/>
      <c r="E462" s="829"/>
      <c r="F462" s="852"/>
      <c r="G462" s="851"/>
      <c r="H462" s="787"/>
      <c r="I462" s="829"/>
      <c r="J462" s="852"/>
      <c r="K462" s="851"/>
      <c r="L462" s="787"/>
      <c r="M462" s="829"/>
      <c r="N462" s="852"/>
      <c r="O462" s="851"/>
      <c r="P462" s="787"/>
      <c r="Q462" s="829"/>
      <c r="R462" s="852"/>
      <c r="S462" s="851"/>
      <c r="T462" s="787"/>
      <c r="U462" s="829"/>
      <c r="V462" s="852"/>
      <c r="W462" s="851"/>
      <c r="X462" s="787"/>
      <c r="Y462" s="829"/>
      <c r="Z462" s="852"/>
      <c r="AA462" s="851"/>
      <c r="AB462" s="787"/>
      <c r="AC462" s="829"/>
      <c r="AD462" s="852"/>
      <c r="AE462" s="851"/>
      <c r="AF462" s="787"/>
      <c r="AG462" s="355">
        <v>1915</v>
      </c>
      <c r="AL462" s="123"/>
    </row>
    <row r="463" spans="1:38" x14ac:dyDescent="0.4">
      <c r="A463" s="65"/>
      <c r="B463" s="356">
        <v>1920</v>
      </c>
      <c r="C463" s="851"/>
      <c r="D463" s="787"/>
      <c r="E463" s="829"/>
      <c r="F463" s="852"/>
      <c r="G463" s="851"/>
      <c r="H463" s="787"/>
      <c r="I463" s="829"/>
      <c r="J463" s="852"/>
      <c r="K463" s="851"/>
      <c r="L463" s="787"/>
      <c r="M463" s="829"/>
      <c r="N463" s="852"/>
      <c r="O463" s="851"/>
      <c r="P463" s="787"/>
      <c r="Q463" s="829"/>
      <c r="R463" s="852"/>
      <c r="S463" s="851"/>
      <c r="T463" s="787"/>
      <c r="U463" s="829"/>
      <c r="V463" s="852"/>
      <c r="W463" s="851"/>
      <c r="X463" s="787"/>
      <c r="Y463" s="829"/>
      <c r="Z463" s="852"/>
      <c r="AA463" s="851"/>
      <c r="AB463" s="787"/>
      <c r="AC463" s="829"/>
      <c r="AD463" s="852"/>
      <c r="AE463" s="851"/>
      <c r="AF463" s="787"/>
      <c r="AG463" s="355">
        <v>1920</v>
      </c>
      <c r="AL463" s="123"/>
    </row>
    <row r="464" spans="1:38" x14ac:dyDescent="0.4">
      <c r="A464" s="65"/>
      <c r="B464" s="356">
        <v>1925</v>
      </c>
      <c r="C464" s="851"/>
      <c r="D464" s="787"/>
      <c r="E464" s="829"/>
      <c r="F464" s="852"/>
      <c r="G464" s="851"/>
      <c r="H464" s="787"/>
      <c r="I464" s="829"/>
      <c r="J464" s="852"/>
      <c r="K464" s="851"/>
      <c r="L464" s="787"/>
      <c r="M464" s="829"/>
      <c r="N464" s="852"/>
      <c r="O464" s="851"/>
      <c r="P464" s="787"/>
      <c r="Q464" s="829"/>
      <c r="R464" s="852"/>
      <c r="S464" s="851"/>
      <c r="T464" s="787"/>
      <c r="U464" s="829"/>
      <c r="V464" s="852"/>
      <c r="W464" s="851"/>
      <c r="X464" s="787"/>
      <c r="Y464" s="829"/>
      <c r="Z464" s="852"/>
      <c r="AA464" s="851"/>
      <c r="AB464" s="787"/>
      <c r="AC464" s="829"/>
      <c r="AD464" s="852"/>
      <c r="AE464" s="851"/>
      <c r="AF464" s="787"/>
      <c r="AG464" s="355">
        <v>1925</v>
      </c>
      <c r="AL464" s="123"/>
    </row>
    <row r="465" spans="1:38" x14ac:dyDescent="0.4">
      <c r="A465" s="65"/>
      <c r="B465" s="356">
        <v>1930</v>
      </c>
      <c r="C465" s="851"/>
      <c r="D465" s="787"/>
      <c r="E465" s="829"/>
      <c r="F465" s="852"/>
      <c r="G465" s="851"/>
      <c r="H465" s="787"/>
      <c r="I465" s="829"/>
      <c r="J465" s="852"/>
      <c r="K465" s="851"/>
      <c r="L465" s="787"/>
      <c r="M465" s="829"/>
      <c r="N465" s="852"/>
      <c r="O465" s="851"/>
      <c r="P465" s="787"/>
      <c r="Q465" s="829"/>
      <c r="R465" s="852"/>
      <c r="S465" s="851"/>
      <c r="T465" s="787"/>
      <c r="U465" s="829"/>
      <c r="V465" s="852"/>
      <c r="W465" s="851"/>
      <c r="X465" s="787"/>
      <c r="Y465" s="829"/>
      <c r="Z465" s="852"/>
      <c r="AA465" s="851"/>
      <c r="AB465" s="787"/>
      <c r="AC465" s="829"/>
      <c r="AD465" s="852"/>
      <c r="AE465" s="851"/>
      <c r="AF465" s="787"/>
      <c r="AG465" s="355">
        <v>1930</v>
      </c>
      <c r="AL465" s="123"/>
    </row>
    <row r="466" spans="1:38" x14ac:dyDescent="0.4">
      <c r="A466" s="65"/>
      <c r="B466" s="356">
        <v>1935</v>
      </c>
      <c r="C466" s="851"/>
      <c r="D466" s="787"/>
      <c r="E466" s="829"/>
      <c r="F466" s="852"/>
      <c r="G466" s="851"/>
      <c r="H466" s="787"/>
      <c r="I466" s="829"/>
      <c r="J466" s="852"/>
      <c r="K466" s="851"/>
      <c r="L466" s="787"/>
      <c r="M466" s="829"/>
      <c r="N466" s="852"/>
      <c r="O466" s="851"/>
      <c r="P466" s="787"/>
      <c r="Q466" s="829"/>
      <c r="R466" s="852"/>
      <c r="S466" s="851"/>
      <c r="T466" s="787"/>
      <c r="U466" s="829"/>
      <c r="V466" s="852"/>
      <c r="W466" s="851"/>
      <c r="X466" s="787"/>
      <c r="Y466" s="829"/>
      <c r="Z466" s="852"/>
      <c r="AA466" s="851"/>
      <c r="AB466" s="787"/>
      <c r="AC466" s="829"/>
      <c r="AD466" s="852"/>
      <c r="AE466" s="851"/>
      <c r="AF466" s="787"/>
      <c r="AG466" s="355">
        <v>1935</v>
      </c>
      <c r="AL466" s="123"/>
    </row>
    <row r="467" spans="1:38" x14ac:dyDescent="0.4">
      <c r="A467" s="65"/>
      <c r="B467" s="356">
        <v>1940</v>
      </c>
      <c r="C467" s="851"/>
      <c r="D467" s="787"/>
      <c r="E467" s="829"/>
      <c r="F467" s="852"/>
      <c r="G467" s="851"/>
      <c r="H467" s="787"/>
      <c r="I467" s="829"/>
      <c r="J467" s="852"/>
      <c r="K467" s="851"/>
      <c r="L467" s="787"/>
      <c r="M467" s="829"/>
      <c r="N467" s="852"/>
      <c r="O467" s="851"/>
      <c r="P467" s="787"/>
      <c r="Q467" s="829"/>
      <c r="R467" s="852"/>
      <c r="S467" s="851"/>
      <c r="T467" s="787"/>
      <c r="U467" s="829"/>
      <c r="V467" s="852"/>
      <c r="W467" s="851"/>
      <c r="X467" s="787"/>
      <c r="Y467" s="829"/>
      <c r="Z467" s="852"/>
      <c r="AA467" s="851"/>
      <c r="AB467" s="787"/>
      <c r="AC467" s="829"/>
      <c r="AD467" s="852"/>
      <c r="AE467" s="851"/>
      <c r="AF467" s="787"/>
      <c r="AG467" s="355">
        <v>1940</v>
      </c>
      <c r="AL467" s="123"/>
    </row>
    <row r="468" spans="1:38" x14ac:dyDescent="0.4">
      <c r="A468" s="65"/>
      <c r="B468" s="356">
        <v>1945</v>
      </c>
      <c r="C468" s="851"/>
      <c r="D468" s="787"/>
      <c r="E468" s="829"/>
      <c r="F468" s="852"/>
      <c r="G468" s="851"/>
      <c r="H468" s="787"/>
      <c r="I468" s="829"/>
      <c r="J468" s="852"/>
      <c r="K468" s="851"/>
      <c r="L468" s="787"/>
      <c r="M468" s="829"/>
      <c r="N468" s="852"/>
      <c r="O468" s="851"/>
      <c r="P468" s="787"/>
      <c r="Q468" s="829"/>
      <c r="R468" s="852"/>
      <c r="S468" s="851"/>
      <c r="T468" s="787"/>
      <c r="U468" s="829"/>
      <c r="V468" s="852"/>
      <c r="W468" s="851"/>
      <c r="X468" s="787"/>
      <c r="Y468" s="829"/>
      <c r="Z468" s="852"/>
      <c r="AA468" s="851"/>
      <c r="AB468" s="787"/>
      <c r="AC468" s="829"/>
      <c r="AD468" s="852"/>
      <c r="AE468" s="851"/>
      <c r="AF468" s="787"/>
      <c r="AG468" s="355">
        <v>1945</v>
      </c>
      <c r="AL468" s="123"/>
    </row>
    <row r="469" spans="1:38" x14ac:dyDescent="0.4">
      <c r="A469" s="65"/>
      <c r="B469" s="356">
        <v>1950</v>
      </c>
      <c r="C469" s="851"/>
      <c r="D469" s="787"/>
      <c r="E469" s="829"/>
      <c r="F469" s="852"/>
      <c r="G469" s="851"/>
      <c r="H469" s="787"/>
      <c r="I469" s="829"/>
      <c r="J469" s="852"/>
      <c r="K469" s="851"/>
      <c r="L469" s="787"/>
      <c r="M469" s="829"/>
      <c r="N469" s="852"/>
      <c r="O469" s="851"/>
      <c r="P469" s="787"/>
      <c r="Q469" s="829"/>
      <c r="R469" s="852"/>
      <c r="S469" s="851"/>
      <c r="T469" s="787"/>
      <c r="U469" s="829"/>
      <c r="V469" s="852"/>
      <c r="W469" s="851"/>
      <c r="X469" s="787"/>
      <c r="Y469" s="829"/>
      <c r="Z469" s="852"/>
      <c r="AA469" s="851"/>
      <c r="AB469" s="787"/>
      <c r="AC469" s="829"/>
      <c r="AD469" s="852"/>
      <c r="AE469" s="851"/>
      <c r="AF469" s="787"/>
      <c r="AG469" s="355">
        <v>1950</v>
      </c>
      <c r="AL469" s="123"/>
    </row>
    <row r="470" spans="1:38" x14ac:dyDescent="0.4">
      <c r="A470" s="65"/>
      <c r="B470" s="356">
        <v>1955</v>
      </c>
      <c r="C470" s="851"/>
      <c r="D470" s="787"/>
      <c r="E470" s="829"/>
      <c r="F470" s="852"/>
      <c r="G470" s="851"/>
      <c r="H470" s="787"/>
      <c r="I470" s="829"/>
      <c r="J470" s="852"/>
      <c r="K470" s="851"/>
      <c r="L470" s="787"/>
      <c r="M470" s="829"/>
      <c r="N470" s="852"/>
      <c r="O470" s="851"/>
      <c r="P470" s="787"/>
      <c r="Q470" s="829"/>
      <c r="R470" s="852"/>
      <c r="S470" s="851"/>
      <c r="T470" s="787"/>
      <c r="U470" s="829"/>
      <c r="V470" s="852"/>
      <c r="W470" s="851"/>
      <c r="X470" s="787"/>
      <c r="Y470" s="829"/>
      <c r="Z470" s="852"/>
      <c r="AA470" s="851"/>
      <c r="AB470" s="787"/>
      <c r="AC470" s="829"/>
      <c r="AD470" s="852"/>
      <c r="AE470" s="851"/>
      <c r="AF470" s="787"/>
      <c r="AG470" s="355">
        <v>1955</v>
      </c>
      <c r="AL470" s="123"/>
    </row>
    <row r="471" spans="1:38" x14ac:dyDescent="0.4">
      <c r="A471" s="65"/>
      <c r="B471" s="356">
        <v>1960</v>
      </c>
      <c r="C471" s="851"/>
      <c r="D471" s="787"/>
      <c r="E471" s="829"/>
      <c r="F471" s="852"/>
      <c r="G471" s="851"/>
      <c r="H471" s="787"/>
      <c r="I471" s="829"/>
      <c r="J471" s="852"/>
      <c r="K471" s="851"/>
      <c r="L471" s="787"/>
      <c r="M471" s="829"/>
      <c r="N471" s="852"/>
      <c r="O471" s="851"/>
      <c r="P471" s="787"/>
      <c r="Q471" s="829"/>
      <c r="R471" s="852"/>
      <c r="S471" s="851"/>
      <c r="T471" s="787"/>
      <c r="U471" s="829"/>
      <c r="V471" s="852"/>
      <c r="W471" s="851"/>
      <c r="X471" s="787"/>
      <c r="Y471" s="829"/>
      <c r="Z471" s="852"/>
      <c r="AA471" s="851"/>
      <c r="AB471" s="787"/>
      <c r="AC471" s="829"/>
      <c r="AD471" s="852"/>
      <c r="AE471" s="851"/>
      <c r="AF471" s="787"/>
      <c r="AG471" s="355">
        <v>1960</v>
      </c>
      <c r="AL471" s="123"/>
    </row>
    <row r="472" spans="1:38" x14ac:dyDescent="0.4">
      <c r="A472" s="65"/>
      <c r="B472" s="356">
        <v>1965</v>
      </c>
      <c r="C472" s="851"/>
      <c r="D472" s="787"/>
      <c r="E472" s="829"/>
      <c r="F472" s="852"/>
      <c r="G472" s="851"/>
      <c r="H472" s="787"/>
      <c r="I472" s="829"/>
      <c r="J472" s="852"/>
      <c r="K472" s="851"/>
      <c r="L472" s="787"/>
      <c r="M472" s="829"/>
      <c r="N472" s="852"/>
      <c r="O472" s="851"/>
      <c r="P472" s="787"/>
      <c r="Q472" s="829"/>
      <c r="R472" s="852"/>
      <c r="S472" s="851"/>
      <c r="T472" s="787"/>
      <c r="U472" s="829"/>
      <c r="V472" s="852"/>
      <c r="W472" s="851"/>
      <c r="X472" s="787"/>
      <c r="Y472" s="829"/>
      <c r="Z472" s="852"/>
      <c r="AA472" s="851"/>
      <c r="AB472" s="787"/>
      <c r="AC472" s="829"/>
      <c r="AD472" s="852"/>
      <c r="AE472" s="851"/>
      <c r="AF472" s="787"/>
      <c r="AG472" s="355">
        <v>1965</v>
      </c>
      <c r="AL472" s="123"/>
    </row>
    <row r="473" spans="1:38" x14ac:dyDescent="0.4">
      <c r="A473" s="65"/>
      <c r="B473" s="356">
        <v>1970</v>
      </c>
      <c r="C473" s="851"/>
      <c r="D473" s="787"/>
      <c r="E473" s="829"/>
      <c r="F473" s="852"/>
      <c r="G473" s="851"/>
      <c r="H473" s="787"/>
      <c r="I473" s="829"/>
      <c r="J473" s="852"/>
      <c r="K473" s="851"/>
      <c r="L473" s="787"/>
      <c r="M473" s="829"/>
      <c r="N473" s="852"/>
      <c r="O473" s="851"/>
      <c r="P473" s="787"/>
      <c r="Q473" s="829"/>
      <c r="R473" s="852"/>
      <c r="S473" s="851"/>
      <c r="T473" s="787"/>
      <c r="U473" s="829"/>
      <c r="V473" s="852"/>
      <c r="W473" s="851"/>
      <c r="X473" s="787"/>
      <c r="Y473" s="829"/>
      <c r="Z473" s="852"/>
      <c r="AA473" s="851"/>
      <c r="AB473" s="787"/>
      <c r="AC473" s="829"/>
      <c r="AD473" s="852"/>
      <c r="AE473" s="851"/>
      <c r="AF473" s="787"/>
      <c r="AG473" s="355">
        <v>1970</v>
      </c>
      <c r="AL473" s="123"/>
    </row>
    <row r="474" spans="1:38" x14ac:dyDescent="0.4">
      <c r="A474" s="65"/>
      <c r="B474" s="356">
        <v>1975</v>
      </c>
      <c r="C474" s="851"/>
      <c r="D474" s="787"/>
      <c r="E474" s="829"/>
      <c r="F474" s="852"/>
      <c r="G474" s="851"/>
      <c r="H474" s="787"/>
      <c r="I474" s="829"/>
      <c r="J474" s="852"/>
      <c r="K474" s="851"/>
      <c r="L474" s="787"/>
      <c r="M474" s="829"/>
      <c r="N474" s="852"/>
      <c r="O474" s="851"/>
      <c r="P474" s="787"/>
      <c r="Q474" s="829"/>
      <c r="R474" s="852"/>
      <c r="S474" s="851"/>
      <c r="T474" s="787"/>
      <c r="U474" s="829"/>
      <c r="V474" s="852"/>
      <c r="W474" s="851"/>
      <c r="X474" s="787"/>
      <c r="Y474" s="829"/>
      <c r="Z474" s="852"/>
      <c r="AA474" s="851"/>
      <c r="AB474" s="787"/>
      <c r="AC474" s="829"/>
      <c r="AD474" s="852"/>
      <c r="AE474" s="851"/>
      <c r="AF474" s="787"/>
      <c r="AG474" s="355">
        <v>1975</v>
      </c>
      <c r="AL474" s="123"/>
    </row>
    <row r="475" spans="1:38" x14ac:dyDescent="0.4">
      <c r="A475" s="65"/>
      <c r="B475" s="356">
        <v>1980</v>
      </c>
      <c r="C475" s="851"/>
      <c r="D475" s="787"/>
      <c r="E475" s="829"/>
      <c r="F475" s="852"/>
      <c r="G475" s="851"/>
      <c r="H475" s="787"/>
      <c r="I475" s="829"/>
      <c r="J475" s="852"/>
      <c r="K475" s="851"/>
      <c r="L475" s="787"/>
      <c r="M475" s="829"/>
      <c r="N475" s="852"/>
      <c r="O475" s="851"/>
      <c r="P475" s="787"/>
      <c r="Q475" s="829"/>
      <c r="R475" s="852"/>
      <c r="S475" s="851"/>
      <c r="T475" s="787"/>
      <c r="U475" s="829"/>
      <c r="V475" s="852"/>
      <c r="W475" s="851"/>
      <c r="X475" s="787"/>
      <c r="Y475" s="829"/>
      <c r="Z475" s="852"/>
      <c r="AA475" s="851"/>
      <c r="AB475" s="787"/>
      <c r="AC475" s="829"/>
      <c r="AD475" s="852"/>
      <c r="AE475" s="851"/>
      <c r="AF475" s="787"/>
      <c r="AG475" s="355">
        <v>1980</v>
      </c>
      <c r="AL475" s="123"/>
    </row>
    <row r="476" spans="1:38" x14ac:dyDescent="0.4">
      <c r="A476" s="65"/>
      <c r="B476" s="356">
        <v>1985</v>
      </c>
      <c r="C476" s="851"/>
      <c r="D476" s="787"/>
      <c r="E476" s="829"/>
      <c r="F476" s="852"/>
      <c r="G476" s="851"/>
      <c r="H476" s="787"/>
      <c r="I476" s="829"/>
      <c r="J476" s="852"/>
      <c r="K476" s="851"/>
      <c r="L476" s="787"/>
      <c r="M476" s="829"/>
      <c r="N476" s="852"/>
      <c r="O476" s="851"/>
      <c r="P476" s="787"/>
      <c r="Q476" s="829"/>
      <c r="R476" s="852"/>
      <c r="S476" s="851"/>
      <c r="T476" s="787"/>
      <c r="U476" s="829"/>
      <c r="V476" s="852"/>
      <c r="W476" s="851"/>
      <c r="X476" s="787"/>
      <c r="Y476" s="829"/>
      <c r="Z476" s="852"/>
      <c r="AA476" s="851"/>
      <c r="AB476" s="787"/>
      <c r="AC476" s="829"/>
      <c r="AD476" s="852"/>
      <c r="AE476" s="851"/>
      <c r="AF476" s="787"/>
      <c r="AG476" s="355">
        <v>1985</v>
      </c>
      <c r="AL476" s="123"/>
    </row>
    <row r="477" spans="1:38" x14ac:dyDescent="0.4">
      <c r="A477" s="65"/>
      <c r="B477" s="356">
        <v>1990</v>
      </c>
      <c r="C477" s="851"/>
      <c r="D477" s="787"/>
      <c r="E477" s="829"/>
      <c r="F477" s="852"/>
      <c r="G477" s="851"/>
      <c r="H477" s="787"/>
      <c r="I477" s="829"/>
      <c r="J477" s="852"/>
      <c r="K477" s="851"/>
      <c r="L477" s="787"/>
      <c r="M477" s="829"/>
      <c r="N477" s="852"/>
      <c r="O477" s="851"/>
      <c r="P477" s="787"/>
      <c r="Q477" s="829"/>
      <c r="R477" s="852"/>
      <c r="S477" s="851"/>
      <c r="T477" s="787"/>
      <c r="U477" s="829"/>
      <c r="V477" s="852"/>
      <c r="W477" s="851"/>
      <c r="X477" s="787"/>
      <c r="Y477" s="829"/>
      <c r="Z477" s="852"/>
      <c r="AA477" s="851"/>
      <c r="AB477" s="787"/>
      <c r="AC477" s="829"/>
      <c r="AD477" s="852"/>
      <c r="AE477" s="851"/>
      <c r="AF477" s="787"/>
      <c r="AG477" s="355">
        <v>1990</v>
      </c>
      <c r="AL477" s="123"/>
    </row>
    <row r="478" spans="1:38" x14ac:dyDescent="0.4">
      <c r="A478" s="65"/>
      <c r="B478" s="356">
        <v>1995</v>
      </c>
      <c r="C478" s="851"/>
      <c r="D478" s="787"/>
      <c r="E478" s="829"/>
      <c r="F478" s="852"/>
      <c r="G478" s="851"/>
      <c r="H478" s="787"/>
      <c r="I478" s="829"/>
      <c r="J478" s="852"/>
      <c r="K478" s="851"/>
      <c r="L478" s="787"/>
      <c r="M478" s="829"/>
      <c r="N478" s="852"/>
      <c r="O478" s="851"/>
      <c r="P478" s="787"/>
      <c r="Q478" s="829"/>
      <c r="R478" s="852"/>
      <c r="S478" s="851"/>
      <c r="T478" s="787"/>
      <c r="U478" s="829"/>
      <c r="V478" s="852"/>
      <c r="W478" s="851"/>
      <c r="X478" s="787"/>
      <c r="Y478" s="829"/>
      <c r="Z478" s="852"/>
      <c r="AA478" s="851"/>
      <c r="AB478" s="787"/>
      <c r="AC478" s="829"/>
      <c r="AD478" s="852"/>
      <c r="AE478" s="851"/>
      <c r="AF478" s="787"/>
      <c r="AG478" s="355">
        <v>1995</v>
      </c>
      <c r="AL478" s="123"/>
    </row>
    <row r="479" spans="1:38" x14ac:dyDescent="0.4">
      <c r="A479" s="65"/>
      <c r="B479" s="356">
        <v>2000</v>
      </c>
      <c r="C479" s="851"/>
      <c r="D479" s="787"/>
      <c r="E479" s="829"/>
      <c r="F479" s="852"/>
      <c r="G479" s="851"/>
      <c r="H479" s="787"/>
      <c r="I479" s="829"/>
      <c r="J479" s="852"/>
      <c r="K479" s="851"/>
      <c r="L479" s="787"/>
      <c r="M479" s="829"/>
      <c r="N479" s="852"/>
      <c r="O479" s="851"/>
      <c r="P479" s="787"/>
      <c r="Q479" s="829"/>
      <c r="R479" s="852"/>
      <c r="S479" s="851"/>
      <c r="T479" s="787"/>
      <c r="U479" s="829"/>
      <c r="V479" s="852"/>
      <c r="W479" s="851"/>
      <c r="X479" s="787"/>
      <c r="Y479" s="829"/>
      <c r="Z479" s="852"/>
      <c r="AA479" s="851"/>
      <c r="AB479" s="787"/>
      <c r="AC479" s="829"/>
      <c r="AD479" s="852"/>
      <c r="AE479" s="851"/>
      <c r="AF479" s="787"/>
      <c r="AG479" s="355">
        <v>2000</v>
      </c>
      <c r="AL479" s="123"/>
    </row>
    <row r="480" spans="1:38" x14ac:dyDescent="0.4">
      <c r="A480" s="65"/>
      <c r="B480" s="356">
        <v>2005</v>
      </c>
      <c r="C480" s="851"/>
      <c r="D480" s="787"/>
      <c r="E480" s="829"/>
      <c r="F480" s="852"/>
      <c r="G480" s="851"/>
      <c r="H480" s="787"/>
      <c r="I480" s="829"/>
      <c r="J480" s="852"/>
      <c r="K480" s="851"/>
      <c r="L480" s="787"/>
      <c r="M480" s="829"/>
      <c r="N480" s="852"/>
      <c r="O480" s="851"/>
      <c r="P480" s="787"/>
      <c r="Q480" s="829"/>
      <c r="R480" s="852"/>
      <c r="S480" s="851"/>
      <c r="T480" s="787"/>
      <c r="U480" s="829"/>
      <c r="V480" s="852"/>
      <c r="W480" s="851"/>
      <c r="X480" s="787"/>
      <c r="Y480" s="829"/>
      <c r="Z480" s="852"/>
      <c r="AA480" s="851"/>
      <c r="AB480" s="787"/>
      <c r="AC480" s="829"/>
      <c r="AD480" s="852"/>
      <c r="AE480" s="851"/>
      <c r="AF480" s="787"/>
      <c r="AG480" s="355">
        <v>2005</v>
      </c>
      <c r="AL480" s="123"/>
    </row>
    <row r="481" spans="1:38" x14ac:dyDescent="0.4">
      <c r="A481" s="65"/>
      <c r="B481" s="356">
        <v>2010</v>
      </c>
      <c r="C481" s="851"/>
      <c r="D481" s="787"/>
      <c r="E481" s="829"/>
      <c r="F481" s="852"/>
      <c r="G481" s="851"/>
      <c r="H481" s="787"/>
      <c r="I481" s="829"/>
      <c r="J481" s="852"/>
      <c r="K481" s="851"/>
      <c r="L481" s="787"/>
      <c r="M481" s="829"/>
      <c r="N481" s="852"/>
      <c r="O481" s="851"/>
      <c r="P481" s="787"/>
      <c r="Q481" s="829"/>
      <c r="R481" s="852"/>
      <c r="S481" s="851"/>
      <c r="T481" s="787"/>
      <c r="U481" s="829"/>
      <c r="V481" s="852"/>
      <c r="W481" s="851"/>
      <c r="X481" s="787"/>
      <c r="Y481" s="829"/>
      <c r="Z481" s="852"/>
      <c r="AA481" s="851"/>
      <c r="AB481" s="787"/>
      <c r="AC481" s="829"/>
      <c r="AD481" s="852"/>
      <c r="AE481" s="851"/>
      <c r="AF481" s="787"/>
      <c r="AG481" s="355">
        <v>2010</v>
      </c>
      <c r="AL481" s="123"/>
    </row>
    <row r="482" spans="1:38" x14ac:dyDescent="0.4">
      <c r="A482" s="65"/>
      <c r="B482" s="356">
        <v>2015</v>
      </c>
      <c r="C482" s="851"/>
      <c r="D482" s="787"/>
      <c r="E482" s="829"/>
      <c r="F482" s="852"/>
      <c r="G482" s="851"/>
      <c r="H482" s="787"/>
      <c r="I482" s="829"/>
      <c r="J482" s="852"/>
      <c r="K482" s="851"/>
      <c r="L482" s="787"/>
      <c r="M482" s="829"/>
      <c r="N482" s="852"/>
      <c r="O482" s="851"/>
      <c r="P482" s="787"/>
      <c r="Q482" s="829"/>
      <c r="R482" s="852"/>
      <c r="S482" s="851"/>
      <c r="T482" s="787"/>
      <c r="U482" s="829"/>
      <c r="V482" s="852"/>
      <c r="W482" s="851"/>
      <c r="X482" s="787"/>
      <c r="Y482" s="829"/>
      <c r="Z482" s="852"/>
      <c r="AA482" s="851"/>
      <c r="AB482" s="787"/>
      <c r="AC482" s="829"/>
      <c r="AD482" s="852"/>
      <c r="AE482" s="851"/>
      <c r="AF482" s="787"/>
      <c r="AG482" s="355">
        <v>2015</v>
      </c>
      <c r="AL482" s="123"/>
    </row>
    <row r="483" spans="1:38" x14ac:dyDescent="0.4">
      <c r="A483" s="65"/>
      <c r="B483" s="356">
        <v>2020</v>
      </c>
      <c r="C483" s="851"/>
      <c r="D483" s="787"/>
      <c r="E483" s="829"/>
      <c r="F483" s="852"/>
      <c r="G483" s="851"/>
      <c r="H483" s="787"/>
      <c r="I483" s="829"/>
      <c r="J483" s="852"/>
      <c r="K483" s="851"/>
      <c r="L483" s="787"/>
      <c r="M483" s="829"/>
      <c r="N483" s="852"/>
      <c r="O483" s="851"/>
      <c r="P483" s="787"/>
      <c r="Q483" s="829"/>
      <c r="R483" s="852"/>
      <c r="S483" s="851"/>
      <c r="T483" s="787"/>
      <c r="U483" s="829"/>
      <c r="V483" s="852"/>
      <c r="W483" s="851"/>
      <c r="X483" s="787"/>
      <c r="Y483" s="829"/>
      <c r="Z483" s="852"/>
      <c r="AA483" s="851"/>
      <c r="AB483" s="787"/>
      <c r="AC483" s="829"/>
      <c r="AD483" s="852"/>
      <c r="AE483" s="851"/>
      <c r="AF483" s="787"/>
      <c r="AG483" s="355">
        <v>2020</v>
      </c>
      <c r="AL483" s="123"/>
    </row>
    <row r="484" spans="1:38" x14ac:dyDescent="0.4">
      <c r="A484" s="65"/>
      <c r="B484" s="356">
        <v>2025</v>
      </c>
      <c r="C484" s="851"/>
      <c r="D484" s="787"/>
      <c r="E484" s="829"/>
      <c r="F484" s="852"/>
      <c r="G484" s="851"/>
      <c r="H484" s="787"/>
      <c r="I484" s="829"/>
      <c r="J484" s="852"/>
      <c r="K484" s="851"/>
      <c r="L484" s="787"/>
      <c r="M484" s="829"/>
      <c r="N484" s="852"/>
      <c r="O484" s="851"/>
      <c r="P484" s="787"/>
      <c r="Q484" s="829"/>
      <c r="R484" s="852"/>
      <c r="S484" s="851"/>
      <c r="T484" s="787"/>
      <c r="U484" s="829"/>
      <c r="V484" s="852"/>
      <c r="W484" s="851"/>
      <c r="X484" s="787"/>
      <c r="Y484" s="829"/>
      <c r="Z484" s="852"/>
      <c r="AA484" s="851"/>
      <c r="AB484" s="787"/>
      <c r="AC484" s="829"/>
      <c r="AD484" s="852"/>
      <c r="AE484" s="851"/>
      <c r="AF484" s="787"/>
      <c r="AG484" s="355">
        <v>2025</v>
      </c>
      <c r="AL484" s="123"/>
    </row>
    <row r="485" spans="1:38" x14ac:dyDescent="0.4">
      <c r="A485" s="65"/>
      <c r="B485" s="356">
        <v>2030</v>
      </c>
      <c r="C485" s="851"/>
      <c r="D485" s="787"/>
      <c r="E485" s="829"/>
      <c r="F485" s="852"/>
      <c r="G485" s="851"/>
      <c r="H485" s="787"/>
      <c r="I485" s="829"/>
      <c r="J485" s="852"/>
      <c r="K485" s="851"/>
      <c r="L485" s="787"/>
      <c r="M485" s="829"/>
      <c r="N485" s="852"/>
      <c r="O485" s="851"/>
      <c r="P485" s="787"/>
      <c r="Q485" s="829"/>
      <c r="R485" s="852"/>
      <c r="S485" s="851"/>
      <c r="T485" s="787"/>
      <c r="U485" s="829"/>
      <c r="V485" s="852"/>
      <c r="W485" s="851"/>
      <c r="X485" s="787"/>
      <c r="Y485" s="829"/>
      <c r="Z485" s="852"/>
      <c r="AA485" s="851"/>
      <c r="AB485" s="787"/>
      <c r="AC485" s="829"/>
      <c r="AD485" s="852"/>
      <c r="AE485" s="851"/>
      <c r="AF485" s="787"/>
      <c r="AG485" s="355">
        <v>2030</v>
      </c>
      <c r="AL485" s="123"/>
    </row>
    <row r="486" spans="1:38" x14ac:dyDescent="0.4">
      <c r="A486" s="65"/>
      <c r="B486" s="356">
        <v>2035</v>
      </c>
      <c r="C486" s="851"/>
      <c r="D486" s="787"/>
      <c r="E486" s="829"/>
      <c r="F486" s="852"/>
      <c r="G486" s="851"/>
      <c r="H486" s="787"/>
      <c r="I486" s="829"/>
      <c r="J486" s="852"/>
      <c r="K486" s="851"/>
      <c r="L486" s="787"/>
      <c r="M486" s="829"/>
      <c r="N486" s="852"/>
      <c r="O486" s="851"/>
      <c r="P486" s="787"/>
      <c r="Q486" s="829"/>
      <c r="R486" s="852"/>
      <c r="S486" s="851"/>
      <c r="T486" s="787"/>
      <c r="U486" s="829"/>
      <c r="V486" s="852"/>
      <c r="W486" s="851"/>
      <c r="X486" s="787"/>
      <c r="Y486" s="829"/>
      <c r="Z486" s="852"/>
      <c r="AA486" s="851"/>
      <c r="AB486" s="787"/>
      <c r="AC486" s="829"/>
      <c r="AD486" s="852"/>
      <c r="AE486" s="851"/>
      <c r="AF486" s="787"/>
      <c r="AG486" s="355">
        <v>2035</v>
      </c>
      <c r="AL486" s="123"/>
    </row>
    <row r="487" spans="1:38" x14ac:dyDescent="0.4">
      <c r="A487" s="65"/>
      <c r="B487" s="356">
        <v>2040</v>
      </c>
      <c r="C487" s="851"/>
      <c r="D487" s="787"/>
      <c r="E487" s="829"/>
      <c r="F487" s="852"/>
      <c r="G487" s="851"/>
      <c r="H487" s="787"/>
      <c r="I487" s="829"/>
      <c r="J487" s="852"/>
      <c r="K487" s="851"/>
      <c r="L487" s="787"/>
      <c r="M487" s="829"/>
      <c r="N487" s="852"/>
      <c r="O487" s="851"/>
      <c r="P487" s="787"/>
      <c r="Q487" s="829"/>
      <c r="R487" s="852"/>
      <c r="S487" s="851"/>
      <c r="T487" s="787"/>
      <c r="U487" s="829"/>
      <c r="V487" s="852"/>
      <c r="W487" s="851"/>
      <c r="X487" s="787"/>
      <c r="Y487" s="829"/>
      <c r="Z487" s="852"/>
      <c r="AA487" s="851"/>
      <c r="AB487" s="787"/>
      <c r="AC487" s="829"/>
      <c r="AD487" s="852"/>
      <c r="AE487" s="851"/>
      <c r="AF487" s="787"/>
      <c r="AG487" s="355">
        <v>2040</v>
      </c>
      <c r="AL487" s="123"/>
    </row>
    <row r="488" spans="1:38" x14ac:dyDescent="0.4">
      <c r="A488" s="65"/>
      <c r="B488" s="356">
        <v>2045</v>
      </c>
      <c r="C488" s="851"/>
      <c r="D488" s="787"/>
      <c r="E488" s="829"/>
      <c r="F488" s="852"/>
      <c r="G488" s="851"/>
      <c r="H488" s="787"/>
      <c r="I488" s="829"/>
      <c r="J488" s="852"/>
      <c r="K488" s="851"/>
      <c r="L488" s="787"/>
      <c r="M488" s="829"/>
      <c r="N488" s="852"/>
      <c r="O488" s="851"/>
      <c r="P488" s="787"/>
      <c r="Q488" s="829"/>
      <c r="R488" s="852"/>
      <c r="S488" s="851"/>
      <c r="T488" s="787"/>
      <c r="U488" s="829"/>
      <c r="V488" s="852"/>
      <c r="W488" s="851"/>
      <c r="X488" s="787"/>
      <c r="Y488" s="829"/>
      <c r="Z488" s="852"/>
      <c r="AA488" s="851"/>
      <c r="AB488" s="787"/>
      <c r="AC488" s="829"/>
      <c r="AD488" s="852"/>
      <c r="AE488" s="851"/>
      <c r="AF488" s="787"/>
      <c r="AG488" s="355">
        <v>2045</v>
      </c>
      <c r="AL488" s="123"/>
    </row>
    <row r="489" spans="1:38" x14ac:dyDescent="0.4">
      <c r="A489" s="65"/>
      <c r="B489" s="356">
        <v>2050</v>
      </c>
      <c r="C489" s="851"/>
      <c r="D489" s="787"/>
      <c r="E489" s="829"/>
      <c r="F489" s="852"/>
      <c r="G489" s="851"/>
      <c r="H489" s="787"/>
      <c r="I489" s="829"/>
      <c r="J489" s="852"/>
      <c r="K489" s="851"/>
      <c r="L489" s="787"/>
      <c r="M489" s="829"/>
      <c r="N489" s="852"/>
      <c r="O489" s="851"/>
      <c r="P489" s="787"/>
      <c r="Q489" s="829"/>
      <c r="R489" s="852"/>
      <c r="S489" s="851"/>
      <c r="T489" s="787"/>
      <c r="U489" s="829"/>
      <c r="V489" s="852"/>
      <c r="W489" s="851"/>
      <c r="X489" s="787"/>
      <c r="Y489" s="829"/>
      <c r="Z489" s="852"/>
      <c r="AA489" s="851"/>
      <c r="AB489" s="787"/>
      <c r="AC489" s="829"/>
      <c r="AD489" s="852"/>
      <c r="AE489" s="851"/>
      <c r="AF489" s="787"/>
      <c r="AG489" s="355">
        <v>2050</v>
      </c>
      <c r="AL489" s="123"/>
    </row>
    <row r="490" spans="1:38" x14ac:dyDescent="0.4">
      <c r="A490" s="65"/>
      <c r="B490" s="356">
        <v>2055</v>
      </c>
      <c r="C490" s="851"/>
      <c r="D490" s="787"/>
      <c r="E490" s="829"/>
      <c r="F490" s="852"/>
      <c r="G490" s="851"/>
      <c r="H490" s="787"/>
      <c r="I490" s="829"/>
      <c r="J490" s="852"/>
      <c r="K490" s="851"/>
      <c r="L490" s="787"/>
      <c r="M490" s="829"/>
      <c r="N490" s="852"/>
      <c r="O490" s="851"/>
      <c r="P490" s="787"/>
      <c r="Q490" s="829"/>
      <c r="R490" s="852"/>
      <c r="S490" s="851"/>
      <c r="T490" s="787"/>
      <c r="U490" s="829"/>
      <c r="V490" s="852"/>
      <c r="W490" s="851"/>
      <c r="X490" s="787"/>
      <c r="Y490" s="829"/>
      <c r="Z490" s="852"/>
      <c r="AA490" s="851"/>
      <c r="AB490" s="787"/>
      <c r="AC490" s="829"/>
      <c r="AD490" s="852"/>
      <c r="AE490" s="851"/>
      <c r="AF490" s="787"/>
      <c r="AG490" s="355">
        <v>2055</v>
      </c>
      <c r="AL490" s="123"/>
    </row>
    <row r="491" spans="1:38" x14ac:dyDescent="0.4">
      <c r="A491" s="65"/>
      <c r="B491" s="356">
        <v>2060</v>
      </c>
      <c r="C491" s="851"/>
      <c r="D491" s="787"/>
      <c r="E491" s="829"/>
      <c r="F491" s="852"/>
      <c r="G491" s="851"/>
      <c r="H491" s="787"/>
      <c r="I491" s="829"/>
      <c r="J491" s="852"/>
      <c r="K491" s="851"/>
      <c r="L491" s="787"/>
      <c r="M491" s="829"/>
      <c r="N491" s="852"/>
      <c r="O491" s="851"/>
      <c r="P491" s="787"/>
      <c r="Q491" s="829"/>
      <c r="R491" s="852"/>
      <c r="S491" s="851"/>
      <c r="T491" s="787"/>
      <c r="U491" s="829"/>
      <c r="V491" s="852"/>
      <c r="W491" s="851"/>
      <c r="X491" s="787"/>
      <c r="Y491" s="829"/>
      <c r="Z491" s="852"/>
      <c r="AA491" s="851"/>
      <c r="AB491" s="787"/>
      <c r="AC491" s="829"/>
      <c r="AD491" s="852"/>
      <c r="AE491" s="851"/>
      <c r="AF491" s="787"/>
      <c r="AG491" s="355">
        <v>2060</v>
      </c>
      <c r="AL491" s="123"/>
    </row>
    <row r="492" spans="1:38" x14ac:dyDescent="0.4">
      <c r="A492" s="65"/>
      <c r="B492" s="356">
        <v>2065</v>
      </c>
      <c r="C492" s="851"/>
      <c r="D492" s="787"/>
      <c r="E492" s="829"/>
      <c r="F492" s="852"/>
      <c r="G492" s="851"/>
      <c r="H492" s="787"/>
      <c r="I492" s="829"/>
      <c r="J492" s="852"/>
      <c r="K492" s="851"/>
      <c r="L492" s="787"/>
      <c r="M492" s="829"/>
      <c r="N492" s="852"/>
      <c r="O492" s="851"/>
      <c r="P492" s="787"/>
      <c r="Q492" s="829"/>
      <c r="R492" s="852"/>
      <c r="S492" s="851"/>
      <c r="T492" s="787"/>
      <c r="U492" s="829"/>
      <c r="V492" s="852"/>
      <c r="W492" s="851"/>
      <c r="X492" s="787"/>
      <c r="Y492" s="829"/>
      <c r="Z492" s="852"/>
      <c r="AA492" s="851"/>
      <c r="AB492" s="787"/>
      <c r="AC492" s="829"/>
      <c r="AD492" s="852"/>
      <c r="AE492" s="851"/>
      <c r="AF492" s="787"/>
      <c r="AG492" s="355">
        <v>2065</v>
      </c>
      <c r="AL492" s="123"/>
    </row>
    <row r="493" spans="1:38" x14ac:dyDescent="0.4">
      <c r="A493" s="65"/>
      <c r="B493" s="356">
        <v>2070</v>
      </c>
      <c r="C493" s="851"/>
      <c r="D493" s="787"/>
      <c r="E493" s="829"/>
      <c r="F493" s="852"/>
      <c r="G493" s="851"/>
      <c r="H493" s="787"/>
      <c r="I493" s="829"/>
      <c r="J493" s="852"/>
      <c r="K493" s="851"/>
      <c r="L493" s="787"/>
      <c r="M493" s="829"/>
      <c r="N493" s="852"/>
      <c r="O493" s="851"/>
      <c r="P493" s="787"/>
      <c r="Q493" s="829"/>
      <c r="R493" s="852"/>
      <c r="S493" s="851"/>
      <c r="T493" s="787"/>
      <c r="U493" s="829"/>
      <c r="V493" s="852"/>
      <c r="W493" s="851"/>
      <c r="X493" s="787"/>
      <c r="Y493" s="829"/>
      <c r="Z493" s="852"/>
      <c r="AA493" s="851"/>
      <c r="AB493" s="787"/>
      <c r="AC493" s="829"/>
      <c r="AD493" s="852"/>
      <c r="AE493" s="851"/>
      <c r="AF493" s="787"/>
      <c r="AG493" s="355">
        <v>2070</v>
      </c>
      <c r="AL493" s="123"/>
    </row>
    <row r="494" spans="1:38" x14ac:dyDescent="0.4">
      <c r="A494" s="65"/>
      <c r="B494" s="356">
        <v>2075</v>
      </c>
      <c r="C494" s="851"/>
      <c r="D494" s="787"/>
      <c r="E494" s="829"/>
      <c r="F494" s="852"/>
      <c r="G494" s="851"/>
      <c r="H494" s="787"/>
      <c r="I494" s="829"/>
      <c r="J494" s="852"/>
      <c r="K494" s="851"/>
      <c r="L494" s="787"/>
      <c r="M494" s="829"/>
      <c r="N494" s="852"/>
      <c r="O494" s="851"/>
      <c r="P494" s="787"/>
      <c r="Q494" s="829"/>
      <c r="R494" s="852"/>
      <c r="S494" s="851"/>
      <c r="T494" s="787"/>
      <c r="U494" s="829"/>
      <c r="V494" s="852"/>
      <c r="W494" s="851"/>
      <c r="X494" s="787"/>
      <c r="Y494" s="829"/>
      <c r="Z494" s="852"/>
      <c r="AA494" s="851"/>
      <c r="AB494" s="787"/>
      <c r="AC494" s="829"/>
      <c r="AD494" s="852"/>
      <c r="AE494" s="851"/>
      <c r="AF494" s="787"/>
      <c r="AG494" s="355">
        <v>2075</v>
      </c>
      <c r="AL494" s="123"/>
    </row>
    <row r="495" spans="1:38" x14ac:dyDescent="0.4">
      <c r="A495" s="65"/>
      <c r="B495" s="356">
        <v>2080</v>
      </c>
      <c r="C495" s="851"/>
      <c r="D495" s="787"/>
      <c r="E495" s="829"/>
      <c r="F495" s="852"/>
      <c r="G495" s="851"/>
      <c r="H495" s="787"/>
      <c r="I495" s="829"/>
      <c r="J495" s="852"/>
      <c r="K495" s="851"/>
      <c r="L495" s="787"/>
      <c r="M495" s="829"/>
      <c r="N495" s="852"/>
      <c r="O495" s="851"/>
      <c r="P495" s="787"/>
      <c r="Q495" s="829"/>
      <c r="R495" s="852"/>
      <c r="S495" s="851"/>
      <c r="T495" s="787"/>
      <c r="U495" s="829"/>
      <c r="V495" s="852"/>
      <c r="W495" s="851"/>
      <c r="X495" s="787"/>
      <c r="Y495" s="829"/>
      <c r="Z495" s="852"/>
      <c r="AA495" s="851"/>
      <c r="AB495" s="787"/>
      <c r="AC495" s="829"/>
      <c r="AD495" s="852"/>
      <c r="AE495" s="851"/>
      <c r="AF495" s="787"/>
      <c r="AG495" s="355">
        <v>2080</v>
      </c>
      <c r="AL495" s="123"/>
    </row>
    <row r="496" spans="1:38" x14ac:dyDescent="0.4">
      <c r="A496" s="65"/>
      <c r="B496" s="356">
        <v>2085</v>
      </c>
      <c r="C496" s="851"/>
      <c r="D496" s="787"/>
      <c r="E496" s="829"/>
      <c r="F496" s="852"/>
      <c r="G496" s="851"/>
      <c r="H496" s="787"/>
      <c r="I496" s="829"/>
      <c r="J496" s="852"/>
      <c r="K496" s="851"/>
      <c r="L496" s="787"/>
      <c r="M496" s="829"/>
      <c r="N496" s="852"/>
      <c r="O496" s="851"/>
      <c r="P496" s="787"/>
      <c r="Q496" s="829"/>
      <c r="R496" s="852"/>
      <c r="S496" s="851"/>
      <c r="T496" s="787"/>
      <c r="U496" s="829"/>
      <c r="V496" s="852"/>
      <c r="W496" s="851"/>
      <c r="X496" s="787"/>
      <c r="Y496" s="829"/>
      <c r="Z496" s="852"/>
      <c r="AA496" s="851"/>
      <c r="AB496" s="787"/>
      <c r="AC496" s="829"/>
      <c r="AD496" s="852"/>
      <c r="AE496" s="851"/>
      <c r="AF496" s="787"/>
      <c r="AG496" s="355">
        <v>2085</v>
      </c>
      <c r="AL496" s="123"/>
    </row>
    <row r="497" spans="1:38" x14ac:dyDescent="0.4">
      <c r="A497" s="65"/>
      <c r="B497" s="356">
        <v>2090</v>
      </c>
      <c r="C497" s="851"/>
      <c r="D497" s="787"/>
      <c r="E497" s="829"/>
      <c r="F497" s="852"/>
      <c r="G497" s="851"/>
      <c r="H497" s="787"/>
      <c r="I497" s="829"/>
      <c r="J497" s="852"/>
      <c r="K497" s="851"/>
      <c r="L497" s="787"/>
      <c r="M497" s="829"/>
      <c r="N497" s="852"/>
      <c r="O497" s="851"/>
      <c r="P497" s="787"/>
      <c r="Q497" s="829"/>
      <c r="R497" s="852"/>
      <c r="S497" s="851"/>
      <c r="T497" s="787"/>
      <c r="U497" s="829"/>
      <c r="V497" s="852"/>
      <c r="W497" s="851"/>
      <c r="X497" s="787"/>
      <c r="Y497" s="829"/>
      <c r="Z497" s="852"/>
      <c r="AA497" s="851"/>
      <c r="AB497" s="787"/>
      <c r="AC497" s="829"/>
      <c r="AD497" s="852"/>
      <c r="AE497" s="851"/>
      <c r="AF497" s="787"/>
      <c r="AG497" s="355">
        <v>2090</v>
      </c>
      <c r="AL497" s="123"/>
    </row>
    <row r="498" spans="1:38" x14ac:dyDescent="0.4">
      <c r="A498" s="65"/>
      <c r="B498" s="356">
        <v>2095</v>
      </c>
      <c r="C498" s="851"/>
      <c r="D498" s="787"/>
      <c r="E498" s="829"/>
      <c r="F498" s="852"/>
      <c r="G498" s="851"/>
      <c r="H498" s="787"/>
      <c r="I498" s="829"/>
      <c r="J498" s="852"/>
      <c r="K498" s="851"/>
      <c r="L498" s="787"/>
      <c r="M498" s="829"/>
      <c r="N498" s="852"/>
      <c r="O498" s="851"/>
      <c r="P498" s="787"/>
      <c r="Q498" s="829"/>
      <c r="R498" s="852"/>
      <c r="S498" s="851"/>
      <c r="T498" s="787"/>
      <c r="U498" s="829"/>
      <c r="V498" s="852"/>
      <c r="W498" s="851"/>
      <c r="X498" s="787"/>
      <c r="Y498" s="829"/>
      <c r="Z498" s="852"/>
      <c r="AA498" s="851"/>
      <c r="AB498" s="787"/>
      <c r="AC498" s="829"/>
      <c r="AD498" s="852"/>
      <c r="AE498" s="851"/>
      <c r="AF498" s="787"/>
      <c r="AG498" s="355">
        <v>2095</v>
      </c>
      <c r="AL498" s="123"/>
    </row>
    <row r="499" spans="1:38" x14ac:dyDescent="0.4">
      <c r="A499" s="65"/>
      <c r="B499" s="356">
        <v>2100</v>
      </c>
      <c r="C499" s="851"/>
      <c r="D499" s="787"/>
      <c r="E499" s="829"/>
      <c r="F499" s="852"/>
      <c r="G499" s="851"/>
      <c r="H499" s="787"/>
      <c r="I499" s="829"/>
      <c r="J499" s="852"/>
      <c r="K499" s="851"/>
      <c r="L499" s="787"/>
      <c r="M499" s="829"/>
      <c r="N499" s="852"/>
      <c r="O499" s="851"/>
      <c r="P499" s="787"/>
      <c r="Q499" s="829"/>
      <c r="R499" s="852"/>
      <c r="S499" s="851"/>
      <c r="T499" s="787"/>
      <c r="U499" s="829"/>
      <c r="V499" s="852"/>
      <c r="W499" s="851"/>
      <c r="X499" s="787"/>
      <c r="Y499" s="829"/>
      <c r="Z499" s="852"/>
      <c r="AA499" s="851"/>
      <c r="AB499" s="787"/>
      <c r="AC499" s="829"/>
      <c r="AD499" s="852"/>
      <c r="AE499" s="851"/>
      <c r="AF499" s="787"/>
      <c r="AG499" s="355">
        <v>2100</v>
      </c>
      <c r="AL499" s="123"/>
    </row>
    <row r="500" spans="1:38" x14ac:dyDescent="0.4">
      <c r="A500" s="65"/>
      <c r="B500" s="356">
        <v>2105</v>
      </c>
      <c r="C500" s="851"/>
      <c r="D500" s="787"/>
      <c r="E500" s="829"/>
      <c r="F500" s="852"/>
      <c r="G500" s="851"/>
      <c r="H500" s="787"/>
      <c r="I500" s="829"/>
      <c r="J500" s="852"/>
      <c r="K500" s="851"/>
      <c r="L500" s="787"/>
      <c r="M500" s="829"/>
      <c r="N500" s="852"/>
      <c r="O500" s="851"/>
      <c r="P500" s="787"/>
      <c r="Q500" s="829"/>
      <c r="R500" s="852"/>
      <c r="S500" s="851"/>
      <c r="T500" s="787"/>
      <c r="U500" s="829"/>
      <c r="V500" s="852"/>
      <c r="W500" s="851"/>
      <c r="X500" s="787"/>
      <c r="Y500" s="829"/>
      <c r="Z500" s="852"/>
      <c r="AA500" s="851"/>
      <c r="AB500" s="787"/>
      <c r="AC500" s="829"/>
      <c r="AD500" s="852"/>
      <c r="AE500" s="851"/>
      <c r="AF500" s="787"/>
      <c r="AG500" s="355">
        <v>2105</v>
      </c>
      <c r="AL500" s="123"/>
    </row>
    <row r="501" spans="1:38" x14ac:dyDescent="0.4">
      <c r="A501" s="65"/>
      <c r="B501" s="356">
        <v>2110</v>
      </c>
      <c r="C501" s="851"/>
      <c r="D501" s="787"/>
      <c r="E501" s="829"/>
      <c r="F501" s="852"/>
      <c r="G501" s="851"/>
      <c r="H501" s="787"/>
      <c r="I501" s="829"/>
      <c r="J501" s="852"/>
      <c r="K501" s="851"/>
      <c r="L501" s="787"/>
      <c r="M501" s="829"/>
      <c r="N501" s="852"/>
      <c r="O501" s="851"/>
      <c r="P501" s="787"/>
      <c r="Q501" s="829"/>
      <c r="R501" s="852"/>
      <c r="S501" s="851"/>
      <c r="T501" s="787"/>
      <c r="U501" s="829"/>
      <c r="V501" s="852"/>
      <c r="W501" s="851"/>
      <c r="X501" s="787"/>
      <c r="Y501" s="829"/>
      <c r="Z501" s="852"/>
      <c r="AA501" s="851"/>
      <c r="AB501" s="787"/>
      <c r="AC501" s="829"/>
      <c r="AD501" s="852"/>
      <c r="AE501" s="851"/>
      <c r="AF501" s="787"/>
      <c r="AG501" s="355">
        <v>2110</v>
      </c>
      <c r="AL501" s="123"/>
    </row>
    <row r="502" spans="1:38" x14ac:dyDescent="0.4">
      <c r="A502" s="65"/>
      <c r="B502" s="356">
        <v>2115</v>
      </c>
      <c r="C502" s="851"/>
      <c r="D502" s="787"/>
      <c r="E502" s="829"/>
      <c r="F502" s="852"/>
      <c r="G502" s="851"/>
      <c r="H502" s="787"/>
      <c r="I502" s="829"/>
      <c r="J502" s="852"/>
      <c r="K502" s="851"/>
      <c r="L502" s="787"/>
      <c r="M502" s="829"/>
      <c r="N502" s="852"/>
      <c r="O502" s="851"/>
      <c r="P502" s="787"/>
      <c r="Q502" s="829"/>
      <c r="R502" s="852"/>
      <c r="S502" s="851"/>
      <c r="T502" s="787"/>
      <c r="U502" s="829"/>
      <c r="V502" s="852"/>
      <c r="W502" s="851"/>
      <c r="X502" s="787"/>
      <c r="Y502" s="829"/>
      <c r="Z502" s="852"/>
      <c r="AA502" s="851"/>
      <c r="AB502" s="787"/>
      <c r="AC502" s="829"/>
      <c r="AD502" s="852"/>
      <c r="AE502" s="851"/>
      <c r="AF502" s="787"/>
      <c r="AG502" s="355">
        <v>2115</v>
      </c>
      <c r="AL502" s="123"/>
    </row>
    <row r="503" spans="1:38" x14ac:dyDescent="0.4">
      <c r="A503" s="65"/>
      <c r="B503" s="356">
        <v>2120</v>
      </c>
      <c r="C503" s="851"/>
      <c r="D503" s="787"/>
      <c r="E503" s="829"/>
      <c r="F503" s="852"/>
      <c r="G503" s="851"/>
      <c r="H503" s="787"/>
      <c r="I503" s="829"/>
      <c r="J503" s="852"/>
      <c r="K503" s="851"/>
      <c r="L503" s="787"/>
      <c r="M503" s="829"/>
      <c r="N503" s="852"/>
      <c r="O503" s="851"/>
      <c r="P503" s="787"/>
      <c r="Q503" s="829"/>
      <c r="R503" s="852"/>
      <c r="S503" s="851"/>
      <c r="T503" s="787"/>
      <c r="U503" s="829"/>
      <c r="V503" s="852"/>
      <c r="W503" s="851"/>
      <c r="X503" s="787"/>
      <c r="Y503" s="829"/>
      <c r="Z503" s="852"/>
      <c r="AA503" s="851"/>
      <c r="AB503" s="787"/>
      <c r="AC503" s="829"/>
      <c r="AD503" s="852"/>
      <c r="AE503" s="851"/>
      <c r="AF503" s="787"/>
      <c r="AG503" s="355">
        <v>2120</v>
      </c>
      <c r="AL503" s="123"/>
    </row>
    <row r="504" spans="1:38" x14ac:dyDescent="0.4">
      <c r="A504" s="65"/>
      <c r="B504" s="356">
        <v>2125</v>
      </c>
      <c r="C504" s="851"/>
      <c r="D504" s="787"/>
      <c r="E504" s="829"/>
      <c r="F504" s="852"/>
      <c r="G504" s="851"/>
      <c r="H504" s="787"/>
      <c r="I504" s="829"/>
      <c r="J504" s="852"/>
      <c r="K504" s="851"/>
      <c r="L504" s="787"/>
      <c r="M504" s="829"/>
      <c r="N504" s="852"/>
      <c r="O504" s="851"/>
      <c r="P504" s="787"/>
      <c r="Q504" s="829"/>
      <c r="R504" s="852"/>
      <c r="S504" s="851"/>
      <c r="T504" s="787"/>
      <c r="U504" s="829"/>
      <c r="V504" s="852"/>
      <c r="W504" s="851"/>
      <c r="X504" s="787"/>
      <c r="Y504" s="829"/>
      <c r="Z504" s="852"/>
      <c r="AA504" s="851"/>
      <c r="AB504" s="787"/>
      <c r="AC504" s="829"/>
      <c r="AD504" s="852"/>
      <c r="AE504" s="851"/>
      <c r="AF504" s="787"/>
      <c r="AG504" s="355">
        <v>2125</v>
      </c>
      <c r="AL504" s="123"/>
    </row>
    <row r="505" spans="1:38" x14ac:dyDescent="0.4">
      <c r="A505" s="65"/>
      <c r="B505" s="356">
        <v>2130</v>
      </c>
      <c r="C505" s="851"/>
      <c r="D505" s="787"/>
      <c r="E505" s="829"/>
      <c r="F505" s="852"/>
      <c r="G505" s="851"/>
      <c r="H505" s="787"/>
      <c r="I505" s="829"/>
      <c r="J505" s="852"/>
      <c r="K505" s="851"/>
      <c r="L505" s="787"/>
      <c r="M505" s="829"/>
      <c r="N505" s="852"/>
      <c r="O505" s="851"/>
      <c r="P505" s="787"/>
      <c r="Q505" s="829"/>
      <c r="R505" s="852"/>
      <c r="S505" s="851"/>
      <c r="T505" s="787"/>
      <c r="U505" s="829"/>
      <c r="V505" s="852"/>
      <c r="W505" s="851"/>
      <c r="X505" s="787"/>
      <c r="Y505" s="829"/>
      <c r="Z505" s="852"/>
      <c r="AA505" s="851"/>
      <c r="AB505" s="787"/>
      <c r="AC505" s="829"/>
      <c r="AD505" s="852"/>
      <c r="AE505" s="851"/>
      <c r="AF505" s="787"/>
      <c r="AG505" s="355">
        <v>2130</v>
      </c>
      <c r="AL505" s="123"/>
    </row>
    <row r="506" spans="1:38" x14ac:dyDescent="0.4">
      <c r="A506" s="65"/>
      <c r="B506" s="356">
        <v>2135</v>
      </c>
      <c r="C506" s="851"/>
      <c r="D506" s="787"/>
      <c r="E506" s="829"/>
      <c r="F506" s="852"/>
      <c r="G506" s="851"/>
      <c r="H506" s="787"/>
      <c r="I506" s="829"/>
      <c r="J506" s="852"/>
      <c r="K506" s="851"/>
      <c r="L506" s="787"/>
      <c r="M506" s="829"/>
      <c r="N506" s="852"/>
      <c r="O506" s="851"/>
      <c r="P506" s="787"/>
      <c r="Q506" s="829"/>
      <c r="R506" s="852"/>
      <c r="S506" s="851"/>
      <c r="T506" s="787"/>
      <c r="U506" s="829"/>
      <c r="V506" s="852"/>
      <c r="W506" s="851"/>
      <c r="X506" s="787"/>
      <c r="Y506" s="829"/>
      <c r="Z506" s="852"/>
      <c r="AA506" s="851"/>
      <c r="AB506" s="787"/>
      <c r="AC506" s="829"/>
      <c r="AD506" s="852"/>
      <c r="AE506" s="851"/>
      <c r="AF506" s="787"/>
      <c r="AG506" s="355">
        <v>2135</v>
      </c>
      <c r="AL506" s="123"/>
    </row>
    <row r="507" spans="1:38" x14ac:dyDescent="0.4">
      <c r="A507" s="65"/>
      <c r="B507" s="356">
        <v>2140</v>
      </c>
      <c r="C507" s="851"/>
      <c r="D507" s="787"/>
      <c r="E507" s="829"/>
      <c r="F507" s="852"/>
      <c r="G507" s="851"/>
      <c r="H507" s="787"/>
      <c r="I507" s="829"/>
      <c r="J507" s="852"/>
      <c r="K507" s="851"/>
      <c r="L507" s="787"/>
      <c r="M507" s="829"/>
      <c r="N507" s="852"/>
      <c r="O507" s="851"/>
      <c r="P507" s="787"/>
      <c r="Q507" s="829"/>
      <c r="R507" s="852"/>
      <c r="S507" s="851"/>
      <c r="T507" s="787"/>
      <c r="U507" s="829"/>
      <c r="V507" s="852"/>
      <c r="W507" s="851"/>
      <c r="X507" s="787"/>
      <c r="Y507" s="829"/>
      <c r="Z507" s="852"/>
      <c r="AA507" s="851"/>
      <c r="AB507" s="787"/>
      <c r="AC507" s="829"/>
      <c r="AD507" s="852"/>
      <c r="AE507" s="851"/>
      <c r="AF507" s="787"/>
      <c r="AG507" s="355">
        <v>2140</v>
      </c>
      <c r="AL507" s="123"/>
    </row>
    <row r="508" spans="1:38" x14ac:dyDescent="0.4">
      <c r="A508" s="65"/>
      <c r="B508" s="356">
        <v>2145</v>
      </c>
      <c r="C508" s="851"/>
      <c r="D508" s="787"/>
      <c r="E508" s="829"/>
      <c r="F508" s="852"/>
      <c r="G508" s="851"/>
      <c r="H508" s="787"/>
      <c r="I508" s="829"/>
      <c r="J508" s="852"/>
      <c r="K508" s="851"/>
      <c r="L508" s="787"/>
      <c r="M508" s="829"/>
      <c r="N508" s="852"/>
      <c r="O508" s="851"/>
      <c r="P508" s="787"/>
      <c r="Q508" s="829"/>
      <c r="R508" s="852"/>
      <c r="S508" s="851"/>
      <c r="T508" s="787"/>
      <c r="U508" s="829"/>
      <c r="V508" s="852"/>
      <c r="W508" s="851"/>
      <c r="X508" s="787"/>
      <c r="Y508" s="829"/>
      <c r="Z508" s="852"/>
      <c r="AA508" s="851"/>
      <c r="AB508" s="787"/>
      <c r="AC508" s="829"/>
      <c r="AD508" s="852"/>
      <c r="AE508" s="851"/>
      <c r="AF508" s="787"/>
      <c r="AG508" s="355">
        <v>2145</v>
      </c>
      <c r="AL508" s="123"/>
    </row>
    <row r="509" spans="1:38" x14ac:dyDescent="0.4">
      <c r="A509" s="65"/>
      <c r="B509" s="356">
        <v>2150</v>
      </c>
      <c r="C509" s="851"/>
      <c r="D509" s="787"/>
      <c r="E509" s="829"/>
      <c r="F509" s="852"/>
      <c r="G509" s="851"/>
      <c r="H509" s="787"/>
      <c r="I509" s="829"/>
      <c r="J509" s="852"/>
      <c r="K509" s="851"/>
      <c r="L509" s="787"/>
      <c r="M509" s="829"/>
      <c r="N509" s="852"/>
      <c r="O509" s="851"/>
      <c r="P509" s="787"/>
      <c r="Q509" s="829"/>
      <c r="R509" s="852"/>
      <c r="S509" s="851"/>
      <c r="T509" s="787"/>
      <c r="U509" s="829"/>
      <c r="V509" s="852"/>
      <c r="W509" s="851"/>
      <c r="X509" s="787"/>
      <c r="Y509" s="829"/>
      <c r="Z509" s="852"/>
      <c r="AA509" s="851"/>
      <c r="AB509" s="787"/>
      <c r="AC509" s="829"/>
      <c r="AD509" s="852"/>
      <c r="AE509" s="851"/>
      <c r="AF509" s="787"/>
      <c r="AG509" s="355">
        <v>2150</v>
      </c>
      <c r="AL509" s="123"/>
    </row>
    <row r="510" spans="1:38" x14ac:dyDescent="0.4">
      <c r="A510" s="65"/>
      <c r="B510" s="356">
        <v>2155</v>
      </c>
      <c r="C510" s="851"/>
      <c r="D510" s="787"/>
      <c r="E510" s="829"/>
      <c r="F510" s="852"/>
      <c r="G510" s="851"/>
      <c r="H510" s="787"/>
      <c r="I510" s="829"/>
      <c r="J510" s="852"/>
      <c r="K510" s="851"/>
      <c r="L510" s="787"/>
      <c r="M510" s="829"/>
      <c r="N510" s="852"/>
      <c r="O510" s="851"/>
      <c r="P510" s="787"/>
      <c r="Q510" s="829"/>
      <c r="R510" s="852"/>
      <c r="S510" s="851"/>
      <c r="T510" s="787"/>
      <c r="U510" s="829"/>
      <c r="V510" s="852"/>
      <c r="W510" s="851"/>
      <c r="X510" s="787"/>
      <c r="Y510" s="829"/>
      <c r="Z510" s="852"/>
      <c r="AA510" s="851"/>
      <c r="AB510" s="787"/>
      <c r="AC510" s="829"/>
      <c r="AD510" s="852"/>
      <c r="AE510" s="851"/>
      <c r="AF510" s="787"/>
      <c r="AG510" s="355">
        <v>2155</v>
      </c>
      <c r="AL510" s="123"/>
    </row>
    <row r="511" spans="1:38" x14ac:dyDescent="0.4">
      <c r="A511" s="65"/>
      <c r="B511" s="356">
        <v>2160</v>
      </c>
      <c r="C511" s="851"/>
      <c r="D511" s="787"/>
      <c r="E511" s="829"/>
      <c r="F511" s="852"/>
      <c r="G511" s="851"/>
      <c r="H511" s="787"/>
      <c r="I511" s="829"/>
      <c r="J511" s="852"/>
      <c r="K511" s="851"/>
      <c r="L511" s="787"/>
      <c r="M511" s="829"/>
      <c r="N511" s="852"/>
      <c r="O511" s="851"/>
      <c r="P511" s="787"/>
      <c r="Q511" s="829"/>
      <c r="R511" s="852"/>
      <c r="S511" s="851"/>
      <c r="T511" s="787"/>
      <c r="U511" s="829"/>
      <c r="V511" s="852"/>
      <c r="W511" s="851"/>
      <c r="X511" s="787"/>
      <c r="Y511" s="829"/>
      <c r="Z511" s="852"/>
      <c r="AA511" s="851"/>
      <c r="AB511" s="787"/>
      <c r="AC511" s="829"/>
      <c r="AD511" s="852"/>
      <c r="AE511" s="851"/>
      <c r="AF511" s="787"/>
      <c r="AG511" s="355">
        <v>2160</v>
      </c>
      <c r="AL511" s="123"/>
    </row>
    <row r="512" spans="1:38" x14ac:dyDescent="0.4">
      <c r="A512" s="65"/>
      <c r="B512" s="356">
        <v>2165</v>
      </c>
      <c r="C512" s="851"/>
      <c r="D512" s="787"/>
      <c r="E512" s="829"/>
      <c r="F512" s="852"/>
      <c r="G512" s="851"/>
      <c r="H512" s="787"/>
      <c r="I512" s="829"/>
      <c r="J512" s="852"/>
      <c r="K512" s="851"/>
      <c r="L512" s="787"/>
      <c r="M512" s="829"/>
      <c r="N512" s="852"/>
      <c r="O512" s="851"/>
      <c r="P512" s="787"/>
      <c r="Q512" s="829"/>
      <c r="R512" s="852"/>
      <c r="S512" s="851"/>
      <c r="T512" s="787"/>
      <c r="U512" s="829"/>
      <c r="V512" s="852"/>
      <c r="W512" s="851"/>
      <c r="X512" s="787"/>
      <c r="Y512" s="829"/>
      <c r="Z512" s="852"/>
      <c r="AA512" s="851"/>
      <c r="AB512" s="787"/>
      <c r="AC512" s="829"/>
      <c r="AD512" s="852"/>
      <c r="AE512" s="851"/>
      <c r="AF512" s="787"/>
      <c r="AG512" s="355">
        <v>2165</v>
      </c>
      <c r="AL512" s="123"/>
    </row>
    <row r="513" spans="1:38" x14ac:dyDescent="0.4">
      <c r="A513" s="65"/>
      <c r="B513" s="356">
        <v>2170</v>
      </c>
      <c r="C513" s="851"/>
      <c r="D513" s="787"/>
      <c r="E513" s="829"/>
      <c r="F513" s="852"/>
      <c r="G513" s="851"/>
      <c r="H513" s="787"/>
      <c r="I513" s="829"/>
      <c r="J513" s="852"/>
      <c r="K513" s="851"/>
      <c r="L513" s="787"/>
      <c r="M513" s="829"/>
      <c r="N513" s="852"/>
      <c r="O513" s="851"/>
      <c r="P513" s="787"/>
      <c r="Q513" s="829"/>
      <c r="R513" s="852"/>
      <c r="S513" s="851"/>
      <c r="T513" s="787"/>
      <c r="U513" s="829"/>
      <c r="V513" s="852"/>
      <c r="W513" s="851"/>
      <c r="X513" s="787"/>
      <c r="Y513" s="829"/>
      <c r="Z513" s="852"/>
      <c r="AA513" s="851"/>
      <c r="AB513" s="787"/>
      <c r="AC513" s="829"/>
      <c r="AD513" s="852"/>
      <c r="AE513" s="851"/>
      <c r="AF513" s="787"/>
      <c r="AG513" s="355">
        <v>2170</v>
      </c>
      <c r="AL513" s="123"/>
    </row>
    <row r="514" spans="1:38" x14ac:dyDescent="0.4">
      <c r="A514" s="65"/>
      <c r="B514" s="356">
        <v>2175</v>
      </c>
      <c r="C514" s="851"/>
      <c r="D514" s="787"/>
      <c r="E514" s="829"/>
      <c r="F514" s="852"/>
      <c r="G514" s="851"/>
      <c r="H514" s="787"/>
      <c r="I514" s="829"/>
      <c r="J514" s="852"/>
      <c r="K514" s="851"/>
      <c r="L514" s="787"/>
      <c r="M514" s="829"/>
      <c r="N514" s="852"/>
      <c r="O514" s="851"/>
      <c r="P514" s="787"/>
      <c r="Q514" s="829"/>
      <c r="R514" s="852"/>
      <c r="S514" s="851"/>
      <c r="T514" s="787"/>
      <c r="U514" s="829"/>
      <c r="V514" s="852"/>
      <c r="W514" s="851"/>
      <c r="X514" s="787"/>
      <c r="Y514" s="829"/>
      <c r="Z514" s="852"/>
      <c r="AA514" s="851"/>
      <c r="AB514" s="787"/>
      <c r="AC514" s="829"/>
      <c r="AD514" s="852"/>
      <c r="AE514" s="851"/>
      <c r="AF514" s="787"/>
      <c r="AG514" s="355">
        <v>2175</v>
      </c>
      <c r="AL514" s="123"/>
    </row>
    <row r="515" spans="1:38" x14ac:dyDescent="0.4">
      <c r="A515" s="65"/>
      <c r="B515" s="356">
        <v>2180</v>
      </c>
      <c r="C515" s="851"/>
      <c r="D515" s="787"/>
      <c r="E515" s="829"/>
      <c r="F515" s="852"/>
      <c r="G515" s="851"/>
      <c r="H515" s="787"/>
      <c r="I515" s="829"/>
      <c r="J515" s="852"/>
      <c r="K515" s="851"/>
      <c r="L515" s="787"/>
      <c r="M515" s="829"/>
      <c r="N515" s="852"/>
      <c r="O515" s="851"/>
      <c r="P515" s="787"/>
      <c r="Q515" s="829"/>
      <c r="R515" s="852"/>
      <c r="S515" s="851"/>
      <c r="T515" s="787"/>
      <c r="U515" s="829"/>
      <c r="V515" s="852"/>
      <c r="W515" s="851"/>
      <c r="X515" s="787"/>
      <c r="Y515" s="829"/>
      <c r="Z515" s="852"/>
      <c r="AA515" s="851"/>
      <c r="AB515" s="787"/>
      <c r="AC515" s="829"/>
      <c r="AD515" s="852"/>
      <c r="AE515" s="851"/>
      <c r="AF515" s="787"/>
      <c r="AG515" s="355">
        <v>2180</v>
      </c>
      <c r="AL515" s="123"/>
    </row>
    <row r="516" spans="1:38" x14ac:dyDescent="0.4">
      <c r="A516" s="65"/>
      <c r="B516" s="356">
        <v>2185</v>
      </c>
      <c r="C516" s="851"/>
      <c r="D516" s="787"/>
      <c r="E516" s="829"/>
      <c r="F516" s="852"/>
      <c r="G516" s="851"/>
      <c r="H516" s="787"/>
      <c r="I516" s="829"/>
      <c r="J516" s="852"/>
      <c r="K516" s="851"/>
      <c r="L516" s="787"/>
      <c r="M516" s="829"/>
      <c r="N516" s="852"/>
      <c r="O516" s="851"/>
      <c r="P516" s="787"/>
      <c r="Q516" s="829"/>
      <c r="R516" s="852"/>
      <c r="S516" s="851"/>
      <c r="T516" s="787"/>
      <c r="U516" s="829"/>
      <c r="V516" s="852"/>
      <c r="W516" s="851"/>
      <c r="X516" s="787"/>
      <c r="Y516" s="829"/>
      <c r="Z516" s="852"/>
      <c r="AA516" s="851"/>
      <c r="AB516" s="787"/>
      <c r="AC516" s="829"/>
      <c r="AD516" s="852"/>
      <c r="AE516" s="851"/>
      <c r="AF516" s="787"/>
      <c r="AG516" s="355">
        <v>2185</v>
      </c>
      <c r="AL516" s="123"/>
    </row>
    <row r="517" spans="1:38" x14ac:dyDescent="0.4">
      <c r="A517" s="65"/>
      <c r="B517" s="356">
        <v>2190</v>
      </c>
      <c r="C517" s="851"/>
      <c r="D517" s="787"/>
      <c r="E517" s="829"/>
      <c r="F517" s="852"/>
      <c r="G517" s="851"/>
      <c r="H517" s="787"/>
      <c r="I517" s="829"/>
      <c r="J517" s="852"/>
      <c r="K517" s="851"/>
      <c r="L517" s="787"/>
      <c r="M517" s="829"/>
      <c r="N517" s="852"/>
      <c r="O517" s="851"/>
      <c r="P517" s="787"/>
      <c r="Q517" s="829"/>
      <c r="R517" s="852"/>
      <c r="S517" s="851"/>
      <c r="T517" s="787"/>
      <c r="U517" s="829"/>
      <c r="V517" s="852"/>
      <c r="W517" s="851"/>
      <c r="X517" s="787"/>
      <c r="Y517" s="829"/>
      <c r="Z517" s="852"/>
      <c r="AA517" s="851"/>
      <c r="AB517" s="787"/>
      <c r="AC517" s="829"/>
      <c r="AD517" s="852"/>
      <c r="AE517" s="851"/>
      <c r="AF517" s="787"/>
      <c r="AG517" s="355">
        <v>2190</v>
      </c>
      <c r="AL517" s="123"/>
    </row>
    <row r="518" spans="1:38" x14ac:dyDescent="0.4">
      <c r="A518" s="65"/>
      <c r="B518" s="356">
        <v>2195</v>
      </c>
      <c r="C518" s="851"/>
      <c r="D518" s="787"/>
      <c r="E518" s="829"/>
      <c r="F518" s="852"/>
      <c r="G518" s="851"/>
      <c r="H518" s="787"/>
      <c r="I518" s="829"/>
      <c r="J518" s="852"/>
      <c r="K518" s="851"/>
      <c r="L518" s="787"/>
      <c r="M518" s="829"/>
      <c r="N518" s="852"/>
      <c r="O518" s="851"/>
      <c r="P518" s="787"/>
      <c r="Q518" s="829"/>
      <c r="R518" s="852"/>
      <c r="S518" s="851"/>
      <c r="T518" s="787"/>
      <c r="U518" s="829"/>
      <c r="V518" s="852"/>
      <c r="W518" s="851"/>
      <c r="X518" s="787"/>
      <c r="Y518" s="829"/>
      <c r="Z518" s="852"/>
      <c r="AA518" s="851"/>
      <c r="AB518" s="787"/>
      <c r="AC518" s="829"/>
      <c r="AD518" s="852"/>
      <c r="AE518" s="851"/>
      <c r="AF518" s="787"/>
      <c r="AG518" s="355">
        <v>2195</v>
      </c>
      <c r="AL518" s="123"/>
    </row>
    <row r="519" spans="1:38" x14ac:dyDescent="0.4">
      <c r="A519" s="65"/>
      <c r="B519" s="356">
        <v>2200</v>
      </c>
      <c r="C519" s="851"/>
      <c r="D519" s="787"/>
      <c r="E519" s="829"/>
      <c r="F519" s="852"/>
      <c r="G519" s="851"/>
      <c r="H519" s="787"/>
      <c r="I519" s="829"/>
      <c r="J519" s="852"/>
      <c r="K519" s="851"/>
      <c r="L519" s="787"/>
      <c r="M519" s="829"/>
      <c r="N519" s="852"/>
      <c r="O519" s="851"/>
      <c r="P519" s="787"/>
      <c r="Q519" s="829"/>
      <c r="R519" s="852"/>
      <c r="S519" s="851"/>
      <c r="T519" s="787"/>
      <c r="U519" s="829"/>
      <c r="V519" s="852"/>
      <c r="W519" s="851"/>
      <c r="X519" s="787"/>
      <c r="Y519" s="829"/>
      <c r="Z519" s="852"/>
      <c r="AA519" s="851"/>
      <c r="AB519" s="787"/>
      <c r="AC519" s="829"/>
      <c r="AD519" s="852"/>
      <c r="AE519" s="851"/>
      <c r="AF519" s="787"/>
      <c r="AG519" s="355">
        <v>2200</v>
      </c>
      <c r="AL519" s="123"/>
    </row>
    <row r="520" spans="1:38" x14ac:dyDescent="0.4">
      <c r="A520" s="65"/>
      <c r="B520" s="356">
        <v>2205</v>
      </c>
      <c r="C520" s="851"/>
      <c r="D520" s="787"/>
      <c r="E520" s="829"/>
      <c r="F520" s="852"/>
      <c r="G520" s="851"/>
      <c r="H520" s="787"/>
      <c r="I520" s="829"/>
      <c r="J520" s="852"/>
      <c r="K520" s="851"/>
      <c r="L520" s="787"/>
      <c r="M520" s="829"/>
      <c r="N520" s="852"/>
      <c r="O520" s="851"/>
      <c r="P520" s="787"/>
      <c r="Q520" s="829"/>
      <c r="R520" s="852"/>
      <c r="S520" s="851"/>
      <c r="T520" s="787"/>
      <c r="U520" s="829"/>
      <c r="V520" s="852"/>
      <c r="W520" s="851"/>
      <c r="X520" s="787"/>
      <c r="Y520" s="829"/>
      <c r="Z520" s="852"/>
      <c r="AA520" s="851"/>
      <c r="AB520" s="787"/>
      <c r="AC520" s="829"/>
      <c r="AD520" s="852"/>
      <c r="AE520" s="851"/>
      <c r="AF520" s="787"/>
      <c r="AG520" s="355">
        <v>2205</v>
      </c>
      <c r="AL520" s="123"/>
    </row>
    <row r="521" spans="1:38" x14ac:dyDescent="0.4">
      <c r="A521" s="65"/>
      <c r="B521" s="356">
        <v>2210</v>
      </c>
      <c r="C521" s="851"/>
      <c r="D521" s="787"/>
      <c r="E521" s="829"/>
      <c r="F521" s="852"/>
      <c r="G521" s="851"/>
      <c r="H521" s="787"/>
      <c r="I521" s="829"/>
      <c r="J521" s="852"/>
      <c r="K521" s="851"/>
      <c r="L521" s="787"/>
      <c r="M521" s="829"/>
      <c r="N521" s="852"/>
      <c r="O521" s="851"/>
      <c r="P521" s="787"/>
      <c r="Q521" s="829"/>
      <c r="R521" s="852"/>
      <c r="S521" s="851"/>
      <c r="T521" s="787"/>
      <c r="U521" s="829"/>
      <c r="V521" s="852"/>
      <c r="W521" s="851"/>
      <c r="X521" s="787"/>
      <c r="Y521" s="829"/>
      <c r="Z521" s="852"/>
      <c r="AA521" s="851"/>
      <c r="AB521" s="787"/>
      <c r="AC521" s="829"/>
      <c r="AD521" s="852"/>
      <c r="AE521" s="851"/>
      <c r="AF521" s="787"/>
      <c r="AG521" s="355">
        <v>2210</v>
      </c>
      <c r="AL521" s="123"/>
    </row>
    <row r="522" spans="1:38" x14ac:dyDescent="0.4">
      <c r="A522" s="65"/>
      <c r="B522" s="356">
        <v>2215</v>
      </c>
      <c r="C522" s="851"/>
      <c r="D522" s="787"/>
      <c r="E522" s="829"/>
      <c r="F522" s="852"/>
      <c r="G522" s="851"/>
      <c r="H522" s="787"/>
      <c r="I522" s="829"/>
      <c r="J522" s="852"/>
      <c r="K522" s="851"/>
      <c r="L522" s="787"/>
      <c r="M522" s="829"/>
      <c r="N522" s="852"/>
      <c r="O522" s="851"/>
      <c r="P522" s="787"/>
      <c r="Q522" s="829"/>
      <c r="R522" s="852"/>
      <c r="S522" s="851"/>
      <c r="T522" s="787"/>
      <c r="U522" s="829"/>
      <c r="V522" s="852"/>
      <c r="W522" s="851"/>
      <c r="X522" s="787"/>
      <c r="Y522" s="829"/>
      <c r="Z522" s="852"/>
      <c r="AA522" s="851"/>
      <c r="AB522" s="787"/>
      <c r="AC522" s="829"/>
      <c r="AD522" s="852"/>
      <c r="AE522" s="851"/>
      <c r="AF522" s="787"/>
      <c r="AG522" s="355">
        <v>2215</v>
      </c>
      <c r="AL522" s="123"/>
    </row>
    <row r="523" spans="1:38" x14ac:dyDescent="0.4">
      <c r="A523" s="65"/>
      <c r="B523" s="356">
        <v>2220</v>
      </c>
      <c r="C523" s="851"/>
      <c r="D523" s="787"/>
      <c r="E523" s="829"/>
      <c r="F523" s="852"/>
      <c r="G523" s="851"/>
      <c r="H523" s="787"/>
      <c r="I523" s="829"/>
      <c r="J523" s="852"/>
      <c r="K523" s="851"/>
      <c r="L523" s="787"/>
      <c r="M523" s="829"/>
      <c r="N523" s="852"/>
      <c r="O523" s="851"/>
      <c r="P523" s="787"/>
      <c r="Q523" s="829"/>
      <c r="R523" s="852"/>
      <c r="S523" s="851"/>
      <c r="T523" s="787"/>
      <c r="U523" s="829"/>
      <c r="V523" s="852"/>
      <c r="W523" s="851"/>
      <c r="X523" s="787"/>
      <c r="Y523" s="829"/>
      <c r="Z523" s="852"/>
      <c r="AA523" s="851"/>
      <c r="AB523" s="787"/>
      <c r="AC523" s="829"/>
      <c r="AD523" s="852"/>
      <c r="AE523" s="851"/>
      <c r="AF523" s="787"/>
      <c r="AG523" s="355">
        <v>2220</v>
      </c>
      <c r="AL523" s="123"/>
    </row>
    <row r="524" spans="1:38" x14ac:dyDescent="0.4">
      <c r="A524" s="65"/>
      <c r="B524" s="356">
        <v>2225</v>
      </c>
      <c r="C524" s="851"/>
      <c r="D524" s="787"/>
      <c r="E524" s="829"/>
      <c r="F524" s="852"/>
      <c r="G524" s="851"/>
      <c r="H524" s="787"/>
      <c r="I524" s="829"/>
      <c r="J524" s="852"/>
      <c r="K524" s="851"/>
      <c r="L524" s="787"/>
      <c r="M524" s="829"/>
      <c r="N524" s="852"/>
      <c r="O524" s="851"/>
      <c r="P524" s="787"/>
      <c r="Q524" s="829"/>
      <c r="R524" s="852"/>
      <c r="S524" s="851"/>
      <c r="T524" s="787"/>
      <c r="U524" s="829"/>
      <c r="V524" s="852"/>
      <c r="W524" s="851"/>
      <c r="X524" s="787"/>
      <c r="Y524" s="829"/>
      <c r="Z524" s="852"/>
      <c r="AA524" s="851"/>
      <c r="AB524" s="787"/>
      <c r="AC524" s="829"/>
      <c r="AD524" s="852"/>
      <c r="AE524" s="851"/>
      <c r="AF524" s="787"/>
      <c r="AG524" s="355">
        <v>2225</v>
      </c>
      <c r="AL524" s="123"/>
    </row>
    <row r="525" spans="1:38" x14ac:dyDescent="0.4">
      <c r="A525" s="65"/>
      <c r="B525" s="356">
        <v>2230</v>
      </c>
      <c r="C525" s="851"/>
      <c r="D525" s="787"/>
      <c r="E525" s="829"/>
      <c r="F525" s="852"/>
      <c r="G525" s="851"/>
      <c r="H525" s="787"/>
      <c r="I525" s="829"/>
      <c r="J525" s="852"/>
      <c r="K525" s="851"/>
      <c r="L525" s="787"/>
      <c r="M525" s="829"/>
      <c r="N525" s="852"/>
      <c r="O525" s="851"/>
      <c r="P525" s="787"/>
      <c r="Q525" s="829"/>
      <c r="R525" s="852"/>
      <c r="S525" s="851"/>
      <c r="T525" s="787"/>
      <c r="U525" s="829"/>
      <c r="V525" s="852"/>
      <c r="W525" s="851"/>
      <c r="X525" s="787"/>
      <c r="Y525" s="829"/>
      <c r="Z525" s="852"/>
      <c r="AA525" s="851"/>
      <c r="AB525" s="787"/>
      <c r="AC525" s="829"/>
      <c r="AD525" s="852"/>
      <c r="AE525" s="851"/>
      <c r="AF525" s="787"/>
      <c r="AG525" s="355">
        <v>2230</v>
      </c>
      <c r="AL525" s="123"/>
    </row>
    <row r="526" spans="1:38" x14ac:dyDescent="0.4">
      <c r="A526" s="65"/>
      <c r="B526" s="356">
        <v>2235</v>
      </c>
      <c r="C526" s="851"/>
      <c r="D526" s="787"/>
      <c r="E526" s="829"/>
      <c r="F526" s="852"/>
      <c r="G526" s="851"/>
      <c r="H526" s="787"/>
      <c r="I526" s="829"/>
      <c r="J526" s="852"/>
      <c r="K526" s="851"/>
      <c r="L526" s="787"/>
      <c r="M526" s="829"/>
      <c r="N526" s="852"/>
      <c r="O526" s="851"/>
      <c r="P526" s="787"/>
      <c r="Q526" s="829"/>
      <c r="R526" s="852"/>
      <c r="S526" s="851"/>
      <c r="T526" s="787"/>
      <c r="U526" s="829"/>
      <c r="V526" s="852"/>
      <c r="W526" s="851"/>
      <c r="X526" s="787"/>
      <c r="Y526" s="829"/>
      <c r="Z526" s="852"/>
      <c r="AA526" s="851"/>
      <c r="AB526" s="787"/>
      <c r="AC526" s="829"/>
      <c r="AD526" s="852"/>
      <c r="AE526" s="851"/>
      <c r="AF526" s="787"/>
      <c r="AG526" s="355">
        <v>2235</v>
      </c>
      <c r="AL526" s="123"/>
    </row>
    <row r="527" spans="1:38" x14ac:dyDescent="0.4">
      <c r="A527" s="65"/>
      <c r="B527" s="356">
        <v>2240</v>
      </c>
      <c r="C527" s="851"/>
      <c r="D527" s="787"/>
      <c r="E527" s="829"/>
      <c r="F527" s="852"/>
      <c r="G527" s="851"/>
      <c r="H527" s="787"/>
      <c r="I527" s="829"/>
      <c r="J527" s="852"/>
      <c r="K527" s="851"/>
      <c r="L527" s="787"/>
      <c r="M527" s="829"/>
      <c r="N527" s="852"/>
      <c r="O527" s="851"/>
      <c r="P527" s="787"/>
      <c r="Q527" s="829"/>
      <c r="R527" s="852"/>
      <c r="S527" s="851"/>
      <c r="T527" s="787"/>
      <c r="U527" s="829"/>
      <c r="V527" s="852"/>
      <c r="W527" s="851"/>
      <c r="X527" s="787"/>
      <c r="Y527" s="829"/>
      <c r="Z527" s="852"/>
      <c r="AA527" s="851"/>
      <c r="AB527" s="787"/>
      <c r="AC527" s="829"/>
      <c r="AD527" s="852"/>
      <c r="AE527" s="851"/>
      <c r="AF527" s="787"/>
      <c r="AG527" s="355">
        <v>2240</v>
      </c>
      <c r="AL527" s="123"/>
    </row>
    <row r="528" spans="1:38" x14ac:dyDescent="0.4">
      <c r="A528" s="65"/>
      <c r="B528" s="356">
        <v>2245</v>
      </c>
      <c r="C528" s="851"/>
      <c r="D528" s="787"/>
      <c r="E528" s="829"/>
      <c r="F528" s="852"/>
      <c r="G528" s="851"/>
      <c r="H528" s="787"/>
      <c r="I528" s="829"/>
      <c r="J528" s="852"/>
      <c r="K528" s="851"/>
      <c r="L528" s="787"/>
      <c r="M528" s="829"/>
      <c r="N528" s="852"/>
      <c r="O528" s="851"/>
      <c r="P528" s="787"/>
      <c r="Q528" s="829"/>
      <c r="R528" s="852"/>
      <c r="S528" s="851"/>
      <c r="T528" s="787"/>
      <c r="U528" s="829"/>
      <c r="V528" s="852"/>
      <c r="W528" s="851"/>
      <c r="X528" s="787"/>
      <c r="Y528" s="829"/>
      <c r="Z528" s="852"/>
      <c r="AA528" s="851"/>
      <c r="AB528" s="787"/>
      <c r="AC528" s="829"/>
      <c r="AD528" s="852"/>
      <c r="AE528" s="851"/>
      <c r="AF528" s="787"/>
      <c r="AG528" s="355">
        <v>2245</v>
      </c>
      <c r="AL528" s="123"/>
    </row>
    <row r="529" spans="1:38" x14ac:dyDescent="0.4">
      <c r="A529" s="65"/>
      <c r="B529" s="356">
        <v>2250</v>
      </c>
      <c r="C529" s="851"/>
      <c r="D529" s="787"/>
      <c r="E529" s="829"/>
      <c r="F529" s="852"/>
      <c r="G529" s="851"/>
      <c r="H529" s="787"/>
      <c r="I529" s="829"/>
      <c r="J529" s="852"/>
      <c r="K529" s="851"/>
      <c r="L529" s="787"/>
      <c r="M529" s="829"/>
      <c r="N529" s="852"/>
      <c r="O529" s="851"/>
      <c r="P529" s="787"/>
      <c r="Q529" s="829"/>
      <c r="R529" s="852"/>
      <c r="S529" s="851"/>
      <c r="T529" s="787"/>
      <c r="U529" s="829"/>
      <c r="V529" s="852"/>
      <c r="W529" s="851"/>
      <c r="X529" s="787"/>
      <c r="Y529" s="829"/>
      <c r="Z529" s="852"/>
      <c r="AA529" s="851"/>
      <c r="AB529" s="787"/>
      <c r="AC529" s="829"/>
      <c r="AD529" s="852"/>
      <c r="AE529" s="851"/>
      <c r="AF529" s="787"/>
      <c r="AG529" s="355">
        <v>2250</v>
      </c>
      <c r="AL529" s="123"/>
    </row>
    <row r="530" spans="1:38" x14ac:dyDescent="0.4">
      <c r="A530" s="65"/>
      <c r="B530" s="356">
        <v>2255</v>
      </c>
      <c r="C530" s="851"/>
      <c r="D530" s="787"/>
      <c r="E530" s="829"/>
      <c r="F530" s="852"/>
      <c r="G530" s="851"/>
      <c r="H530" s="787"/>
      <c r="I530" s="829"/>
      <c r="J530" s="852"/>
      <c r="K530" s="851"/>
      <c r="L530" s="787"/>
      <c r="M530" s="829"/>
      <c r="N530" s="852"/>
      <c r="O530" s="851"/>
      <c r="P530" s="787"/>
      <c r="Q530" s="829"/>
      <c r="R530" s="852"/>
      <c r="S530" s="851"/>
      <c r="T530" s="787"/>
      <c r="U530" s="829"/>
      <c r="V530" s="852"/>
      <c r="W530" s="851"/>
      <c r="X530" s="787"/>
      <c r="Y530" s="829"/>
      <c r="Z530" s="852"/>
      <c r="AA530" s="851"/>
      <c r="AB530" s="787"/>
      <c r="AC530" s="829"/>
      <c r="AD530" s="852"/>
      <c r="AE530" s="851"/>
      <c r="AF530" s="787"/>
      <c r="AG530" s="355">
        <v>2255</v>
      </c>
      <c r="AL530" s="123"/>
    </row>
    <row r="531" spans="1:38" x14ac:dyDescent="0.4">
      <c r="A531" s="65"/>
      <c r="B531" s="356">
        <v>2260</v>
      </c>
      <c r="C531" s="851"/>
      <c r="D531" s="787"/>
      <c r="E531" s="829"/>
      <c r="F531" s="852"/>
      <c r="G531" s="851"/>
      <c r="H531" s="787"/>
      <c r="I531" s="829"/>
      <c r="J531" s="852"/>
      <c r="K531" s="851"/>
      <c r="L531" s="787"/>
      <c r="M531" s="829"/>
      <c r="N531" s="852"/>
      <c r="O531" s="851"/>
      <c r="P531" s="787"/>
      <c r="Q531" s="829"/>
      <c r="R531" s="852"/>
      <c r="S531" s="851"/>
      <c r="T531" s="787"/>
      <c r="U531" s="829"/>
      <c r="V531" s="852"/>
      <c r="W531" s="851"/>
      <c r="X531" s="787"/>
      <c r="Y531" s="829"/>
      <c r="Z531" s="852"/>
      <c r="AA531" s="851"/>
      <c r="AB531" s="787"/>
      <c r="AC531" s="829"/>
      <c r="AD531" s="852"/>
      <c r="AE531" s="851"/>
      <c r="AF531" s="787"/>
      <c r="AG531" s="355">
        <v>2260</v>
      </c>
      <c r="AL531" s="123"/>
    </row>
    <row r="532" spans="1:38" x14ac:dyDescent="0.4">
      <c r="A532" s="65"/>
      <c r="B532" s="356">
        <v>2265</v>
      </c>
      <c r="C532" s="851"/>
      <c r="D532" s="787"/>
      <c r="E532" s="829"/>
      <c r="F532" s="852"/>
      <c r="G532" s="851"/>
      <c r="H532" s="787"/>
      <c r="I532" s="829"/>
      <c r="J532" s="852"/>
      <c r="K532" s="851"/>
      <c r="L532" s="787"/>
      <c r="M532" s="829"/>
      <c r="N532" s="852"/>
      <c r="O532" s="851"/>
      <c r="P532" s="787"/>
      <c r="Q532" s="829"/>
      <c r="R532" s="852"/>
      <c r="S532" s="851"/>
      <c r="T532" s="787"/>
      <c r="U532" s="829"/>
      <c r="V532" s="852"/>
      <c r="W532" s="851"/>
      <c r="X532" s="787"/>
      <c r="Y532" s="829"/>
      <c r="Z532" s="852"/>
      <c r="AA532" s="851"/>
      <c r="AB532" s="787"/>
      <c r="AC532" s="829"/>
      <c r="AD532" s="852"/>
      <c r="AE532" s="851"/>
      <c r="AF532" s="787"/>
      <c r="AG532" s="355">
        <v>2265</v>
      </c>
      <c r="AL532" s="123"/>
    </row>
    <row r="533" spans="1:38" x14ac:dyDescent="0.4">
      <c r="A533" s="65"/>
      <c r="B533" s="356">
        <v>2270</v>
      </c>
      <c r="C533" s="851"/>
      <c r="D533" s="787"/>
      <c r="E533" s="829"/>
      <c r="F533" s="852"/>
      <c r="G533" s="851"/>
      <c r="H533" s="787"/>
      <c r="I533" s="829"/>
      <c r="J533" s="852"/>
      <c r="K533" s="851"/>
      <c r="L533" s="787"/>
      <c r="M533" s="829"/>
      <c r="N533" s="852"/>
      <c r="O533" s="851"/>
      <c r="P533" s="787"/>
      <c r="Q533" s="829"/>
      <c r="R533" s="852"/>
      <c r="S533" s="851"/>
      <c r="T533" s="787"/>
      <c r="U533" s="829"/>
      <c r="V533" s="852"/>
      <c r="W533" s="851"/>
      <c r="X533" s="787"/>
      <c r="Y533" s="829"/>
      <c r="Z533" s="852"/>
      <c r="AA533" s="851"/>
      <c r="AB533" s="787"/>
      <c r="AC533" s="829"/>
      <c r="AD533" s="852"/>
      <c r="AE533" s="851"/>
      <c r="AF533" s="787"/>
      <c r="AG533" s="355">
        <v>2270</v>
      </c>
      <c r="AL533" s="123"/>
    </row>
    <row r="534" spans="1:38" x14ac:dyDescent="0.4">
      <c r="A534" s="65"/>
      <c r="B534" s="356">
        <v>2275</v>
      </c>
      <c r="C534" s="851"/>
      <c r="D534" s="787"/>
      <c r="E534" s="829"/>
      <c r="F534" s="852"/>
      <c r="G534" s="851"/>
      <c r="H534" s="787"/>
      <c r="I534" s="829"/>
      <c r="J534" s="852"/>
      <c r="K534" s="851"/>
      <c r="L534" s="787"/>
      <c r="M534" s="829"/>
      <c r="N534" s="852"/>
      <c r="O534" s="851"/>
      <c r="P534" s="787"/>
      <c r="Q534" s="829"/>
      <c r="R534" s="852"/>
      <c r="S534" s="851"/>
      <c r="T534" s="787"/>
      <c r="U534" s="829"/>
      <c r="V534" s="852"/>
      <c r="W534" s="851"/>
      <c r="X534" s="787"/>
      <c r="Y534" s="829"/>
      <c r="Z534" s="852"/>
      <c r="AA534" s="851"/>
      <c r="AB534" s="787"/>
      <c r="AC534" s="829"/>
      <c r="AD534" s="852"/>
      <c r="AE534" s="851"/>
      <c r="AF534" s="787"/>
      <c r="AG534" s="355">
        <v>2275</v>
      </c>
      <c r="AL534" s="123"/>
    </row>
    <row r="535" spans="1:38" x14ac:dyDescent="0.4">
      <c r="A535" s="65"/>
      <c r="B535" s="356">
        <v>2280</v>
      </c>
      <c r="C535" s="851"/>
      <c r="D535" s="787"/>
      <c r="E535" s="829"/>
      <c r="F535" s="852"/>
      <c r="G535" s="851"/>
      <c r="H535" s="787"/>
      <c r="I535" s="829"/>
      <c r="J535" s="852"/>
      <c r="K535" s="851"/>
      <c r="L535" s="787"/>
      <c r="M535" s="829"/>
      <c r="N535" s="852"/>
      <c r="O535" s="851"/>
      <c r="P535" s="787"/>
      <c r="Q535" s="829"/>
      <c r="R535" s="852"/>
      <c r="S535" s="851"/>
      <c r="T535" s="787"/>
      <c r="U535" s="829"/>
      <c r="V535" s="852"/>
      <c r="W535" s="851"/>
      <c r="X535" s="787"/>
      <c r="Y535" s="829"/>
      <c r="Z535" s="852"/>
      <c r="AA535" s="851"/>
      <c r="AB535" s="787"/>
      <c r="AC535" s="829"/>
      <c r="AD535" s="852"/>
      <c r="AE535" s="851"/>
      <c r="AF535" s="787"/>
      <c r="AG535" s="355">
        <v>2280</v>
      </c>
      <c r="AL535" s="123"/>
    </row>
    <row r="536" spans="1:38" x14ac:dyDescent="0.4">
      <c r="A536" s="65"/>
      <c r="B536" s="356">
        <v>2285</v>
      </c>
      <c r="C536" s="851"/>
      <c r="D536" s="787"/>
      <c r="E536" s="829"/>
      <c r="F536" s="852"/>
      <c r="G536" s="851"/>
      <c r="H536" s="787"/>
      <c r="I536" s="829"/>
      <c r="J536" s="852"/>
      <c r="K536" s="851"/>
      <c r="L536" s="787"/>
      <c r="M536" s="829"/>
      <c r="N536" s="852"/>
      <c r="O536" s="851"/>
      <c r="P536" s="787"/>
      <c r="Q536" s="829"/>
      <c r="R536" s="852"/>
      <c r="S536" s="851"/>
      <c r="T536" s="787"/>
      <c r="U536" s="829"/>
      <c r="V536" s="852"/>
      <c r="W536" s="851"/>
      <c r="X536" s="787"/>
      <c r="Y536" s="829"/>
      <c r="Z536" s="852"/>
      <c r="AA536" s="851"/>
      <c r="AB536" s="787"/>
      <c r="AC536" s="829"/>
      <c r="AD536" s="852"/>
      <c r="AE536" s="851"/>
      <c r="AF536" s="787"/>
      <c r="AG536" s="355">
        <v>2285</v>
      </c>
      <c r="AL536" s="123"/>
    </row>
    <row r="537" spans="1:38" x14ac:dyDescent="0.4">
      <c r="A537" s="65"/>
      <c r="B537" s="356">
        <v>2290</v>
      </c>
      <c r="C537" s="851"/>
      <c r="D537" s="787"/>
      <c r="E537" s="829"/>
      <c r="F537" s="852"/>
      <c r="G537" s="851"/>
      <c r="H537" s="787"/>
      <c r="I537" s="829"/>
      <c r="J537" s="852"/>
      <c r="K537" s="851"/>
      <c r="L537" s="787"/>
      <c r="M537" s="829"/>
      <c r="N537" s="852"/>
      <c r="O537" s="851"/>
      <c r="P537" s="787"/>
      <c r="Q537" s="829"/>
      <c r="R537" s="852"/>
      <c r="S537" s="851"/>
      <c r="T537" s="787"/>
      <c r="U537" s="829"/>
      <c r="V537" s="852"/>
      <c r="W537" s="851"/>
      <c r="X537" s="787"/>
      <c r="Y537" s="829"/>
      <c r="Z537" s="852"/>
      <c r="AA537" s="851"/>
      <c r="AB537" s="787"/>
      <c r="AC537" s="829"/>
      <c r="AD537" s="852"/>
      <c r="AE537" s="851"/>
      <c r="AF537" s="787"/>
      <c r="AG537" s="355">
        <v>2290</v>
      </c>
      <c r="AL537" s="123"/>
    </row>
    <row r="538" spans="1:38" x14ac:dyDescent="0.4">
      <c r="A538" s="65"/>
      <c r="B538" s="356">
        <v>2295</v>
      </c>
      <c r="C538" s="851"/>
      <c r="D538" s="787"/>
      <c r="E538" s="829"/>
      <c r="F538" s="852"/>
      <c r="G538" s="851"/>
      <c r="H538" s="787"/>
      <c r="I538" s="829"/>
      <c r="J538" s="852"/>
      <c r="K538" s="851"/>
      <c r="L538" s="787"/>
      <c r="M538" s="829"/>
      <c r="N538" s="852"/>
      <c r="O538" s="851"/>
      <c r="P538" s="787"/>
      <c r="Q538" s="829"/>
      <c r="R538" s="852"/>
      <c r="S538" s="851"/>
      <c r="T538" s="787"/>
      <c r="U538" s="829"/>
      <c r="V538" s="852"/>
      <c r="W538" s="851"/>
      <c r="X538" s="787"/>
      <c r="Y538" s="829"/>
      <c r="Z538" s="852"/>
      <c r="AA538" s="851"/>
      <c r="AB538" s="787"/>
      <c r="AC538" s="829"/>
      <c r="AD538" s="852"/>
      <c r="AE538" s="851"/>
      <c r="AF538" s="787"/>
      <c r="AG538" s="355">
        <v>2295</v>
      </c>
      <c r="AL538" s="123"/>
    </row>
    <row r="539" spans="1:38" x14ac:dyDescent="0.4">
      <c r="A539" s="65"/>
      <c r="B539" s="356">
        <v>2300</v>
      </c>
      <c r="C539" s="851"/>
      <c r="D539" s="787"/>
      <c r="E539" s="829"/>
      <c r="F539" s="852"/>
      <c r="G539" s="851"/>
      <c r="H539" s="787"/>
      <c r="I539" s="829"/>
      <c r="J539" s="852"/>
      <c r="K539" s="851"/>
      <c r="L539" s="787"/>
      <c r="M539" s="829"/>
      <c r="N539" s="852"/>
      <c r="O539" s="851"/>
      <c r="P539" s="787"/>
      <c r="Q539" s="829"/>
      <c r="R539" s="852"/>
      <c r="S539" s="851"/>
      <c r="T539" s="787"/>
      <c r="U539" s="829"/>
      <c r="V539" s="852"/>
      <c r="W539" s="851"/>
      <c r="X539" s="787"/>
      <c r="Y539" s="829"/>
      <c r="Z539" s="852"/>
      <c r="AA539" s="851"/>
      <c r="AB539" s="787"/>
      <c r="AC539" s="829"/>
      <c r="AD539" s="852"/>
      <c r="AE539" s="851"/>
      <c r="AF539" s="787"/>
      <c r="AG539" s="355">
        <v>2300</v>
      </c>
      <c r="AL539" s="123"/>
    </row>
    <row r="540" spans="1:38" x14ac:dyDescent="0.4">
      <c r="A540" s="65"/>
      <c r="B540" s="356">
        <v>2305</v>
      </c>
      <c r="C540" s="851"/>
      <c r="D540" s="787"/>
      <c r="E540" s="829"/>
      <c r="F540" s="852"/>
      <c r="G540" s="851"/>
      <c r="H540" s="787"/>
      <c r="I540" s="829"/>
      <c r="J540" s="852"/>
      <c r="K540" s="851"/>
      <c r="L540" s="787"/>
      <c r="M540" s="829"/>
      <c r="N540" s="852"/>
      <c r="O540" s="851"/>
      <c r="P540" s="787"/>
      <c r="Q540" s="829"/>
      <c r="R540" s="852"/>
      <c r="S540" s="851"/>
      <c r="T540" s="787"/>
      <c r="U540" s="829"/>
      <c r="V540" s="852"/>
      <c r="W540" s="851"/>
      <c r="X540" s="787"/>
      <c r="Y540" s="829"/>
      <c r="Z540" s="852"/>
      <c r="AA540" s="851"/>
      <c r="AB540" s="787"/>
      <c r="AC540" s="829"/>
      <c r="AD540" s="852"/>
      <c r="AE540" s="851"/>
      <c r="AF540" s="787"/>
      <c r="AG540" s="355">
        <v>2305</v>
      </c>
      <c r="AL540" s="123"/>
    </row>
    <row r="541" spans="1:38" x14ac:dyDescent="0.4">
      <c r="A541" s="65"/>
      <c r="B541" s="356">
        <v>2310</v>
      </c>
      <c r="C541" s="851"/>
      <c r="D541" s="787"/>
      <c r="E541" s="829"/>
      <c r="F541" s="852"/>
      <c r="G541" s="851"/>
      <c r="H541" s="787"/>
      <c r="I541" s="829"/>
      <c r="J541" s="852"/>
      <c r="K541" s="851"/>
      <c r="L541" s="787"/>
      <c r="M541" s="829"/>
      <c r="N541" s="852"/>
      <c r="O541" s="851"/>
      <c r="P541" s="787"/>
      <c r="Q541" s="829"/>
      <c r="R541" s="852"/>
      <c r="S541" s="851"/>
      <c r="T541" s="787"/>
      <c r="U541" s="829"/>
      <c r="V541" s="852"/>
      <c r="W541" s="851"/>
      <c r="X541" s="787"/>
      <c r="Y541" s="829"/>
      <c r="Z541" s="852"/>
      <c r="AA541" s="851"/>
      <c r="AB541" s="787"/>
      <c r="AC541" s="829"/>
      <c r="AD541" s="852"/>
      <c r="AE541" s="851"/>
      <c r="AF541" s="787"/>
      <c r="AG541" s="355">
        <v>2310</v>
      </c>
      <c r="AL541" s="123"/>
    </row>
    <row r="542" spans="1:38" x14ac:dyDescent="0.4">
      <c r="A542" s="65"/>
      <c r="B542" s="356">
        <v>2315</v>
      </c>
      <c r="C542" s="851"/>
      <c r="D542" s="787"/>
      <c r="E542" s="829"/>
      <c r="F542" s="852"/>
      <c r="G542" s="851"/>
      <c r="H542" s="787"/>
      <c r="I542" s="829"/>
      <c r="J542" s="852"/>
      <c r="K542" s="851"/>
      <c r="L542" s="787"/>
      <c r="M542" s="829"/>
      <c r="N542" s="852"/>
      <c r="O542" s="851"/>
      <c r="P542" s="787"/>
      <c r="Q542" s="829"/>
      <c r="R542" s="852"/>
      <c r="S542" s="851"/>
      <c r="T542" s="787"/>
      <c r="U542" s="829"/>
      <c r="V542" s="852"/>
      <c r="W542" s="851"/>
      <c r="X542" s="787"/>
      <c r="Y542" s="829"/>
      <c r="Z542" s="852"/>
      <c r="AA542" s="851"/>
      <c r="AB542" s="787"/>
      <c r="AC542" s="829"/>
      <c r="AD542" s="852"/>
      <c r="AE542" s="851"/>
      <c r="AF542" s="787"/>
      <c r="AG542" s="355">
        <v>2315</v>
      </c>
      <c r="AL542" s="123"/>
    </row>
    <row r="543" spans="1:38" x14ac:dyDescent="0.4">
      <c r="A543" s="65"/>
      <c r="B543" s="356">
        <v>2320</v>
      </c>
      <c r="C543" s="851"/>
      <c r="D543" s="787"/>
      <c r="E543" s="829"/>
      <c r="F543" s="852"/>
      <c r="G543" s="851"/>
      <c r="H543" s="787"/>
      <c r="I543" s="829"/>
      <c r="J543" s="852"/>
      <c r="K543" s="851"/>
      <c r="L543" s="787"/>
      <c r="M543" s="829"/>
      <c r="N543" s="852"/>
      <c r="O543" s="851"/>
      <c r="P543" s="787"/>
      <c r="Q543" s="829"/>
      <c r="R543" s="852"/>
      <c r="S543" s="851"/>
      <c r="T543" s="787"/>
      <c r="U543" s="829"/>
      <c r="V543" s="852"/>
      <c r="W543" s="851"/>
      <c r="X543" s="787"/>
      <c r="Y543" s="829"/>
      <c r="Z543" s="852"/>
      <c r="AA543" s="851"/>
      <c r="AB543" s="787"/>
      <c r="AC543" s="829"/>
      <c r="AD543" s="852"/>
      <c r="AE543" s="851"/>
      <c r="AF543" s="787"/>
      <c r="AG543" s="355">
        <v>2320</v>
      </c>
      <c r="AL543" s="123"/>
    </row>
    <row r="544" spans="1:38" x14ac:dyDescent="0.4">
      <c r="A544" s="65"/>
      <c r="B544" s="356">
        <v>2325</v>
      </c>
      <c r="C544" s="851"/>
      <c r="D544" s="787"/>
      <c r="E544" s="829"/>
      <c r="F544" s="852"/>
      <c r="G544" s="851"/>
      <c r="H544" s="787"/>
      <c r="I544" s="829"/>
      <c r="J544" s="852"/>
      <c r="K544" s="851"/>
      <c r="L544" s="787"/>
      <c r="M544" s="829"/>
      <c r="N544" s="852"/>
      <c r="O544" s="851"/>
      <c r="P544" s="787"/>
      <c r="Q544" s="829"/>
      <c r="R544" s="852"/>
      <c r="S544" s="851"/>
      <c r="T544" s="787"/>
      <c r="U544" s="829"/>
      <c r="V544" s="852"/>
      <c r="W544" s="851"/>
      <c r="X544" s="787"/>
      <c r="Y544" s="829"/>
      <c r="Z544" s="852"/>
      <c r="AA544" s="851"/>
      <c r="AB544" s="787"/>
      <c r="AC544" s="829"/>
      <c r="AD544" s="852"/>
      <c r="AE544" s="851"/>
      <c r="AF544" s="787"/>
      <c r="AG544" s="355">
        <v>2325</v>
      </c>
      <c r="AL544" s="123"/>
    </row>
    <row r="545" spans="1:38" x14ac:dyDescent="0.4">
      <c r="A545" s="65"/>
      <c r="B545" s="356">
        <v>2330</v>
      </c>
      <c r="C545" s="851"/>
      <c r="D545" s="787"/>
      <c r="E545" s="829"/>
      <c r="F545" s="852"/>
      <c r="G545" s="851"/>
      <c r="H545" s="787"/>
      <c r="I545" s="829"/>
      <c r="J545" s="852"/>
      <c r="K545" s="851"/>
      <c r="L545" s="787"/>
      <c r="M545" s="829"/>
      <c r="N545" s="852"/>
      <c r="O545" s="851"/>
      <c r="P545" s="787"/>
      <c r="Q545" s="829"/>
      <c r="R545" s="852"/>
      <c r="S545" s="851"/>
      <c r="T545" s="787"/>
      <c r="U545" s="829"/>
      <c r="V545" s="852"/>
      <c r="W545" s="851"/>
      <c r="X545" s="787"/>
      <c r="Y545" s="829"/>
      <c r="Z545" s="852"/>
      <c r="AA545" s="851"/>
      <c r="AB545" s="787"/>
      <c r="AC545" s="829"/>
      <c r="AD545" s="852"/>
      <c r="AE545" s="851"/>
      <c r="AF545" s="787"/>
      <c r="AG545" s="355">
        <v>2330</v>
      </c>
      <c r="AL545" s="123"/>
    </row>
    <row r="546" spans="1:38" x14ac:dyDescent="0.4">
      <c r="A546" s="65"/>
      <c r="B546" s="356">
        <v>2335</v>
      </c>
      <c r="C546" s="851"/>
      <c r="D546" s="787"/>
      <c r="E546" s="829"/>
      <c r="F546" s="852"/>
      <c r="G546" s="851"/>
      <c r="H546" s="787"/>
      <c r="I546" s="829"/>
      <c r="J546" s="852"/>
      <c r="K546" s="851"/>
      <c r="L546" s="787"/>
      <c r="M546" s="829"/>
      <c r="N546" s="852"/>
      <c r="O546" s="851"/>
      <c r="P546" s="787"/>
      <c r="Q546" s="829"/>
      <c r="R546" s="852"/>
      <c r="S546" s="851"/>
      <c r="T546" s="787"/>
      <c r="U546" s="829"/>
      <c r="V546" s="852"/>
      <c r="W546" s="851"/>
      <c r="X546" s="787"/>
      <c r="Y546" s="829"/>
      <c r="Z546" s="852"/>
      <c r="AA546" s="851"/>
      <c r="AB546" s="787"/>
      <c r="AC546" s="829"/>
      <c r="AD546" s="852"/>
      <c r="AE546" s="851"/>
      <c r="AF546" s="787"/>
      <c r="AG546" s="355">
        <v>2335</v>
      </c>
      <c r="AL546" s="123"/>
    </row>
    <row r="547" spans="1:38" x14ac:dyDescent="0.4">
      <c r="A547" s="65"/>
      <c r="B547" s="356">
        <v>2340</v>
      </c>
      <c r="C547" s="851"/>
      <c r="D547" s="787"/>
      <c r="E547" s="829"/>
      <c r="F547" s="852"/>
      <c r="G547" s="851"/>
      <c r="H547" s="787"/>
      <c r="I547" s="829"/>
      <c r="J547" s="852"/>
      <c r="K547" s="851"/>
      <c r="L547" s="787"/>
      <c r="M547" s="829"/>
      <c r="N547" s="852"/>
      <c r="O547" s="851"/>
      <c r="P547" s="787"/>
      <c r="Q547" s="829"/>
      <c r="R547" s="852"/>
      <c r="S547" s="851"/>
      <c r="T547" s="787"/>
      <c r="U547" s="829"/>
      <c r="V547" s="852"/>
      <c r="W547" s="851"/>
      <c r="X547" s="787"/>
      <c r="Y547" s="829"/>
      <c r="Z547" s="852"/>
      <c r="AA547" s="851"/>
      <c r="AB547" s="787"/>
      <c r="AC547" s="829"/>
      <c r="AD547" s="852"/>
      <c r="AE547" s="851"/>
      <c r="AF547" s="787"/>
      <c r="AG547" s="355">
        <v>2340</v>
      </c>
      <c r="AL547" s="123"/>
    </row>
    <row r="548" spans="1:38" x14ac:dyDescent="0.4">
      <c r="A548" s="65"/>
      <c r="B548" s="356">
        <v>2345</v>
      </c>
      <c r="C548" s="851"/>
      <c r="D548" s="787"/>
      <c r="E548" s="829"/>
      <c r="F548" s="852"/>
      <c r="G548" s="851"/>
      <c r="H548" s="787"/>
      <c r="I548" s="829"/>
      <c r="J548" s="852"/>
      <c r="K548" s="851"/>
      <c r="L548" s="787"/>
      <c r="M548" s="829"/>
      <c r="N548" s="852"/>
      <c r="O548" s="851"/>
      <c r="P548" s="787"/>
      <c r="Q548" s="829"/>
      <c r="R548" s="852"/>
      <c r="S548" s="851"/>
      <c r="T548" s="787"/>
      <c r="U548" s="829"/>
      <c r="V548" s="852"/>
      <c r="W548" s="851"/>
      <c r="X548" s="787"/>
      <c r="Y548" s="829"/>
      <c r="Z548" s="852"/>
      <c r="AA548" s="851"/>
      <c r="AB548" s="787"/>
      <c r="AC548" s="829"/>
      <c r="AD548" s="852"/>
      <c r="AE548" s="851"/>
      <c r="AF548" s="787"/>
      <c r="AG548" s="355">
        <v>2345</v>
      </c>
      <c r="AL548" s="123"/>
    </row>
    <row r="549" spans="1:38" x14ac:dyDescent="0.4">
      <c r="A549" s="65"/>
      <c r="B549" s="356">
        <v>2350</v>
      </c>
      <c r="C549" s="851"/>
      <c r="D549" s="787"/>
      <c r="E549" s="829"/>
      <c r="F549" s="852"/>
      <c r="G549" s="851"/>
      <c r="H549" s="787"/>
      <c r="I549" s="829"/>
      <c r="J549" s="852"/>
      <c r="K549" s="851"/>
      <c r="L549" s="787"/>
      <c r="M549" s="829"/>
      <c r="N549" s="852"/>
      <c r="O549" s="851"/>
      <c r="P549" s="787"/>
      <c r="Q549" s="829"/>
      <c r="R549" s="852"/>
      <c r="S549" s="851"/>
      <c r="T549" s="787"/>
      <c r="U549" s="829"/>
      <c r="V549" s="852"/>
      <c r="W549" s="851"/>
      <c r="X549" s="787"/>
      <c r="Y549" s="829"/>
      <c r="Z549" s="852"/>
      <c r="AA549" s="851"/>
      <c r="AB549" s="787"/>
      <c r="AC549" s="829"/>
      <c r="AD549" s="852"/>
      <c r="AE549" s="851"/>
      <c r="AF549" s="787"/>
      <c r="AG549" s="355">
        <v>2350</v>
      </c>
      <c r="AL549" s="123"/>
    </row>
    <row r="550" spans="1:38" x14ac:dyDescent="0.4">
      <c r="A550" s="65"/>
      <c r="B550" s="356">
        <v>2355</v>
      </c>
      <c r="C550" s="851"/>
      <c r="D550" s="787"/>
      <c r="E550" s="829"/>
      <c r="F550" s="852"/>
      <c r="G550" s="851"/>
      <c r="H550" s="787"/>
      <c r="I550" s="829"/>
      <c r="J550" s="852"/>
      <c r="K550" s="851"/>
      <c r="L550" s="787"/>
      <c r="M550" s="829"/>
      <c r="N550" s="852"/>
      <c r="O550" s="851"/>
      <c r="P550" s="787"/>
      <c r="Q550" s="829"/>
      <c r="R550" s="852"/>
      <c r="S550" s="851"/>
      <c r="T550" s="787"/>
      <c r="U550" s="829"/>
      <c r="V550" s="852"/>
      <c r="W550" s="851"/>
      <c r="X550" s="787"/>
      <c r="Y550" s="829"/>
      <c r="Z550" s="852"/>
      <c r="AA550" s="851"/>
      <c r="AB550" s="787"/>
      <c r="AC550" s="829"/>
      <c r="AD550" s="852"/>
      <c r="AE550" s="851"/>
      <c r="AF550" s="787"/>
      <c r="AG550" s="355">
        <v>2355</v>
      </c>
      <c r="AL550" s="123"/>
    </row>
    <row r="551" spans="1:38" x14ac:dyDescent="0.4">
      <c r="A551" s="65"/>
      <c r="B551" s="356">
        <v>2360</v>
      </c>
      <c r="C551" s="851"/>
      <c r="D551" s="787"/>
      <c r="E551" s="829"/>
      <c r="F551" s="852"/>
      <c r="G551" s="851"/>
      <c r="H551" s="787"/>
      <c r="I551" s="829"/>
      <c r="J551" s="852"/>
      <c r="K551" s="851"/>
      <c r="L551" s="787"/>
      <c r="M551" s="829"/>
      <c r="N551" s="852"/>
      <c r="O551" s="851"/>
      <c r="P551" s="787"/>
      <c r="Q551" s="829"/>
      <c r="R551" s="852"/>
      <c r="S551" s="851"/>
      <c r="T551" s="787"/>
      <c r="U551" s="829"/>
      <c r="V551" s="852"/>
      <c r="W551" s="851"/>
      <c r="X551" s="787"/>
      <c r="Y551" s="829"/>
      <c r="Z551" s="852"/>
      <c r="AA551" s="851"/>
      <c r="AB551" s="787"/>
      <c r="AC551" s="829"/>
      <c r="AD551" s="852"/>
      <c r="AE551" s="851"/>
      <c r="AF551" s="787"/>
      <c r="AG551" s="355">
        <v>2360</v>
      </c>
      <c r="AL551" s="123"/>
    </row>
    <row r="552" spans="1:38" x14ac:dyDescent="0.4">
      <c r="A552" s="65"/>
      <c r="B552" s="356">
        <v>2365</v>
      </c>
      <c r="C552" s="851"/>
      <c r="D552" s="787"/>
      <c r="E552" s="829"/>
      <c r="F552" s="852"/>
      <c r="G552" s="851"/>
      <c r="H552" s="787"/>
      <c r="I552" s="829"/>
      <c r="J552" s="852"/>
      <c r="K552" s="851"/>
      <c r="L552" s="787"/>
      <c r="M552" s="829"/>
      <c r="N552" s="852"/>
      <c r="O552" s="851"/>
      <c r="P552" s="787"/>
      <c r="Q552" s="829"/>
      <c r="R552" s="852"/>
      <c r="S552" s="851"/>
      <c r="T552" s="787"/>
      <c r="U552" s="829"/>
      <c r="V552" s="852"/>
      <c r="W552" s="851"/>
      <c r="X552" s="787"/>
      <c r="Y552" s="829"/>
      <c r="Z552" s="852"/>
      <c r="AA552" s="851"/>
      <c r="AB552" s="787"/>
      <c r="AC552" s="829"/>
      <c r="AD552" s="852"/>
      <c r="AE552" s="851"/>
      <c r="AF552" s="787"/>
      <c r="AG552" s="355">
        <v>2365</v>
      </c>
      <c r="AL552" s="123"/>
    </row>
    <row r="553" spans="1:38" x14ac:dyDescent="0.4">
      <c r="A553" s="65"/>
      <c r="B553" s="356">
        <v>2370</v>
      </c>
      <c r="C553" s="851"/>
      <c r="D553" s="787"/>
      <c r="E553" s="829"/>
      <c r="F553" s="852"/>
      <c r="G553" s="851"/>
      <c r="H553" s="787"/>
      <c r="I553" s="829"/>
      <c r="J553" s="852"/>
      <c r="K553" s="851"/>
      <c r="L553" s="787"/>
      <c r="M553" s="829"/>
      <c r="N553" s="852"/>
      <c r="O553" s="851"/>
      <c r="P553" s="787"/>
      <c r="Q553" s="829"/>
      <c r="R553" s="852"/>
      <c r="S553" s="851"/>
      <c r="T553" s="787"/>
      <c r="U553" s="829"/>
      <c r="V553" s="852"/>
      <c r="W553" s="851"/>
      <c r="X553" s="787"/>
      <c r="Y553" s="829"/>
      <c r="Z553" s="852"/>
      <c r="AA553" s="851"/>
      <c r="AB553" s="787"/>
      <c r="AC553" s="829"/>
      <c r="AD553" s="852"/>
      <c r="AE553" s="851"/>
      <c r="AF553" s="787"/>
      <c r="AG553" s="355">
        <v>2370</v>
      </c>
      <c r="AL553" s="123"/>
    </row>
    <row r="554" spans="1:38" x14ac:dyDescent="0.4">
      <c r="A554" s="65"/>
      <c r="B554" s="356">
        <v>2375</v>
      </c>
      <c r="C554" s="851"/>
      <c r="D554" s="787"/>
      <c r="E554" s="829"/>
      <c r="F554" s="852"/>
      <c r="G554" s="851"/>
      <c r="H554" s="787"/>
      <c r="I554" s="829"/>
      <c r="J554" s="852"/>
      <c r="K554" s="851"/>
      <c r="L554" s="787"/>
      <c r="M554" s="829"/>
      <c r="N554" s="852"/>
      <c r="O554" s="851"/>
      <c r="P554" s="787"/>
      <c r="Q554" s="829"/>
      <c r="R554" s="852"/>
      <c r="S554" s="851"/>
      <c r="T554" s="787"/>
      <c r="U554" s="829"/>
      <c r="V554" s="852"/>
      <c r="W554" s="851"/>
      <c r="X554" s="787"/>
      <c r="Y554" s="829"/>
      <c r="Z554" s="852"/>
      <c r="AA554" s="851"/>
      <c r="AB554" s="787"/>
      <c r="AC554" s="829"/>
      <c r="AD554" s="852"/>
      <c r="AE554" s="851"/>
      <c r="AF554" s="787"/>
      <c r="AG554" s="355">
        <v>2375</v>
      </c>
      <c r="AL554" s="123"/>
    </row>
    <row r="555" spans="1:38" x14ac:dyDescent="0.4">
      <c r="A555" s="65"/>
      <c r="B555" s="356">
        <v>2380</v>
      </c>
      <c r="C555" s="851"/>
      <c r="D555" s="787"/>
      <c r="E555" s="829"/>
      <c r="F555" s="852"/>
      <c r="G555" s="851"/>
      <c r="H555" s="787"/>
      <c r="I555" s="829"/>
      <c r="J555" s="852"/>
      <c r="K555" s="851"/>
      <c r="L555" s="787"/>
      <c r="M555" s="829"/>
      <c r="N555" s="852"/>
      <c r="O555" s="851"/>
      <c r="P555" s="787"/>
      <c r="Q555" s="829"/>
      <c r="R555" s="852"/>
      <c r="S555" s="851"/>
      <c r="T555" s="787"/>
      <c r="U555" s="829"/>
      <c r="V555" s="852"/>
      <c r="W555" s="851"/>
      <c r="X555" s="787"/>
      <c r="Y555" s="829"/>
      <c r="Z555" s="852"/>
      <c r="AA555" s="851"/>
      <c r="AB555" s="787"/>
      <c r="AC555" s="829"/>
      <c r="AD555" s="852"/>
      <c r="AE555" s="851"/>
      <c r="AF555" s="787"/>
      <c r="AG555" s="355">
        <v>2380</v>
      </c>
      <c r="AL555" s="123"/>
    </row>
    <row r="556" spans="1:38" x14ac:dyDescent="0.4">
      <c r="A556" s="65"/>
      <c r="B556" s="356">
        <v>2385</v>
      </c>
      <c r="C556" s="851"/>
      <c r="D556" s="787"/>
      <c r="E556" s="829"/>
      <c r="F556" s="852"/>
      <c r="G556" s="851"/>
      <c r="H556" s="787"/>
      <c r="I556" s="829"/>
      <c r="J556" s="852"/>
      <c r="K556" s="851"/>
      <c r="L556" s="787"/>
      <c r="M556" s="829"/>
      <c r="N556" s="852"/>
      <c r="O556" s="851"/>
      <c r="P556" s="787"/>
      <c r="Q556" s="829"/>
      <c r="R556" s="852"/>
      <c r="S556" s="851"/>
      <c r="T556" s="787"/>
      <c r="U556" s="829"/>
      <c r="V556" s="852"/>
      <c r="W556" s="851"/>
      <c r="X556" s="787"/>
      <c r="Y556" s="829"/>
      <c r="Z556" s="852"/>
      <c r="AA556" s="851"/>
      <c r="AB556" s="787"/>
      <c r="AC556" s="829"/>
      <c r="AD556" s="852"/>
      <c r="AE556" s="851"/>
      <c r="AF556" s="787"/>
      <c r="AG556" s="355">
        <v>2385</v>
      </c>
      <c r="AL556" s="123"/>
    </row>
    <row r="557" spans="1:38" x14ac:dyDescent="0.4">
      <c r="A557" s="65"/>
      <c r="B557" s="356">
        <v>2390</v>
      </c>
      <c r="C557" s="851"/>
      <c r="D557" s="787"/>
      <c r="E557" s="829"/>
      <c r="F557" s="852"/>
      <c r="G557" s="851"/>
      <c r="H557" s="787"/>
      <c r="I557" s="829"/>
      <c r="J557" s="852"/>
      <c r="K557" s="851"/>
      <c r="L557" s="787"/>
      <c r="M557" s="829"/>
      <c r="N557" s="852"/>
      <c r="O557" s="851"/>
      <c r="P557" s="787"/>
      <c r="Q557" s="829"/>
      <c r="R557" s="852"/>
      <c r="S557" s="851"/>
      <c r="T557" s="787"/>
      <c r="U557" s="829"/>
      <c r="V557" s="852"/>
      <c r="W557" s="851"/>
      <c r="X557" s="787"/>
      <c r="Y557" s="829"/>
      <c r="Z557" s="852"/>
      <c r="AA557" s="851"/>
      <c r="AB557" s="787"/>
      <c r="AC557" s="829"/>
      <c r="AD557" s="852"/>
      <c r="AE557" s="851"/>
      <c r="AF557" s="787"/>
      <c r="AG557" s="355">
        <v>2390</v>
      </c>
      <c r="AL557" s="123"/>
    </row>
    <row r="558" spans="1:38" x14ac:dyDescent="0.4">
      <c r="A558" s="65"/>
      <c r="B558" s="356">
        <v>2395</v>
      </c>
      <c r="C558" s="851"/>
      <c r="D558" s="787"/>
      <c r="E558" s="829"/>
      <c r="F558" s="852"/>
      <c r="G558" s="851"/>
      <c r="H558" s="787"/>
      <c r="I558" s="829"/>
      <c r="J558" s="852"/>
      <c r="K558" s="851"/>
      <c r="L558" s="787"/>
      <c r="M558" s="829"/>
      <c r="N558" s="852"/>
      <c r="O558" s="851"/>
      <c r="P558" s="787"/>
      <c r="Q558" s="829"/>
      <c r="R558" s="852"/>
      <c r="S558" s="851"/>
      <c r="T558" s="787"/>
      <c r="U558" s="829"/>
      <c r="V558" s="852"/>
      <c r="W558" s="851"/>
      <c r="X558" s="787"/>
      <c r="Y558" s="829"/>
      <c r="Z558" s="852"/>
      <c r="AA558" s="851"/>
      <c r="AB558" s="787"/>
      <c r="AC558" s="829"/>
      <c r="AD558" s="852"/>
      <c r="AE558" s="851"/>
      <c r="AF558" s="787"/>
      <c r="AG558" s="355">
        <v>2395</v>
      </c>
      <c r="AL558" s="123"/>
    </row>
    <row r="559" spans="1:38" x14ac:dyDescent="0.4">
      <c r="A559" s="65"/>
      <c r="B559" s="356">
        <v>2400</v>
      </c>
      <c r="C559" s="851"/>
      <c r="D559" s="787"/>
      <c r="E559" s="829"/>
      <c r="F559" s="852"/>
      <c r="G559" s="851"/>
      <c r="H559" s="787"/>
      <c r="I559" s="829"/>
      <c r="J559" s="852"/>
      <c r="K559" s="851"/>
      <c r="L559" s="787"/>
      <c r="M559" s="829"/>
      <c r="N559" s="852"/>
      <c r="O559" s="851"/>
      <c r="P559" s="787"/>
      <c r="Q559" s="829"/>
      <c r="R559" s="852"/>
      <c r="S559" s="851"/>
      <c r="T559" s="787"/>
      <c r="U559" s="829"/>
      <c r="V559" s="852"/>
      <c r="W559" s="851"/>
      <c r="X559" s="787"/>
      <c r="Y559" s="829"/>
      <c r="Z559" s="852"/>
      <c r="AA559" s="851"/>
      <c r="AB559" s="787"/>
      <c r="AC559" s="829"/>
      <c r="AD559" s="852"/>
      <c r="AE559" s="851"/>
      <c r="AF559" s="787"/>
      <c r="AG559" s="355">
        <v>2400</v>
      </c>
      <c r="AL559" s="123"/>
    </row>
    <row r="560" spans="1:38" x14ac:dyDescent="0.4">
      <c r="A560" s="65"/>
      <c r="B560" s="356">
        <v>2405</v>
      </c>
      <c r="C560" s="851"/>
      <c r="D560" s="787"/>
      <c r="E560" s="829"/>
      <c r="F560" s="852"/>
      <c r="G560" s="851"/>
      <c r="H560" s="787"/>
      <c r="I560" s="829"/>
      <c r="J560" s="852"/>
      <c r="K560" s="851"/>
      <c r="L560" s="787"/>
      <c r="M560" s="829"/>
      <c r="N560" s="852"/>
      <c r="O560" s="851"/>
      <c r="P560" s="787"/>
      <c r="Q560" s="829"/>
      <c r="R560" s="852"/>
      <c r="S560" s="851"/>
      <c r="T560" s="787"/>
      <c r="U560" s="829"/>
      <c r="V560" s="852"/>
      <c r="W560" s="851"/>
      <c r="X560" s="787"/>
      <c r="Y560" s="829"/>
      <c r="Z560" s="852"/>
      <c r="AA560" s="851"/>
      <c r="AB560" s="787"/>
      <c r="AC560" s="829"/>
      <c r="AD560" s="852"/>
      <c r="AE560" s="851"/>
      <c r="AF560" s="787"/>
      <c r="AG560" s="355">
        <v>2405</v>
      </c>
      <c r="AL560" s="123"/>
    </row>
    <row r="561" spans="1:38" x14ac:dyDescent="0.4">
      <c r="A561" s="65"/>
      <c r="B561" s="356">
        <v>2410</v>
      </c>
      <c r="C561" s="851"/>
      <c r="D561" s="787"/>
      <c r="E561" s="829"/>
      <c r="F561" s="852"/>
      <c r="G561" s="851"/>
      <c r="H561" s="787"/>
      <c r="I561" s="829"/>
      <c r="J561" s="852"/>
      <c r="K561" s="851"/>
      <c r="L561" s="787"/>
      <c r="M561" s="829"/>
      <c r="N561" s="852"/>
      <c r="O561" s="851"/>
      <c r="P561" s="787"/>
      <c r="Q561" s="829"/>
      <c r="R561" s="852"/>
      <c r="S561" s="851"/>
      <c r="T561" s="787"/>
      <c r="U561" s="829"/>
      <c r="V561" s="852"/>
      <c r="W561" s="851"/>
      <c r="X561" s="787"/>
      <c r="Y561" s="829"/>
      <c r="Z561" s="852"/>
      <c r="AA561" s="851"/>
      <c r="AB561" s="787"/>
      <c r="AC561" s="829"/>
      <c r="AD561" s="852"/>
      <c r="AE561" s="851"/>
      <c r="AF561" s="787"/>
      <c r="AG561" s="355">
        <v>2410</v>
      </c>
      <c r="AL561" s="123"/>
    </row>
    <row r="562" spans="1:38" x14ac:dyDescent="0.4">
      <c r="A562" s="65"/>
      <c r="B562" s="356">
        <v>2415</v>
      </c>
      <c r="C562" s="851"/>
      <c r="D562" s="787"/>
      <c r="E562" s="829"/>
      <c r="F562" s="852"/>
      <c r="G562" s="851"/>
      <c r="H562" s="787"/>
      <c r="I562" s="829"/>
      <c r="J562" s="852"/>
      <c r="K562" s="851"/>
      <c r="L562" s="787"/>
      <c r="M562" s="829"/>
      <c r="N562" s="852"/>
      <c r="O562" s="851"/>
      <c r="P562" s="787"/>
      <c r="Q562" s="829"/>
      <c r="R562" s="852"/>
      <c r="S562" s="851"/>
      <c r="T562" s="787"/>
      <c r="U562" s="829"/>
      <c r="V562" s="852"/>
      <c r="W562" s="851"/>
      <c r="X562" s="787"/>
      <c r="Y562" s="829"/>
      <c r="Z562" s="852"/>
      <c r="AA562" s="851"/>
      <c r="AB562" s="787"/>
      <c r="AC562" s="829"/>
      <c r="AD562" s="852"/>
      <c r="AE562" s="851"/>
      <c r="AF562" s="787"/>
      <c r="AG562" s="355">
        <v>2415</v>
      </c>
      <c r="AL562" s="123"/>
    </row>
    <row r="563" spans="1:38" x14ac:dyDescent="0.4">
      <c r="A563" s="65"/>
      <c r="B563" s="356">
        <v>2420</v>
      </c>
      <c r="C563" s="851"/>
      <c r="D563" s="787"/>
      <c r="E563" s="829"/>
      <c r="F563" s="852"/>
      <c r="G563" s="851"/>
      <c r="H563" s="787"/>
      <c r="I563" s="829"/>
      <c r="J563" s="852"/>
      <c r="K563" s="851"/>
      <c r="L563" s="787"/>
      <c r="M563" s="829"/>
      <c r="N563" s="852"/>
      <c r="O563" s="851"/>
      <c r="P563" s="787"/>
      <c r="Q563" s="829"/>
      <c r="R563" s="852"/>
      <c r="S563" s="851"/>
      <c r="T563" s="787"/>
      <c r="U563" s="829"/>
      <c r="V563" s="852"/>
      <c r="W563" s="851"/>
      <c r="X563" s="787"/>
      <c r="Y563" s="829"/>
      <c r="Z563" s="852"/>
      <c r="AA563" s="851"/>
      <c r="AB563" s="787"/>
      <c r="AC563" s="829"/>
      <c r="AD563" s="852"/>
      <c r="AE563" s="851"/>
      <c r="AF563" s="787"/>
      <c r="AG563" s="355">
        <v>2420</v>
      </c>
      <c r="AL563" s="123"/>
    </row>
    <row r="564" spans="1:38" x14ac:dyDescent="0.4">
      <c r="A564" s="65"/>
      <c r="B564" s="356">
        <v>2425</v>
      </c>
      <c r="C564" s="851"/>
      <c r="D564" s="787"/>
      <c r="E564" s="829"/>
      <c r="F564" s="852"/>
      <c r="G564" s="851"/>
      <c r="H564" s="787"/>
      <c r="I564" s="829"/>
      <c r="J564" s="852"/>
      <c r="K564" s="851"/>
      <c r="L564" s="787"/>
      <c r="M564" s="829"/>
      <c r="N564" s="852"/>
      <c r="O564" s="851"/>
      <c r="P564" s="787"/>
      <c r="Q564" s="829"/>
      <c r="R564" s="852"/>
      <c r="S564" s="851"/>
      <c r="T564" s="787"/>
      <c r="U564" s="829"/>
      <c r="V564" s="852"/>
      <c r="W564" s="851"/>
      <c r="X564" s="787"/>
      <c r="Y564" s="829"/>
      <c r="Z564" s="852"/>
      <c r="AA564" s="851"/>
      <c r="AB564" s="787"/>
      <c r="AC564" s="829"/>
      <c r="AD564" s="852"/>
      <c r="AE564" s="851"/>
      <c r="AF564" s="787"/>
      <c r="AG564" s="355">
        <v>2425</v>
      </c>
      <c r="AL564" s="123"/>
    </row>
    <row r="565" spans="1:38" x14ac:dyDescent="0.4">
      <c r="A565" s="65"/>
      <c r="B565" s="356">
        <v>2430</v>
      </c>
      <c r="C565" s="851"/>
      <c r="D565" s="787"/>
      <c r="E565" s="829"/>
      <c r="F565" s="852"/>
      <c r="G565" s="851"/>
      <c r="H565" s="787"/>
      <c r="I565" s="829"/>
      <c r="J565" s="852"/>
      <c r="K565" s="851"/>
      <c r="L565" s="787"/>
      <c r="M565" s="829"/>
      <c r="N565" s="852"/>
      <c r="O565" s="851"/>
      <c r="P565" s="787"/>
      <c r="Q565" s="829"/>
      <c r="R565" s="852"/>
      <c r="S565" s="851"/>
      <c r="T565" s="787"/>
      <c r="U565" s="829"/>
      <c r="V565" s="852"/>
      <c r="W565" s="851"/>
      <c r="X565" s="787"/>
      <c r="Y565" s="829"/>
      <c r="Z565" s="852"/>
      <c r="AA565" s="851"/>
      <c r="AB565" s="787"/>
      <c r="AC565" s="829"/>
      <c r="AD565" s="852"/>
      <c r="AE565" s="851"/>
      <c r="AF565" s="787"/>
      <c r="AG565" s="355">
        <v>2430</v>
      </c>
      <c r="AL565" s="123"/>
    </row>
    <row r="566" spans="1:38" x14ac:dyDescent="0.4">
      <c r="A566" s="65"/>
      <c r="B566" s="356">
        <v>2435</v>
      </c>
      <c r="C566" s="851"/>
      <c r="D566" s="787"/>
      <c r="E566" s="829"/>
      <c r="F566" s="852"/>
      <c r="G566" s="851"/>
      <c r="H566" s="787"/>
      <c r="I566" s="829"/>
      <c r="J566" s="852"/>
      <c r="K566" s="851"/>
      <c r="L566" s="787"/>
      <c r="M566" s="829"/>
      <c r="N566" s="852"/>
      <c r="O566" s="851"/>
      <c r="P566" s="787"/>
      <c r="Q566" s="829"/>
      <c r="R566" s="852"/>
      <c r="S566" s="851"/>
      <c r="T566" s="787"/>
      <c r="U566" s="829"/>
      <c r="V566" s="852"/>
      <c r="W566" s="851"/>
      <c r="X566" s="787"/>
      <c r="Y566" s="829"/>
      <c r="Z566" s="852"/>
      <c r="AA566" s="851"/>
      <c r="AB566" s="787"/>
      <c r="AC566" s="829"/>
      <c r="AD566" s="852"/>
      <c r="AE566" s="851"/>
      <c r="AF566" s="787"/>
      <c r="AG566" s="355">
        <v>2435</v>
      </c>
      <c r="AL566" s="123"/>
    </row>
    <row r="567" spans="1:38" x14ac:dyDescent="0.4">
      <c r="A567" s="65"/>
      <c r="B567" s="356">
        <v>2440</v>
      </c>
      <c r="C567" s="851"/>
      <c r="D567" s="787"/>
      <c r="E567" s="829"/>
      <c r="F567" s="852"/>
      <c r="G567" s="851"/>
      <c r="H567" s="787"/>
      <c r="I567" s="829"/>
      <c r="J567" s="852"/>
      <c r="K567" s="851"/>
      <c r="L567" s="787"/>
      <c r="M567" s="829"/>
      <c r="N567" s="852"/>
      <c r="O567" s="851"/>
      <c r="P567" s="787"/>
      <c r="Q567" s="829"/>
      <c r="R567" s="852"/>
      <c r="S567" s="851"/>
      <c r="T567" s="787"/>
      <c r="U567" s="829"/>
      <c r="V567" s="852"/>
      <c r="W567" s="851"/>
      <c r="X567" s="787"/>
      <c r="Y567" s="829"/>
      <c r="Z567" s="852"/>
      <c r="AA567" s="851"/>
      <c r="AB567" s="787"/>
      <c r="AC567" s="829"/>
      <c r="AD567" s="852"/>
      <c r="AE567" s="851"/>
      <c r="AF567" s="787"/>
      <c r="AG567" s="355">
        <v>2440</v>
      </c>
      <c r="AL567" s="123"/>
    </row>
    <row r="568" spans="1:38" x14ac:dyDescent="0.4">
      <c r="A568" s="65"/>
      <c r="B568" s="356">
        <v>2445</v>
      </c>
      <c r="C568" s="851"/>
      <c r="D568" s="787"/>
      <c r="E568" s="829"/>
      <c r="F568" s="852"/>
      <c r="G568" s="851"/>
      <c r="H568" s="787"/>
      <c r="I568" s="829"/>
      <c r="J568" s="852"/>
      <c r="K568" s="851"/>
      <c r="L568" s="787"/>
      <c r="M568" s="829"/>
      <c r="N568" s="852"/>
      <c r="O568" s="851"/>
      <c r="P568" s="787"/>
      <c r="Q568" s="829"/>
      <c r="R568" s="852"/>
      <c r="S568" s="851"/>
      <c r="T568" s="787"/>
      <c r="U568" s="829"/>
      <c r="V568" s="852"/>
      <c r="W568" s="851"/>
      <c r="X568" s="787"/>
      <c r="Y568" s="829"/>
      <c r="Z568" s="852"/>
      <c r="AA568" s="851"/>
      <c r="AB568" s="787"/>
      <c r="AC568" s="829"/>
      <c r="AD568" s="852"/>
      <c r="AE568" s="851"/>
      <c r="AF568" s="787"/>
      <c r="AG568" s="355">
        <v>2445</v>
      </c>
      <c r="AL568" s="123"/>
    </row>
    <row r="569" spans="1:38" x14ac:dyDescent="0.4">
      <c r="A569" s="65"/>
      <c r="B569" s="356">
        <v>2450</v>
      </c>
      <c r="C569" s="851"/>
      <c r="D569" s="787"/>
      <c r="E569" s="829"/>
      <c r="F569" s="852"/>
      <c r="G569" s="851"/>
      <c r="H569" s="787"/>
      <c r="I569" s="829"/>
      <c r="J569" s="852"/>
      <c r="K569" s="851"/>
      <c r="L569" s="787"/>
      <c r="M569" s="829"/>
      <c r="N569" s="852"/>
      <c r="O569" s="851"/>
      <c r="P569" s="787"/>
      <c r="Q569" s="829"/>
      <c r="R569" s="852"/>
      <c r="S569" s="851"/>
      <c r="T569" s="787"/>
      <c r="U569" s="829"/>
      <c r="V569" s="852"/>
      <c r="W569" s="851"/>
      <c r="X569" s="787"/>
      <c r="Y569" s="829"/>
      <c r="Z569" s="852"/>
      <c r="AA569" s="851"/>
      <c r="AB569" s="787"/>
      <c r="AC569" s="829"/>
      <c r="AD569" s="852"/>
      <c r="AE569" s="851"/>
      <c r="AF569" s="787"/>
      <c r="AG569" s="355">
        <v>2450</v>
      </c>
      <c r="AL569" s="123"/>
    </row>
    <row r="570" spans="1:38" x14ac:dyDescent="0.4">
      <c r="A570" s="65"/>
      <c r="B570" s="356">
        <v>2455</v>
      </c>
      <c r="C570" s="851"/>
      <c r="D570" s="787"/>
      <c r="E570" s="829"/>
      <c r="F570" s="852"/>
      <c r="G570" s="851"/>
      <c r="H570" s="787"/>
      <c r="I570" s="829"/>
      <c r="J570" s="852"/>
      <c r="K570" s="851"/>
      <c r="L570" s="787"/>
      <c r="M570" s="829"/>
      <c r="N570" s="852"/>
      <c r="O570" s="851"/>
      <c r="P570" s="787"/>
      <c r="Q570" s="829"/>
      <c r="R570" s="852"/>
      <c r="S570" s="851"/>
      <c r="T570" s="787"/>
      <c r="U570" s="829"/>
      <c r="V570" s="852"/>
      <c r="W570" s="851"/>
      <c r="X570" s="787"/>
      <c r="Y570" s="829"/>
      <c r="Z570" s="852"/>
      <c r="AA570" s="851"/>
      <c r="AB570" s="787"/>
      <c r="AC570" s="829"/>
      <c r="AD570" s="852"/>
      <c r="AE570" s="851"/>
      <c r="AF570" s="787"/>
      <c r="AG570" s="355">
        <v>2455</v>
      </c>
      <c r="AL570" s="123"/>
    </row>
    <row r="571" spans="1:38" x14ac:dyDescent="0.4">
      <c r="A571" s="65"/>
      <c r="B571" s="356">
        <v>2460</v>
      </c>
      <c r="C571" s="851"/>
      <c r="D571" s="787"/>
      <c r="E571" s="829"/>
      <c r="F571" s="852"/>
      <c r="G571" s="851"/>
      <c r="H571" s="787"/>
      <c r="I571" s="829"/>
      <c r="J571" s="852"/>
      <c r="K571" s="851"/>
      <c r="L571" s="787"/>
      <c r="M571" s="829"/>
      <c r="N571" s="852"/>
      <c r="O571" s="851"/>
      <c r="P571" s="787"/>
      <c r="Q571" s="829"/>
      <c r="R571" s="852"/>
      <c r="S571" s="851"/>
      <c r="T571" s="787"/>
      <c r="U571" s="829"/>
      <c r="V571" s="852"/>
      <c r="W571" s="851"/>
      <c r="X571" s="787"/>
      <c r="Y571" s="829"/>
      <c r="Z571" s="852"/>
      <c r="AA571" s="851"/>
      <c r="AB571" s="787"/>
      <c r="AC571" s="829"/>
      <c r="AD571" s="852"/>
      <c r="AE571" s="851"/>
      <c r="AF571" s="787"/>
      <c r="AG571" s="355">
        <v>2460</v>
      </c>
      <c r="AL571" s="123"/>
    </row>
    <row r="572" spans="1:38" x14ac:dyDescent="0.4">
      <c r="A572" s="65"/>
      <c r="B572" s="356">
        <v>2465</v>
      </c>
      <c r="C572" s="851"/>
      <c r="D572" s="787"/>
      <c r="E572" s="829"/>
      <c r="F572" s="852"/>
      <c r="G572" s="851"/>
      <c r="H572" s="787"/>
      <c r="I572" s="829"/>
      <c r="J572" s="852"/>
      <c r="K572" s="851"/>
      <c r="L572" s="787"/>
      <c r="M572" s="829"/>
      <c r="N572" s="852"/>
      <c r="O572" s="851"/>
      <c r="P572" s="787"/>
      <c r="Q572" s="829"/>
      <c r="R572" s="852"/>
      <c r="S572" s="851"/>
      <c r="T572" s="787"/>
      <c r="U572" s="829"/>
      <c r="V572" s="852"/>
      <c r="W572" s="851"/>
      <c r="X572" s="787"/>
      <c r="Y572" s="829"/>
      <c r="Z572" s="852"/>
      <c r="AA572" s="851"/>
      <c r="AB572" s="787"/>
      <c r="AC572" s="829"/>
      <c r="AD572" s="852"/>
      <c r="AE572" s="851"/>
      <c r="AF572" s="787"/>
      <c r="AG572" s="355">
        <v>2465</v>
      </c>
      <c r="AL572" s="123"/>
    </row>
    <row r="573" spans="1:38" x14ac:dyDescent="0.4">
      <c r="A573" s="65"/>
      <c r="B573" s="356">
        <v>2470</v>
      </c>
      <c r="C573" s="851"/>
      <c r="D573" s="787"/>
      <c r="E573" s="829"/>
      <c r="F573" s="852"/>
      <c r="G573" s="851"/>
      <c r="H573" s="787"/>
      <c r="I573" s="829"/>
      <c r="J573" s="852"/>
      <c r="K573" s="851"/>
      <c r="L573" s="787"/>
      <c r="M573" s="829"/>
      <c r="N573" s="852"/>
      <c r="O573" s="851"/>
      <c r="P573" s="787"/>
      <c r="Q573" s="829"/>
      <c r="R573" s="852"/>
      <c r="S573" s="851"/>
      <c r="T573" s="787"/>
      <c r="U573" s="829"/>
      <c r="V573" s="852"/>
      <c r="W573" s="851"/>
      <c r="X573" s="787"/>
      <c r="Y573" s="829"/>
      <c r="Z573" s="852"/>
      <c r="AA573" s="851"/>
      <c r="AB573" s="787"/>
      <c r="AC573" s="829"/>
      <c r="AD573" s="852"/>
      <c r="AE573" s="851"/>
      <c r="AF573" s="787"/>
      <c r="AG573" s="355">
        <v>2470</v>
      </c>
      <c r="AL573" s="123"/>
    </row>
    <row r="574" spans="1:38" x14ac:dyDescent="0.4">
      <c r="A574" s="65"/>
      <c r="B574" s="356">
        <v>2475</v>
      </c>
      <c r="C574" s="851"/>
      <c r="D574" s="787"/>
      <c r="E574" s="829"/>
      <c r="F574" s="852"/>
      <c r="G574" s="851"/>
      <c r="H574" s="787"/>
      <c r="I574" s="829"/>
      <c r="J574" s="852"/>
      <c r="K574" s="851"/>
      <c r="L574" s="787"/>
      <c r="M574" s="829"/>
      <c r="N574" s="852"/>
      <c r="O574" s="851"/>
      <c r="P574" s="787"/>
      <c r="Q574" s="829"/>
      <c r="R574" s="852"/>
      <c r="S574" s="851"/>
      <c r="T574" s="787"/>
      <c r="U574" s="829"/>
      <c r="V574" s="852"/>
      <c r="W574" s="851"/>
      <c r="X574" s="787"/>
      <c r="Y574" s="829"/>
      <c r="Z574" s="852"/>
      <c r="AA574" s="851"/>
      <c r="AB574" s="787"/>
      <c r="AC574" s="829"/>
      <c r="AD574" s="852"/>
      <c r="AE574" s="851"/>
      <c r="AF574" s="787"/>
      <c r="AG574" s="355">
        <v>2475</v>
      </c>
      <c r="AL574" s="123"/>
    </row>
    <row r="575" spans="1:38" x14ac:dyDescent="0.4">
      <c r="A575" s="65"/>
      <c r="B575" s="356">
        <v>2480</v>
      </c>
      <c r="C575" s="851"/>
      <c r="D575" s="787"/>
      <c r="E575" s="829"/>
      <c r="F575" s="852"/>
      <c r="G575" s="851"/>
      <c r="H575" s="787"/>
      <c r="I575" s="829"/>
      <c r="J575" s="852"/>
      <c r="K575" s="851"/>
      <c r="L575" s="787"/>
      <c r="M575" s="829"/>
      <c r="N575" s="852"/>
      <c r="O575" s="851"/>
      <c r="P575" s="787"/>
      <c r="Q575" s="829"/>
      <c r="R575" s="852"/>
      <c r="S575" s="851"/>
      <c r="T575" s="787"/>
      <c r="U575" s="829"/>
      <c r="V575" s="852"/>
      <c r="W575" s="851"/>
      <c r="X575" s="787"/>
      <c r="Y575" s="829"/>
      <c r="Z575" s="852"/>
      <c r="AA575" s="851"/>
      <c r="AB575" s="787"/>
      <c r="AC575" s="829"/>
      <c r="AD575" s="852"/>
      <c r="AE575" s="851"/>
      <c r="AF575" s="787"/>
      <c r="AG575" s="355">
        <v>2480</v>
      </c>
      <c r="AL575" s="123"/>
    </row>
    <row r="576" spans="1:38" x14ac:dyDescent="0.4">
      <c r="A576" s="65"/>
      <c r="B576" s="356">
        <v>2485</v>
      </c>
      <c r="C576" s="851"/>
      <c r="D576" s="787"/>
      <c r="E576" s="829"/>
      <c r="F576" s="852"/>
      <c r="G576" s="851"/>
      <c r="H576" s="787"/>
      <c r="I576" s="829"/>
      <c r="J576" s="852"/>
      <c r="K576" s="851"/>
      <c r="L576" s="787"/>
      <c r="M576" s="829"/>
      <c r="N576" s="852"/>
      <c r="O576" s="851"/>
      <c r="P576" s="787"/>
      <c r="Q576" s="829"/>
      <c r="R576" s="852"/>
      <c r="S576" s="851"/>
      <c r="T576" s="787"/>
      <c r="U576" s="829"/>
      <c r="V576" s="852"/>
      <c r="W576" s="851"/>
      <c r="X576" s="787"/>
      <c r="Y576" s="829"/>
      <c r="Z576" s="852"/>
      <c r="AA576" s="851"/>
      <c r="AB576" s="787"/>
      <c r="AC576" s="829"/>
      <c r="AD576" s="852"/>
      <c r="AE576" s="851"/>
      <c r="AF576" s="787"/>
      <c r="AG576" s="355">
        <v>2485</v>
      </c>
      <c r="AL576" s="123"/>
    </row>
    <row r="577" spans="1:38" x14ac:dyDescent="0.4">
      <c r="A577" s="65"/>
      <c r="B577" s="356">
        <v>2490</v>
      </c>
      <c r="C577" s="851"/>
      <c r="D577" s="787"/>
      <c r="E577" s="829"/>
      <c r="F577" s="852"/>
      <c r="G577" s="851"/>
      <c r="H577" s="787"/>
      <c r="I577" s="829"/>
      <c r="J577" s="852"/>
      <c r="K577" s="851"/>
      <c r="L577" s="787"/>
      <c r="M577" s="829"/>
      <c r="N577" s="852"/>
      <c r="O577" s="851"/>
      <c r="P577" s="787"/>
      <c r="Q577" s="829"/>
      <c r="R577" s="852"/>
      <c r="S577" s="851"/>
      <c r="T577" s="787"/>
      <c r="U577" s="829"/>
      <c r="V577" s="852"/>
      <c r="W577" s="851"/>
      <c r="X577" s="787"/>
      <c r="Y577" s="829"/>
      <c r="Z577" s="852"/>
      <c r="AA577" s="851"/>
      <c r="AB577" s="787"/>
      <c r="AC577" s="829"/>
      <c r="AD577" s="852"/>
      <c r="AE577" s="851"/>
      <c r="AF577" s="787"/>
      <c r="AG577" s="355">
        <v>2490</v>
      </c>
      <c r="AL577" s="123"/>
    </row>
    <row r="578" spans="1:38" x14ac:dyDescent="0.4">
      <c r="A578" s="65"/>
      <c r="B578" s="356">
        <v>2495</v>
      </c>
      <c r="C578" s="851"/>
      <c r="D578" s="787"/>
      <c r="E578" s="829"/>
      <c r="F578" s="852"/>
      <c r="G578" s="851"/>
      <c r="H578" s="787"/>
      <c r="I578" s="829"/>
      <c r="J578" s="852"/>
      <c r="K578" s="851"/>
      <c r="L578" s="787"/>
      <c r="M578" s="829"/>
      <c r="N578" s="852"/>
      <c r="O578" s="851"/>
      <c r="P578" s="787"/>
      <c r="Q578" s="829"/>
      <c r="R578" s="852"/>
      <c r="S578" s="851"/>
      <c r="T578" s="787"/>
      <c r="U578" s="829"/>
      <c r="V578" s="852"/>
      <c r="W578" s="851"/>
      <c r="X578" s="787"/>
      <c r="Y578" s="829"/>
      <c r="Z578" s="852"/>
      <c r="AA578" s="851"/>
      <c r="AB578" s="787"/>
      <c r="AC578" s="829"/>
      <c r="AD578" s="852"/>
      <c r="AE578" s="851"/>
      <c r="AF578" s="787"/>
      <c r="AG578" s="355">
        <v>2495</v>
      </c>
      <c r="AL578" s="123"/>
    </row>
    <row r="579" spans="1:38" x14ac:dyDescent="0.4">
      <c r="A579" s="65"/>
      <c r="B579" s="356">
        <v>2500</v>
      </c>
      <c r="C579" s="851"/>
      <c r="D579" s="787"/>
      <c r="E579" s="829"/>
      <c r="F579" s="852"/>
      <c r="G579" s="851"/>
      <c r="H579" s="787"/>
      <c r="I579" s="829"/>
      <c r="J579" s="852"/>
      <c r="K579" s="851"/>
      <c r="L579" s="787"/>
      <c r="M579" s="829"/>
      <c r="N579" s="852"/>
      <c r="O579" s="851"/>
      <c r="P579" s="787"/>
      <c r="Q579" s="829"/>
      <c r="R579" s="852"/>
      <c r="S579" s="851"/>
      <c r="T579" s="787"/>
      <c r="U579" s="829"/>
      <c r="V579" s="852"/>
      <c r="W579" s="851"/>
      <c r="X579" s="787"/>
      <c r="Y579" s="829"/>
      <c r="Z579" s="852"/>
      <c r="AA579" s="851"/>
      <c r="AB579" s="787"/>
      <c r="AC579" s="829"/>
      <c r="AD579" s="852"/>
      <c r="AE579" s="851"/>
      <c r="AF579" s="787"/>
      <c r="AG579" s="355">
        <v>2500</v>
      </c>
      <c r="AL579" s="123"/>
    </row>
    <row r="580" spans="1:38" x14ac:dyDescent="0.4">
      <c r="A580" s="65"/>
      <c r="B580" s="356">
        <v>2505</v>
      </c>
      <c r="C580" s="851"/>
      <c r="D580" s="787"/>
      <c r="E580" s="829"/>
      <c r="F580" s="852"/>
      <c r="G580" s="851"/>
      <c r="H580" s="787"/>
      <c r="I580" s="829"/>
      <c r="J580" s="852"/>
      <c r="K580" s="851"/>
      <c r="L580" s="787"/>
      <c r="M580" s="829"/>
      <c r="N580" s="852"/>
      <c r="O580" s="851"/>
      <c r="P580" s="787"/>
      <c r="Q580" s="829"/>
      <c r="R580" s="852"/>
      <c r="S580" s="851"/>
      <c r="T580" s="787"/>
      <c r="U580" s="829"/>
      <c r="V580" s="852"/>
      <c r="W580" s="851"/>
      <c r="X580" s="787"/>
      <c r="Y580" s="829"/>
      <c r="Z580" s="852"/>
      <c r="AA580" s="851"/>
      <c r="AB580" s="787"/>
      <c r="AC580" s="829"/>
      <c r="AD580" s="852"/>
      <c r="AE580" s="851"/>
      <c r="AF580" s="787"/>
      <c r="AG580" s="355">
        <v>2505</v>
      </c>
      <c r="AL580" s="123"/>
    </row>
    <row r="581" spans="1:38" x14ac:dyDescent="0.4">
      <c r="A581" s="65"/>
      <c r="B581" s="356">
        <v>2510</v>
      </c>
      <c r="C581" s="851"/>
      <c r="D581" s="787"/>
      <c r="E581" s="829"/>
      <c r="F581" s="852"/>
      <c r="G581" s="851"/>
      <c r="H581" s="787"/>
      <c r="I581" s="829"/>
      <c r="J581" s="852"/>
      <c r="K581" s="851"/>
      <c r="L581" s="787"/>
      <c r="M581" s="829"/>
      <c r="N581" s="852"/>
      <c r="O581" s="851"/>
      <c r="P581" s="787"/>
      <c r="Q581" s="829"/>
      <c r="R581" s="852"/>
      <c r="S581" s="851"/>
      <c r="T581" s="787"/>
      <c r="U581" s="829"/>
      <c r="V581" s="852"/>
      <c r="W581" s="851"/>
      <c r="X581" s="787"/>
      <c r="Y581" s="829"/>
      <c r="Z581" s="852"/>
      <c r="AA581" s="851"/>
      <c r="AB581" s="787"/>
      <c r="AC581" s="829"/>
      <c r="AD581" s="852"/>
      <c r="AE581" s="851"/>
      <c r="AF581" s="787"/>
      <c r="AG581" s="355">
        <v>2510</v>
      </c>
      <c r="AL581" s="123"/>
    </row>
    <row r="582" spans="1:38" x14ac:dyDescent="0.4">
      <c r="A582" s="65"/>
      <c r="B582" s="356">
        <v>2515</v>
      </c>
      <c r="C582" s="851"/>
      <c r="D582" s="787"/>
      <c r="E582" s="829"/>
      <c r="F582" s="852"/>
      <c r="G582" s="851"/>
      <c r="H582" s="787"/>
      <c r="I582" s="829"/>
      <c r="J582" s="852"/>
      <c r="K582" s="851"/>
      <c r="L582" s="787"/>
      <c r="M582" s="829"/>
      <c r="N582" s="852"/>
      <c r="O582" s="851"/>
      <c r="P582" s="787"/>
      <c r="Q582" s="829"/>
      <c r="R582" s="852"/>
      <c r="S582" s="851"/>
      <c r="T582" s="787"/>
      <c r="U582" s="829"/>
      <c r="V582" s="852"/>
      <c r="W582" s="851"/>
      <c r="X582" s="787"/>
      <c r="Y582" s="829"/>
      <c r="Z582" s="852"/>
      <c r="AA582" s="851"/>
      <c r="AB582" s="787"/>
      <c r="AC582" s="829"/>
      <c r="AD582" s="852"/>
      <c r="AE582" s="851"/>
      <c r="AF582" s="787"/>
      <c r="AG582" s="355">
        <v>2515</v>
      </c>
      <c r="AL582" s="123"/>
    </row>
    <row r="583" spans="1:38" x14ac:dyDescent="0.4">
      <c r="A583" s="65"/>
      <c r="B583" s="356">
        <v>2520</v>
      </c>
      <c r="C583" s="851"/>
      <c r="D583" s="787"/>
      <c r="E583" s="829"/>
      <c r="F583" s="852"/>
      <c r="G583" s="851"/>
      <c r="H583" s="787"/>
      <c r="I583" s="829"/>
      <c r="J583" s="852"/>
      <c r="K583" s="851"/>
      <c r="L583" s="787"/>
      <c r="M583" s="829"/>
      <c r="N583" s="852"/>
      <c r="O583" s="851"/>
      <c r="P583" s="787"/>
      <c r="Q583" s="829"/>
      <c r="R583" s="852"/>
      <c r="S583" s="851"/>
      <c r="T583" s="787"/>
      <c r="U583" s="829"/>
      <c r="V583" s="852"/>
      <c r="W583" s="851"/>
      <c r="X583" s="787"/>
      <c r="Y583" s="829"/>
      <c r="Z583" s="852"/>
      <c r="AA583" s="851"/>
      <c r="AB583" s="787"/>
      <c r="AC583" s="829"/>
      <c r="AD583" s="852"/>
      <c r="AE583" s="851"/>
      <c r="AF583" s="787"/>
      <c r="AG583" s="355">
        <v>2520</v>
      </c>
      <c r="AL583" s="123"/>
    </row>
    <row r="584" spans="1:38" x14ac:dyDescent="0.4">
      <c r="A584" s="65"/>
      <c r="B584" s="356">
        <v>2525</v>
      </c>
      <c r="C584" s="851"/>
      <c r="D584" s="787"/>
      <c r="E584" s="829"/>
      <c r="F584" s="852"/>
      <c r="G584" s="851"/>
      <c r="H584" s="787"/>
      <c r="I584" s="829"/>
      <c r="J584" s="852"/>
      <c r="K584" s="851"/>
      <c r="L584" s="787"/>
      <c r="M584" s="829"/>
      <c r="N584" s="852"/>
      <c r="O584" s="851"/>
      <c r="P584" s="787"/>
      <c r="Q584" s="829"/>
      <c r="R584" s="852"/>
      <c r="S584" s="851"/>
      <c r="T584" s="787"/>
      <c r="U584" s="829"/>
      <c r="V584" s="852"/>
      <c r="W584" s="851"/>
      <c r="X584" s="787"/>
      <c r="Y584" s="829"/>
      <c r="Z584" s="852"/>
      <c r="AA584" s="851"/>
      <c r="AB584" s="787"/>
      <c r="AC584" s="829"/>
      <c r="AD584" s="852"/>
      <c r="AE584" s="851"/>
      <c r="AF584" s="787"/>
      <c r="AG584" s="355">
        <v>2525</v>
      </c>
      <c r="AL584" s="123"/>
    </row>
    <row r="585" spans="1:38" x14ac:dyDescent="0.4">
      <c r="A585" s="65"/>
      <c r="B585" s="356">
        <v>2530</v>
      </c>
      <c r="C585" s="851"/>
      <c r="D585" s="787"/>
      <c r="E585" s="829"/>
      <c r="F585" s="852"/>
      <c r="G585" s="851"/>
      <c r="H585" s="787"/>
      <c r="I585" s="829"/>
      <c r="J585" s="852"/>
      <c r="K585" s="851"/>
      <c r="L585" s="787"/>
      <c r="M585" s="829"/>
      <c r="N585" s="852"/>
      <c r="O585" s="851"/>
      <c r="P585" s="787"/>
      <c r="Q585" s="829"/>
      <c r="R585" s="852"/>
      <c r="S585" s="851"/>
      <c r="T585" s="787"/>
      <c r="U585" s="829"/>
      <c r="V585" s="852"/>
      <c r="W585" s="851"/>
      <c r="X585" s="787"/>
      <c r="Y585" s="829"/>
      <c r="Z585" s="852"/>
      <c r="AA585" s="851"/>
      <c r="AB585" s="787"/>
      <c r="AC585" s="829"/>
      <c r="AD585" s="852"/>
      <c r="AE585" s="851"/>
      <c r="AF585" s="787"/>
      <c r="AG585" s="355">
        <v>2530</v>
      </c>
      <c r="AL585" s="123"/>
    </row>
    <row r="586" spans="1:38" x14ac:dyDescent="0.4">
      <c r="A586" s="65"/>
      <c r="B586" s="356">
        <v>2535</v>
      </c>
      <c r="C586" s="851"/>
      <c r="D586" s="787"/>
      <c r="E586" s="829"/>
      <c r="F586" s="852"/>
      <c r="G586" s="851"/>
      <c r="H586" s="787"/>
      <c r="I586" s="829"/>
      <c r="J586" s="852"/>
      <c r="K586" s="851"/>
      <c r="L586" s="787"/>
      <c r="M586" s="829"/>
      <c r="N586" s="852"/>
      <c r="O586" s="851"/>
      <c r="P586" s="787"/>
      <c r="Q586" s="829"/>
      <c r="R586" s="852"/>
      <c r="S586" s="851"/>
      <c r="T586" s="787"/>
      <c r="U586" s="829"/>
      <c r="V586" s="852"/>
      <c r="W586" s="851"/>
      <c r="X586" s="787"/>
      <c r="Y586" s="829"/>
      <c r="Z586" s="852"/>
      <c r="AA586" s="851"/>
      <c r="AB586" s="787"/>
      <c r="AC586" s="829"/>
      <c r="AD586" s="852"/>
      <c r="AE586" s="851"/>
      <c r="AF586" s="787"/>
      <c r="AG586" s="355">
        <v>2535</v>
      </c>
      <c r="AL586" s="123"/>
    </row>
    <row r="587" spans="1:38" x14ac:dyDescent="0.4">
      <c r="A587" s="65"/>
      <c r="B587" s="356">
        <v>2540</v>
      </c>
      <c r="C587" s="851"/>
      <c r="D587" s="787"/>
      <c r="E587" s="829"/>
      <c r="F587" s="852"/>
      <c r="G587" s="851"/>
      <c r="H587" s="787"/>
      <c r="I587" s="829"/>
      <c r="J587" s="852"/>
      <c r="K587" s="851"/>
      <c r="L587" s="787"/>
      <c r="M587" s="829"/>
      <c r="N587" s="852"/>
      <c r="O587" s="851"/>
      <c r="P587" s="787"/>
      <c r="Q587" s="829"/>
      <c r="R587" s="852"/>
      <c r="S587" s="851"/>
      <c r="T587" s="787"/>
      <c r="U587" s="829"/>
      <c r="V587" s="852"/>
      <c r="W587" s="851"/>
      <c r="X587" s="787"/>
      <c r="Y587" s="829"/>
      <c r="Z587" s="852"/>
      <c r="AA587" s="851"/>
      <c r="AB587" s="787"/>
      <c r="AC587" s="829"/>
      <c r="AD587" s="852"/>
      <c r="AE587" s="851"/>
      <c r="AF587" s="787"/>
      <c r="AG587" s="355">
        <v>2540</v>
      </c>
      <c r="AL587" s="123"/>
    </row>
    <row r="588" spans="1:38" x14ac:dyDescent="0.4">
      <c r="A588" s="65"/>
      <c r="B588" s="356">
        <v>2545</v>
      </c>
      <c r="C588" s="851"/>
      <c r="D588" s="787"/>
      <c r="E588" s="829"/>
      <c r="F588" s="852"/>
      <c r="G588" s="851"/>
      <c r="H588" s="787"/>
      <c r="I588" s="829"/>
      <c r="J588" s="852"/>
      <c r="K588" s="851"/>
      <c r="L588" s="787"/>
      <c r="M588" s="829"/>
      <c r="N588" s="852"/>
      <c r="O588" s="851"/>
      <c r="P588" s="787"/>
      <c r="Q588" s="829"/>
      <c r="R588" s="852"/>
      <c r="S588" s="851"/>
      <c r="T588" s="787"/>
      <c r="U588" s="829"/>
      <c r="V588" s="852"/>
      <c r="W588" s="851"/>
      <c r="X588" s="787"/>
      <c r="Y588" s="829"/>
      <c r="Z588" s="852"/>
      <c r="AA588" s="851"/>
      <c r="AB588" s="787"/>
      <c r="AC588" s="829"/>
      <c r="AD588" s="852"/>
      <c r="AE588" s="851"/>
      <c r="AF588" s="787"/>
      <c r="AG588" s="355">
        <v>2545</v>
      </c>
      <c r="AL588" s="123"/>
    </row>
    <row r="589" spans="1:38" x14ac:dyDescent="0.4">
      <c r="A589" s="65"/>
      <c r="B589" s="356">
        <v>2550</v>
      </c>
      <c r="C589" s="851"/>
      <c r="D589" s="787"/>
      <c r="E589" s="829"/>
      <c r="F589" s="852"/>
      <c r="G589" s="851"/>
      <c r="H589" s="787"/>
      <c r="I589" s="829"/>
      <c r="J589" s="852"/>
      <c r="K589" s="851"/>
      <c r="L589" s="787"/>
      <c r="M589" s="829"/>
      <c r="N589" s="852"/>
      <c r="O589" s="851"/>
      <c r="P589" s="787"/>
      <c r="Q589" s="829"/>
      <c r="R589" s="852"/>
      <c r="S589" s="851"/>
      <c r="T589" s="787"/>
      <c r="U589" s="829"/>
      <c r="V589" s="852"/>
      <c r="W589" s="851"/>
      <c r="X589" s="787"/>
      <c r="Y589" s="829"/>
      <c r="Z589" s="852"/>
      <c r="AA589" s="851"/>
      <c r="AB589" s="787"/>
      <c r="AC589" s="829"/>
      <c r="AD589" s="852"/>
      <c r="AE589" s="851"/>
      <c r="AF589" s="787"/>
      <c r="AG589" s="355">
        <v>2550</v>
      </c>
      <c r="AL589" s="123"/>
    </row>
    <row r="590" spans="1:38" x14ac:dyDescent="0.4">
      <c r="A590" s="65"/>
      <c r="B590" s="356">
        <v>2555</v>
      </c>
      <c r="C590" s="851"/>
      <c r="D590" s="787"/>
      <c r="E590" s="829"/>
      <c r="F590" s="852"/>
      <c r="G590" s="851"/>
      <c r="H590" s="787"/>
      <c r="I590" s="829"/>
      <c r="J590" s="852"/>
      <c r="K590" s="851"/>
      <c r="L590" s="787"/>
      <c r="M590" s="829"/>
      <c r="N590" s="852"/>
      <c r="O590" s="851"/>
      <c r="P590" s="787"/>
      <c r="Q590" s="829"/>
      <c r="R590" s="852"/>
      <c r="S590" s="851"/>
      <c r="T590" s="787"/>
      <c r="U590" s="829"/>
      <c r="V590" s="852"/>
      <c r="W590" s="851"/>
      <c r="X590" s="787"/>
      <c r="Y590" s="829"/>
      <c r="Z590" s="852"/>
      <c r="AA590" s="851"/>
      <c r="AB590" s="787"/>
      <c r="AC590" s="829"/>
      <c r="AD590" s="852"/>
      <c r="AE590" s="851"/>
      <c r="AF590" s="787"/>
      <c r="AG590" s="355">
        <v>2555</v>
      </c>
      <c r="AL590" s="123"/>
    </row>
    <row r="591" spans="1:38" x14ac:dyDescent="0.4">
      <c r="A591" s="65"/>
      <c r="B591" s="356">
        <v>2560</v>
      </c>
      <c r="C591" s="851"/>
      <c r="D591" s="787"/>
      <c r="E591" s="829"/>
      <c r="F591" s="852"/>
      <c r="G591" s="851"/>
      <c r="H591" s="787"/>
      <c r="I591" s="829"/>
      <c r="J591" s="852"/>
      <c r="K591" s="851"/>
      <c r="L591" s="787"/>
      <c r="M591" s="829"/>
      <c r="N591" s="852"/>
      <c r="O591" s="851"/>
      <c r="P591" s="787"/>
      <c r="Q591" s="829"/>
      <c r="R591" s="852"/>
      <c r="S591" s="851"/>
      <c r="T591" s="787"/>
      <c r="U591" s="829"/>
      <c r="V591" s="852"/>
      <c r="W591" s="851"/>
      <c r="X591" s="787"/>
      <c r="Y591" s="829"/>
      <c r="Z591" s="852"/>
      <c r="AA591" s="851"/>
      <c r="AB591" s="787"/>
      <c r="AC591" s="829"/>
      <c r="AD591" s="852"/>
      <c r="AE591" s="851"/>
      <c r="AF591" s="787"/>
      <c r="AG591" s="355">
        <v>2560</v>
      </c>
      <c r="AL591" s="123"/>
    </row>
    <row r="592" spans="1:38" x14ac:dyDescent="0.4">
      <c r="A592" s="65"/>
      <c r="B592" s="356">
        <v>2565</v>
      </c>
      <c r="C592" s="851"/>
      <c r="D592" s="787"/>
      <c r="E592" s="829"/>
      <c r="F592" s="852"/>
      <c r="G592" s="851"/>
      <c r="H592" s="787"/>
      <c r="I592" s="829"/>
      <c r="J592" s="852"/>
      <c r="K592" s="851"/>
      <c r="L592" s="787"/>
      <c r="M592" s="829"/>
      <c r="N592" s="852"/>
      <c r="O592" s="851"/>
      <c r="P592" s="787"/>
      <c r="Q592" s="829"/>
      <c r="R592" s="852"/>
      <c r="S592" s="851"/>
      <c r="T592" s="787"/>
      <c r="U592" s="829"/>
      <c r="V592" s="852"/>
      <c r="W592" s="851"/>
      <c r="X592" s="787"/>
      <c r="Y592" s="829"/>
      <c r="Z592" s="852"/>
      <c r="AA592" s="851"/>
      <c r="AB592" s="787"/>
      <c r="AC592" s="829"/>
      <c r="AD592" s="852"/>
      <c r="AE592" s="851"/>
      <c r="AF592" s="787"/>
      <c r="AG592" s="355">
        <v>2565</v>
      </c>
      <c r="AL592" s="123"/>
    </row>
    <row r="593" spans="1:38" x14ac:dyDescent="0.4">
      <c r="A593" s="65"/>
      <c r="B593" s="356">
        <v>2570</v>
      </c>
      <c r="C593" s="851"/>
      <c r="D593" s="787"/>
      <c r="E593" s="829"/>
      <c r="F593" s="852"/>
      <c r="G593" s="851"/>
      <c r="H593" s="787"/>
      <c r="I593" s="829"/>
      <c r="J593" s="852"/>
      <c r="K593" s="851"/>
      <c r="L593" s="787"/>
      <c r="M593" s="829"/>
      <c r="N593" s="852"/>
      <c r="O593" s="851"/>
      <c r="P593" s="787"/>
      <c r="Q593" s="829"/>
      <c r="R593" s="852"/>
      <c r="S593" s="851"/>
      <c r="T593" s="787"/>
      <c r="U593" s="829"/>
      <c r="V593" s="852"/>
      <c r="W593" s="851"/>
      <c r="X593" s="787"/>
      <c r="Y593" s="829"/>
      <c r="Z593" s="852"/>
      <c r="AA593" s="851"/>
      <c r="AB593" s="787"/>
      <c r="AC593" s="829"/>
      <c r="AD593" s="852"/>
      <c r="AE593" s="851"/>
      <c r="AF593" s="787"/>
      <c r="AG593" s="355">
        <v>2570</v>
      </c>
      <c r="AL593" s="123"/>
    </row>
    <row r="594" spans="1:38" x14ac:dyDescent="0.4">
      <c r="A594" s="65"/>
      <c r="B594" s="356">
        <v>2575</v>
      </c>
      <c r="C594" s="851"/>
      <c r="D594" s="787"/>
      <c r="E594" s="829"/>
      <c r="F594" s="852"/>
      <c r="G594" s="851"/>
      <c r="H594" s="787"/>
      <c r="I594" s="829"/>
      <c r="J594" s="852"/>
      <c r="K594" s="851"/>
      <c r="L594" s="787"/>
      <c r="M594" s="829"/>
      <c r="N594" s="852"/>
      <c r="O594" s="851"/>
      <c r="P594" s="787"/>
      <c r="Q594" s="829"/>
      <c r="R594" s="852"/>
      <c r="S594" s="851"/>
      <c r="T594" s="787"/>
      <c r="U594" s="829"/>
      <c r="V594" s="852"/>
      <c r="W594" s="851"/>
      <c r="X594" s="787"/>
      <c r="Y594" s="829"/>
      <c r="Z594" s="852"/>
      <c r="AA594" s="851"/>
      <c r="AB594" s="787"/>
      <c r="AC594" s="829"/>
      <c r="AD594" s="852"/>
      <c r="AE594" s="851"/>
      <c r="AF594" s="787"/>
      <c r="AG594" s="355">
        <v>2575</v>
      </c>
      <c r="AL594" s="123"/>
    </row>
    <row r="595" spans="1:38" x14ac:dyDescent="0.4">
      <c r="A595" s="65"/>
      <c r="B595" s="356">
        <v>2580</v>
      </c>
      <c r="C595" s="851"/>
      <c r="D595" s="787"/>
      <c r="E595" s="829"/>
      <c r="F595" s="852"/>
      <c r="G595" s="851"/>
      <c r="H595" s="787"/>
      <c r="I595" s="829"/>
      <c r="J595" s="852"/>
      <c r="K595" s="851"/>
      <c r="L595" s="787"/>
      <c r="M595" s="829"/>
      <c r="N595" s="852"/>
      <c r="O595" s="851"/>
      <c r="P595" s="787"/>
      <c r="Q595" s="829"/>
      <c r="R595" s="852"/>
      <c r="S595" s="851"/>
      <c r="T595" s="787"/>
      <c r="U595" s="829"/>
      <c r="V595" s="852"/>
      <c r="W595" s="851"/>
      <c r="X595" s="787"/>
      <c r="Y595" s="829"/>
      <c r="Z595" s="852"/>
      <c r="AA595" s="851"/>
      <c r="AB595" s="787"/>
      <c r="AC595" s="829"/>
      <c r="AD595" s="852"/>
      <c r="AE595" s="851"/>
      <c r="AF595" s="787"/>
      <c r="AG595" s="355">
        <v>2580</v>
      </c>
      <c r="AL595" s="123"/>
    </row>
    <row r="596" spans="1:38" x14ac:dyDescent="0.4">
      <c r="A596" s="65"/>
      <c r="B596" s="356">
        <v>2585</v>
      </c>
      <c r="C596" s="851"/>
      <c r="D596" s="787"/>
      <c r="E596" s="829"/>
      <c r="F596" s="852"/>
      <c r="G596" s="851"/>
      <c r="H596" s="787"/>
      <c r="I596" s="829"/>
      <c r="J596" s="852"/>
      <c r="K596" s="851"/>
      <c r="L596" s="787"/>
      <c r="M596" s="829"/>
      <c r="N596" s="852"/>
      <c r="O596" s="851"/>
      <c r="P596" s="787"/>
      <c r="Q596" s="829"/>
      <c r="R596" s="852"/>
      <c r="S596" s="851"/>
      <c r="T596" s="787"/>
      <c r="U596" s="829"/>
      <c r="V596" s="852"/>
      <c r="W596" s="851"/>
      <c r="X596" s="787"/>
      <c r="Y596" s="829"/>
      <c r="Z596" s="852"/>
      <c r="AA596" s="851"/>
      <c r="AB596" s="787"/>
      <c r="AC596" s="829"/>
      <c r="AD596" s="852"/>
      <c r="AE596" s="851"/>
      <c r="AF596" s="787"/>
      <c r="AG596" s="355">
        <v>2585</v>
      </c>
      <c r="AL596" s="123"/>
    </row>
    <row r="597" spans="1:38" x14ac:dyDescent="0.4">
      <c r="A597" s="65"/>
      <c r="B597" s="356">
        <v>2590</v>
      </c>
      <c r="C597" s="851"/>
      <c r="D597" s="787"/>
      <c r="E597" s="829"/>
      <c r="F597" s="852"/>
      <c r="G597" s="851"/>
      <c r="H597" s="787"/>
      <c r="I597" s="829"/>
      <c r="J597" s="852"/>
      <c r="K597" s="851"/>
      <c r="L597" s="787"/>
      <c r="M597" s="829"/>
      <c r="N597" s="852"/>
      <c r="O597" s="851"/>
      <c r="P597" s="787"/>
      <c r="Q597" s="829"/>
      <c r="R597" s="852"/>
      <c r="S597" s="851"/>
      <c r="T597" s="787"/>
      <c r="U597" s="829"/>
      <c r="V597" s="852"/>
      <c r="W597" s="851"/>
      <c r="X597" s="787"/>
      <c r="Y597" s="829"/>
      <c r="Z597" s="852"/>
      <c r="AA597" s="851"/>
      <c r="AB597" s="787"/>
      <c r="AC597" s="829"/>
      <c r="AD597" s="852"/>
      <c r="AE597" s="851"/>
      <c r="AF597" s="787"/>
      <c r="AG597" s="355">
        <v>2590</v>
      </c>
      <c r="AL597" s="123"/>
    </row>
    <row r="598" spans="1:38" x14ac:dyDescent="0.4">
      <c r="A598" s="65"/>
      <c r="B598" s="356">
        <v>2595</v>
      </c>
      <c r="C598" s="851"/>
      <c r="D598" s="787"/>
      <c r="E598" s="829"/>
      <c r="F598" s="852"/>
      <c r="G598" s="851"/>
      <c r="H598" s="787"/>
      <c r="I598" s="829"/>
      <c r="J598" s="852"/>
      <c r="K598" s="851"/>
      <c r="L598" s="787"/>
      <c r="M598" s="829"/>
      <c r="N598" s="852"/>
      <c r="O598" s="851"/>
      <c r="P598" s="787"/>
      <c r="Q598" s="829"/>
      <c r="R598" s="852"/>
      <c r="S598" s="851"/>
      <c r="T598" s="787"/>
      <c r="U598" s="829"/>
      <c r="V598" s="852"/>
      <c r="W598" s="851"/>
      <c r="X598" s="787"/>
      <c r="Y598" s="829"/>
      <c r="Z598" s="852"/>
      <c r="AA598" s="851"/>
      <c r="AB598" s="787"/>
      <c r="AC598" s="829"/>
      <c r="AD598" s="852"/>
      <c r="AE598" s="851"/>
      <c r="AF598" s="787"/>
      <c r="AG598" s="355">
        <v>2595</v>
      </c>
      <c r="AL598" s="123"/>
    </row>
    <row r="599" spans="1:38" x14ac:dyDescent="0.4">
      <c r="A599" s="65"/>
      <c r="B599" s="356">
        <v>2600</v>
      </c>
      <c r="C599" s="851"/>
      <c r="D599" s="787"/>
      <c r="E599" s="829"/>
      <c r="F599" s="852"/>
      <c r="G599" s="851"/>
      <c r="H599" s="787"/>
      <c r="I599" s="829"/>
      <c r="J599" s="852"/>
      <c r="K599" s="851"/>
      <c r="L599" s="787"/>
      <c r="M599" s="829"/>
      <c r="N599" s="852"/>
      <c r="O599" s="851"/>
      <c r="P599" s="787"/>
      <c r="Q599" s="829"/>
      <c r="R599" s="852"/>
      <c r="S599" s="851"/>
      <c r="T599" s="787"/>
      <c r="U599" s="829"/>
      <c r="V599" s="852"/>
      <c r="W599" s="851"/>
      <c r="X599" s="787"/>
      <c r="Y599" s="829"/>
      <c r="Z599" s="852"/>
      <c r="AA599" s="851"/>
      <c r="AB599" s="787"/>
      <c r="AC599" s="829"/>
      <c r="AD599" s="852"/>
      <c r="AE599" s="851"/>
      <c r="AF599" s="787"/>
      <c r="AG599" s="355">
        <v>2600</v>
      </c>
      <c r="AL599" s="123"/>
    </row>
    <row r="600" spans="1:38" x14ac:dyDescent="0.4">
      <c r="A600" s="65"/>
      <c r="B600" s="356">
        <v>2605</v>
      </c>
      <c r="C600" s="851"/>
      <c r="D600" s="787"/>
      <c r="E600" s="829"/>
      <c r="F600" s="852"/>
      <c r="G600" s="851"/>
      <c r="H600" s="787"/>
      <c r="I600" s="829"/>
      <c r="J600" s="852"/>
      <c r="K600" s="851"/>
      <c r="L600" s="787"/>
      <c r="M600" s="829"/>
      <c r="N600" s="852"/>
      <c r="O600" s="851"/>
      <c r="P600" s="787"/>
      <c r="Q600" s="829"/>
      <c r="R600" s="852"/>
      <c r="S600" s="851"/>
      <c r="T600" s="787"/>
      <c r="U600" s="829"/>
      <c r="V600" s="852"/>
      <c r="W600" s="851"/>
      <c r="X600" s="787"/>
      <c r="Y600" s="829"/>
      <c r="Z600" s="852"/>
      <c r="AA600" s="851"/>
      <c r="AB600" s="787"/>
      <c r="AC600" s="829"/>
      <c r="AD600" s="852"/>
      <c r="AE600" s="851"/>
      <c r="AF600" s="787"/>
      <c r="AG600" s="355">
        <v>2605</v>
      </c>
      <c r="AL600" s="123"/>
    </row>
    <row r="601" spans="1:38" x14ac:dyDescent="0.4">
      <c r="A601" s="65"/>
      <c r="B601" s="356">
        <v>2610</v>
      </c>
      <c r="C601" s="851"/>
      <c r="D601" s="787"/>
      <c r="E601" s="829"/>
      <c r="F601" s="852"/>
      <c r="G601" s="851"/>
      <c r="H601" s="787"/>
      <c r="I601" s="829"/>
      <c r="J601" s="852"/>
      <c r="K601" s="851"/>
      <c r="L601" s="787"/>
      <c r="M601" s="829"/>
      <c r="N601" s="852"/>
      <c r="O601" s="851"/>
      <c r="P601" s="787"/>
      <c r="Q601" s="829"/>
      <c r="R601" s="852"/>
      <c r="S601" s="851"/>
      <c r="T601" s="787"/>
      <c r="U601" s="829"/>
      <c r="V601" s="852"/>
      <c r="W601" s="851"/>
      <c r="X601" s="787"/>
      <c r="Y601" s="829"/>
      <c r="Z601" s="852"/>
      <c r="AA601" s="851"/>
      <c r="AB601" s="787"/>
      <c r="AC601" s="829"/>
      <c r="AD601" s="852"/>
      <c r="AE601" s="851"/>
      <c r="AF601" s="787"/>
      <c r="AG601" s="355">
        <v>2610</v>
      </c>
      <c r="AL601" s="123"/>
    </row>
    <row r="602" spans="1:38" x14ac:dyDescent="0.4">
      <c r="A602" s="65"/>
      <c r="B602" s="356">
        <v>2615</v>
      </c>
      <c r="C602" s="851"/>
      <c r="D602" s="787"/>
      <c r="E602" s="829"/>
      <c r="F602" s="852"/>
      <c r="G602" s="851"/>
      <c r="H602" s="787"/>
      <c r="I602" s="829"/>
      <c r="J602" s="852"/>
      <c r="K602" s="851"/>
      <c r="L602" s="787"/>
      <c r="M602" s="829"/>
      <c r="N602" s="852"/>
      <c r="O602" s="851"/>
      <c r="P602" s="787"/>
      <c r="Q602" s="829"/>
      <c r="R602" s="852"/>
      <c r="S602" s="851"/>
      <c r="T602" s="787"/>
      <c r="U602" s="829"/>
      <c r="V602" s="852"/>
      <c r="W602" s="851"/>
      <c r="X602" s="787"/>
      <c r="Y602" s="829"/>
      <c r="Z602" s="852"/>
      <c r="AA602" s="851"/>
      <c r="AB602" s="787"/>
      <c r="AC602" s="829"/>
      <c r="AD602" s="852"/>
      <c r="AE602" s="851"/>
      <c r="AF602" s="787"/>
      <c r="AG602" s="355">
        <v>2615</v>
      </c>
      <c r="AL602" s="123"/>
    </row>
    <row r="603" spans="1:38" x14ac:dyDescent="0.4">
      <c r="A603" s="65"/>
      <c r="B603" s="356">
        <v>2620</v>
      </c>
      <c r="C603" s="851"/>
      <c r="D603" s="787"/>
      <c r="E603" s="829"/>
      <c r="F603" s="852"/>
      <c r="G603" s="851"/>
      <c r="H603" s="787"/>
      <c r="I603" s="829"/>
      <c r="J603" s="852"/>
      <c r="K603" s="851"/>
      <c r="L603" s="787"/>
      <c r="M603" s="829"/>
      <c r="N603" s="852"/>
      <c r="O603" s="851"/>
      <c r="P603" s="787"/>
      <c r="Q603" s="829"/>
      <c r="R603" s="852"/>
      <c r="S603" s="851"/>
      <c r="T603" s="787"/>
      <c r="U603" s="829"/>
      <c r="V603" s="852"/>
      <c r="W603" s="851"/>
      <c r="X603" s="787"/>
      <c r="Y603" s="829"/>
      <c r="Z603" s="852"/>
      <c r="AA603" s="851"/>
      <c r="AB603" s="787"/>
      <c r="AC603" s="829"/>
      <c r="AD603" s="852"/>
      <c r="AE603" s="851"/>
      <c r="AF603" s="787"/>
      <c r="AG603" s="355">
        <v>2620</v>
      </c>
      <c r="AL603" s="123"/>
    </row>
    <row r="604" spans="1:38" x14ac:dyDescent="0.4">
      <c r="A604" s="65"/>
      <c r="B604" s="356">
        <v>2625</v>
      </c>
      <c r="C604" s="851"/>
      <c r="D604" s="787"/>
      <c r="E604" s="829"/>
      <c r="F604" s="852"/>
      <c r="G604" s="851"/>
      <c r="H604" s="787"/>
      <c r="I604" s="829"/>
      <c r="J604" s="852"/>
      <c r="K604" s="851"/>
      <c r="L604" s="787"/>
      <c r="M604" s="829"/>
      <c r="N604" s="852"/>
      <c r="O604" s="851"/>
      <c r="P604" s="787"/>
      <c r="Q604" s="829"/>
      <c r="R604" s="852"/>
      <c r="S604" s="851"/>
      <c r="T604" s="787"/>
      <c r="U604" s="829"/>
      <c r="V604" s="852"/>
      <c r="W604" s="851"/>
      <c r="X604" s="787"/>
      <c r="Y604" s="829"/>
      <c r="Z604" s="852"/>
      <c r="AA604" s="851"/>
      <c r="AB604" s="787"/>
      <c r="AC604" s="829"/>
      <c r="AD604" s="852"/>
      <c r="AE604" s="851"/>
      <c r="AF604" s="787"/>
      <c r="AG604" s="355">
        <v>2625</v>
      </c>
      <c r="AL604" s="123"/>
    </row>
    <row r="605" spans="1:38" x14ac:dyDescent="0.4">
      <c r="A605" s="65"/>
      <c r="B605" s="356">
        <v>2630</v>
      </c>
      <c r="C605" s="851"/>
      <c r="D605" s="787"/>
      <c r="E605" s="829"/>
      <c r="F605" s="852"/>
      <c r="G605" s="851"/>
      <c r="H605" s="787"/>
      <c r="I605" s="829"/>
      <c r="J605" s="852"/>
      <c r="K605" s="851"/>
      <c r="L605" s="787"/>
      <c r="M605" s="829"/>
      <c r="N605" s="852"/>
      <c r="O605" s="851"/>
      <c r="P605" s="787"/>
      <c r="Q605" s="829"/>
      <c r="R605" s="852"/>
      <c r="S605" s="851"/>
      <c r="T605" s="787"/>
      <c r="U605" s="829"/>
      <c r="V605" s="852"/>
      <c r="W605" s="851"/>
      <c r="X605" s="787"/>
      <c r="Y605" s="829"/>
      <c r="Z605" s="852"/>
      <c r="AA605" s="851"/>
      <c r="AB605" s="787"/>
      <c r="AC605" s="829"/>
      <c r="AD605" s="852"/>
      <c r="AE605" s="851"/>
      <c r="AF605" s="787"/>
      <c r="AG605" s="355">
        <v>2630</v>
      </c>
      <c r="AL605" s="123"/>
    </row>
    <row r="606" spans="1:38" x14ac:dyDescent="0.4">
      <c r="A606" s="65"/>
      <c r="B606" s="356">
        <v>2635</v>
      </c>
      <c r="C606" s="851"/>
      <c r="D606" s="787"/>
      <c r="E606" s="829"/>
      <c r="F606" s="852"/>
      <c r="G606" s="851"/>
      <c r="H606" s="787"/>
      <c r="I606" s="829"/>
      <c r="J606" s="852"/>
      <c r="K606" s="851"/>
      <c r="L606" s="787"/>
      <c r="M606" s="829"/>
      <c r="N606" s="852"/>
      <c r="O606" s="851"/>
      <c r="P606" s="787"/>
      <c r="Q606" s="829"/>
      <c r="R606" s="852"/>
      <c r="S606" s="851"/>
      <c r="T606" s="787"/>
      <c r="U606" s="829"/>
      <c r="V606" s="852"/>
      <c r="W606" s="851"/>
      <c r="X606" s="787"/>
      <c r="Y606" s="829"/>
      <c r="Z606" s="852"/>
      <c r="AA606" s="851"/>
      <c r="AB606" s="787"/>
      <c r="AC606" s="829"/>
      <c r="AD606" s="852"/>
      <c r="AE606" s="851"/>
      <c r="AF606" s="787"/>
      <c r="AG606" s="355">
        <v>2635</v>
      </c>
      <c r="AL606" s="123"/>
    </row>
    <row r="607" spans="1:38" x14ac:dyDescent="0.4">
      <c r="A607" s="65"/>
      <c r="B607" s="356">
        <v>2640</v>
      </c>
      <c r="C607" s="851"/>
      <c r="D607" s="787"/>
      <c r="E607" s="829"/>
      <c r="F607" s="852"/>
      <c r="G607" s="851"/>
      <c r="H607" s="787"/>
      <c r="I607" s="829"/>
      <c r="J607" s="852"/>
      <c r="K607" s="851"/>
      <c r="L607" s="787"/>
      <c r="M607" s="829"/>
      <c r="N607" s="852"/>
      <c r="O607" s="851"/>
      <c r="P607" s="787"/>
      <c r="Q607" s="829"/>
      <c r="R607" s="852"/>
      <c r="S607" s="851"/>
      <c r="T607" s="787"/>
      <c r="U607" s="829"/>
      <c r="V607" s="852"/>
      <c r="W607" s="851"/>
      <c r="X607" s="787"/>
      <c r="Y607" s="829"/>
      <c r="Z607" s="852"/>
      <c r="AA607" s="851"/>
      <c r="AB607" s="787"/>
      <c r="AC607" s="829"/>
      <c r="AD607" s="852"/>
      <c r="AE607" s="851"/>
      <c r="AF607" s="787"/>
      <c r="AG607" s="355">
        <v>2640</v>
      </c>
      <c r="AL607" s="123"/>
    </row>
    <row r="608" spans="1:38" x14ac:dyDescent="0.4">
      <c r="A608" s="65"/>
      <c r="B608" s="356">
        <v>2645</v>
      </c>
      <c r="C608" s="851"/>
      <c r="D608" s="787"/>
      <c r="E608" s="829"/>
      <c r="F608" s="852"/>
      <c r="G608" s="851"/>
      <c r="H608" s="787"/>
      <c r="I608" s="829"/>
      <c r="J608" s="852"/>
      <c r="K608" s="851"/>
      <c r="L608" s="787"/>
      <c r="M608" s="829"/>
      <c r="N608" s="852"/>
      <c r="O608" s="851"/>
      <c r="P608" s="787"/>
      <c r="Q608" s="829"/>
      <c r="R608" s="852"/>
      <c r="S608" s="851"/>
      <c r="T608" s="787"/>
      <c r="U608" s="829"/>
      <c r="V608" s="852"/>
      <c r="W608" s="851"/>
      <c r="X608" s="787"/>
      <c r="Y608" s="829"/>
      <c r="Z608" s="852"/>
      <c r="AA608" s="851"/>
      <c r="AB608" s="787"/>
      <c r="AC608" s="829"/>
      <c r="AD608" s="852"/>
      <c r="AE608" s="851"/>
      <c r="AF608" s="787"/>
      <c r="AG608" s="355">
        <v>2645</v>
      </c>
      <c r="AL608" s="123"/>
    </row>
    <row r="609" spans="1:38" x14ac:dyDescent="0.4">
      <c r="A609" s="65"/>
      <c r="B609" s="356">
        <v>2650</v>
      </c>
      <c r="C609" s="851"/>
      <c r="D609" s="787"/>
      <c r="E609" s="829"/>
      <c r="F609" s="852"/>
      <c r="G609" s="851"/>
      <c r="H609" s="787"/>
      <c r="I609" s="829"/>
      <c r="J609" s="852"/>
      <c r="K609" s="851"/>
      <c r="L609" s="787"/>
      <c r="M609" s="829"/>
      <c r="N609" s="852"/>
      <c r="O609" s="851"/>
      <c r="P609" s="787"/>
      <c r="Q609" s="829"/>
      <c r="R609" s="852"/>
      <c r="S609" s="851"/>
      <c r="T609" s="787"/>
      <c r="U609" s="829"/>
      <c r="V609" s="852"/>
      <c r="W609" s="851"/>
      <c r="X609" s="787"/>
      <c r="Y609" s="829"/>
      <c r="Z609" s="852"/>
      <c r="AA609" s="851"/>
      <c r="AB609" s="787"/>
      <c r="AC609" s="829"/>
      <c r="AD609" s="852"/>
      <c r="AE609" s="851"/>
      <c r="AF609" s="787"/>
      <c r="AG609" s="355">
        <v>2650</v>
      </c>
      <c r="AL609" s="123"/>
    </row>
    <row r="610" spans="1:38" x14ac:dyDescent="0.4">
      <c r="A610" s="65"/>
      <c r="B610" s="356">
        <v>2655</v>
      </c>
      <c r="C610" s="851"/>
      <c r="D610" s="787"/>
      <c r="E610" s="829"/>
      <c r="F610" s="852"/>
      <c r="G610" s="851"/>
      <c r="H610" s="787"/>
      <c r="I610" s="829"/>
      <c r="J610" s="852"/>
      <c r="K610" s="851"/>
      <c r="L610" s="787"/>
      <c r="M610" s="829"/>
      <c r="N610" s="852"/>
      <c r="O610" s="851"/>
      <c r="P610" s="787"/>
      <c r="Q610" s="829"/>
      <c r="R610" s="852"/>
      <c r="S610" s="851"/>
      <c r="T610" s="787"/>
      <c r="U610" s="829"/>
      <c r="V610" s="852"/>
      <c r="W610" s="851"/>
      <c r="X610" s="787"/>
      <c r="Y610" s="829"/>
      <c r="Z610" s="852"/>
      <c r="AA610" s="851"/>
      <c r="AB610" s="787"/>
      <c r="AC610" s="829"/>
      <c r="AD610" s="852"/>
      <c r="AE610" s="851"/>
      <c r="AF610" s="787"/>
      <c r="AG610" s="355">
        <v>2655</v>
      </c>
      <c r="AL610" s="123"/>
    </row>
    <row r="611" spans="1:38" x14ac:dyDescent="0.4">
      <c r="A611" s="65"/>
      <c r="B611" s="356">
        <v>2660</v>
      </c>
      <c r="C611" s="851"/>
      <c r="D611" s="787"/>
      <c r="E611" s="829"/>
      <c r="F611" s="852"/>
      <c r="G611" s="851"/>
      <c r="H611" s="787"/>
      <c r="I611" s="829"/>
      <c r="J611" s="852"/>
      <c r="K611" s="851"/>
      <c r="L611" s="787"/>
      <c r="M611" s="829"/>
      <c r="N611" s="852"/>
      <c r="O611" s="851"/>
      <c r="P611" s="787"/>
      <c r="Q611" s="829"/>
      <c r="R611" s="852"/>
      <c r="S611" s="851"/>
      <c r="T611" s="787"/>
      <c r="U611" s="829"/>
      <c r="V611" s="852"/>
      <c r="W611" s="851"/>
      <c r="X611" s="787"/>
      <c r="Y611" s="829"/>
      <c r="Z611" s="852"/>
      <c r="AA611" s="851"/>
      <c r="AB611" s="787"/>
      <c r="AC611" s="829"/>
      <c r="AD611" s="852"/>
      <c r="AE611" s="851"/>
      <c r="AF611" s="787"/>
      <c r="AG611" s="355">
        <v>2660</v>
      </c>
      <c r="AL611" s="123"/>
    </row>
    <row r="612" spans="1:38" x14ac:dyDescent="0.4">
      <c r="A612" s="65"/>
      <c r="B612" s="356">
        <v>2665</v>
      </c>
      <c r="C612" s="851"/>
      <c r="D612" s="787"/>
      <c r="E612" s="829"/>
      <c r="F612" s="852"/>
      <c r="G612" s="851"/>
      <c r="H612" s="787"/>
      <c r="I612" s="829"/>
      <c r="J612" s="852"/>
      <c r="K612" s="851"/>
      <c r="L612" s="787"/>
      <c r="M612" s="829"/>
      <c r="N612" s="852"/>
      <c r="O612" s="851"/>
      <c r="P612" s="787"/>
      <c r="Q612" s="829"/>
      <c r="R612" s="852"/>
      <c r="S612" s="851"/>
      <c r="T612" s="787"/>
      <c r="U612" s="829"/>
      <c r="V612" s="852"/>
      <c r="W612" s="851"/>
      <c r="X612" s="787"/>
      <c r="Y612" s="829"/>
      <c r="Z612" s="852"/>
      <c r="AA612" s="851"/>
      <c r="AB612" s="787"/>
      <c r="AC612" s="829"/>
      <c r="AD612" s="852"/>
      <c r="AE612" s="851"/>
      <c r="AF612" s="787"/>
      <c r="AG612" s="355">
        <v>2665</v>
      </c>
      <c r="AL612" s="123"/>
    </row>
    <row r="613" spans="1:38" x14ac:dyDescent="0.4">
      <c r="A613" s="65"/>
      <c r="B613" s="356">
        <v>2670</v>
      </c>
      <c r="C613" s="851"/>
      <c r="D613" s="787"/>
      <c r="E613" s="829"/>
      <c r="F613" s="852"/>
      <c r="G613" s="851"/>
      <c r="H613" s="787"/>
      <c r="I613" s="829"/>
      <c r="J613" s="852"/>
      <c r="K613" s="851"/>
      <c r="L613" s="787"/>
      <c r="M613" s="829"/>
      <c r="N613" s="852"/>
      <c r="O613" s="851"/>
      <c r="P613" s="787"/>
      <c r="Q613" s="829"/>
      <c r="R613" s="852"/>
      <c r="S613" s="851"/>
      <c r="T613" s="787"/>
      <c r="U613" s="829"/>
      <c r="V613" s="852"/>
      <c r="W613" s="851"/>
      <c r="X613" s="787"/>
      <c r="Y613" s="829"/>
      <c r="Z613" s="852"/>
      <c r="AA613" s="851"/>
      <c r="AB613" s="787"/>
      <c r="AC613" s="829"/>
      <c r="AD613" s="852"/>
      <c r="AE613" s="851"/>
      <c r="AF613" s="787"/>
      <c r="AG613" s="355">
        <v>2670</v>
      </c>
      <c r="AL613" s="123"/>
    </row>
    <row r="614" spans="1:38" x14ac:dyDescent="0.4">
      <c r="A614" s="65"/>
      <c r="B614" s="356">
        <v>2675</v>
      </c>
      <c r="C614" s="851"/>
      <c r="D614" s="787"/>
      <c r="E614" s="829"/>
      <c r="F614" s="852"/>
      <c r="G614" s="851"/>
      <c r="H614" s="787"/>
      <c r="I614" s="829"/>
      <c r="J614" s="852"/>
      <c r="K614" s="851"/>
      <c r="L614" s="787"/>
      <c r="M614" s="829"/>
      <c r="N614" s="852"/>
      <c r="O614" s="851"/>
      <c r="P614" s="787"/>
      <c r="Q614" s="829"/>
      <c r="R614" s="852"/>
      <c r="S614" s="851"/>
      <c r="T614" s="787"/>
      <c r="U614" s="829"/>
      <c r="V614" s="852"/>
      <c r="W614" s="851"/>
      <c r="X614" s="787"/>
      <c r="Y614" s="829"/>
      <c r="Z614" s="852"/>
      <c r="AA614" s="851"/>
      <c r="AB614" s="787"/>
      <c r="AC614" s="829"/>
      <c r="AD614" s="852"/>
      <c r="AE614" s="851"/>
      <c r="AF614" s="787"/>
      <c r="AG614" s="355">
        <v>2675</v>
      </c>
      <c r="AL614" s="123"/>
    </row>
    <row r="615" spans="1:38" x14ac:dyDescent="0.4">
      <c r="A615" s="65"/>
      <c r="B615" s="356">
        <v>2680</v>
      </c>
      <c r="C615" s="851"/>
      <c r="D615" s="787"/>
      <c r="E615" s="829"/>
      <c r="F615" s="852"/>
      <c r="G615" s="851"/>
      <c r="H615" s="787"/>
      <c r="I615" s="829"/>
      <c r="J615" s="852"/>
      <c r="K615" s="851"/>
      <c r="L615" s="787"/>
      <c r="M615" s="829"/>
      <c r="N615" s="852"/>
      <c r="O615" s="851"/>
      <c r="P615" s="787"/>
      <c r="Q615" s="829"/>
      <c r="R615" s="852"/>
      <c r="S615" s="851"/>
      <c r="T615" s="787"/>
      <c r="U615" s="829"/>
      <c r="V615" s="852"/>
      <c r="W615" s="851"/>
      <c r="X615" s="787"/>
      <c r="Y615" s="829"/>
      <c r="Z615" s="852"/>
      <c r="AA615" s="851"/>
      <c r="AB615" s="787"/>
      <c r="AC615" s="829"/>
      <c r="AD615" s="852"/>
      <c r="AE615" s="851"/>
      <c r="AF615" s="787"/>
      <c r="AG615" s="355">
        <v>2680</v>
      </c>
      <c r="AL615" s="123"/>
    </row>
    <row r="616" spans="1:38" x14ac:dyDescent="0.4">
      <c r="A616" s="65"/>
      <c r="B616" s="356">
        <v>2685</v>
      </c>
      <c r="C616" s="851"/>
      <c r="D616" s="787"/>
      <c r="E616" s="829"/>
      <c r="F616" s="852"/>
      <c r="G616" s="851"/>
      <c r="H616" s="787"/>
      <c r="I616" s="829"/>
      <c r="J616" s="852"/>
      <c r="K616" s="851"/>
      <c r="L616" s="787"/>
      <c r="M616" s="829"/>
      <c r="N616" s="852"/>
      <c r="O616" s="851"/>
      <c r="P616" s="787"/>
      <c r="Q616" s="829"/>
      <c r="R616" s="852"/>
      <c r="S616" s="851"/>
      <c r="T616" s="787"/>
      <c r="U616" s="829"/>
      <c r="V616" s="852"/>
      <c r="W616" s="851"/>
      <c r="X616" s="787"/>
      <c r="Y616" s="829"/>
      <c r="Z616" s="852"/>
      <c r="AA616" s="851"/>
      <c r="AB616" s="787"/>
      <c r="AC616" s="829"/>
      <c r="AD616" s="852"/>
      <c r="AE616" s="851"/>
      <c r="AF616" s="787"/>
      <c r="AG616" s="355">
        <v>2685</v>
      </c>
      <c r="AL616" s="123"/>
    </row>
    <row r="617" spans="1:38" x14ac:dyDescent="0.4">
      <c r="A617" s="65"/>
      <c r="B617" s="356">
        <v>2690</v>
      </c>
      <c r="C617" s="851"/>
      <c r="D617" s="787"/>
      <c r="E617" s="829"/>
      <c r="F617" s="852"/>
      <c r="G617" s="851"/>
      <c r="H617" s="787"/>
      <c r="I617" s="829"/>
      <c r="J617" s="852"/>
      <c r="K617" s="851"/>
      <c r="L617" s="787"/>
      <c r="M617" s="829"/>
      <c r="N617" s="852"/>
      <c r="O617" s="851"/>
      <c r="P617" s="787"/>
      <c r="Q617" s="829"/>
      <c r="R617" s="852"/>
      <c r="S617" s="851"/>
      <c r="T617" s="787"/>
      <c r="U617" s="829"/>
      <c r="V617" s="852"/>
      <c r="W617" s="851"/>
      <c r="X617" s="787"/>
      <c r="Y617" s="829"/>
      <c r="Z617" s="852"/>
      <c r="AA617" s="851"/>
      <c r="AB617" s="787"/>
      <c r="AC617" s="829"/>
      <c r="AD617" s="852"/>
      <c r="AE617" s="851"/>
      <c r="AF617" s="787"/>
      <c r="AG617" s="355">
        <v>2690</v>
      </c>
      <c r="AL617" s="123"/>
    </row>
    <row r="618" spans="1:38" x14ac:dyDescent="0.4">
      <c r="A618" s="65"/>
      <c r="B618" s="356">
        <v>2695</v>
      </c>
      <c r="C618" s="851"/>
      <c r="D618" s="787"/>
      <c r="E618" s="829"/>
      <c r="F618" s="852"/>
      <c r="G618" s="851"/>
      <c r="H618" s="787"/>
      <c r="I618" s="829"/>
      <c r="J618" s="852"/>
      <c r="K618" s="851"/>
      <c r="L618" s="787"/>
      <c r="M618" s="829"/>
      <c r="N618" s="852"/>
      <c r="O618" s="851"/>
      <c r="P618" s="787"/>
      <c r="Q618" s="829"/>
      <c r="R618" s="852"/>
      <c r="S618" s="851"/>
      <c r="T618" s="787"/>
      <c r="U618" s="829"/>
      <c r="V618" s="852"/>
      <c r="W618" s="851"/>
      <c r="X618" s="787"/>
      <c r="Y618" s="829"/>
      <c r="Z618" s="852"/>
      <c r="AA618" s="851"/>
      <c r="AB618" s="787"/>
      <c r="AC618" s="829"/>
      <c r="AD618" s="852"/>
      <c r="AE618" s="851"/>
      <c r="AF618" s="787"/>
      <c r="AG618" s="355">
        <v>2695</v>
      </c>
      <c r="AL618" s="123"/>
    </row>
    <row r="619" spans="1:38" x14ac:dyDescent="0.4">
      <c r="A619" s="65"/>
      <c r="B619" s="356">
        <v>2700</v>
      </c>
      <c r="C619" s="851"/>
      <c r="D619" s="787"/>
      <c r="E619" s="829"/>
      <c r="F619" s="852"/>
      <c r="G619" s="851"/>
      <c r="H619" s="787"/>
      <c r="I619" s="829"/>
      <c r="J619" s="852"/>
      <c r="K619" s="851"/>
      <c r="L619" s="787"/>
      <c r="M619" s="829"/>
      <c r="N619" s="852"/>
      <c r="O619" s="851"/>
      <c r="P619" s="787"/>
      <c r="Q619" s="829"/>
      <c r="R619" s="852"/>
      <c r="S619" s="851"/>
      <c r="T619" s="787"/>
      <c r="U619" s="829"/>
      <c r="V619" s="852"/>
      <c r="W619" s="851"/>
      <c r="X619" s="787"/>
      <c r="Y619" s="829"/>
      <c r="Z619" s="852"/>
      <c r="AA619" s="851"/>
      <c r="AB619" s="787"/>
      <c r="AC619" s="829"/>
      <c r="AD619" s="852"/>
      <c r="AE619" s="851"/>
      <c r="AF619" s="787"/>
      <c r="AG619" s="355">
        <v>2700</v>
      </c>
      <c r="AL619" s="123"/>
    </row>
    <row r="620" spans="1:38" x14ac:dyDescent="0.4">
      <c r="A620" s="65"/>
      <c r="B620" s="356">
        <v>2705</v>
      </c>
      <c r="C620" s="851"/>
      <c r="D620" s="787"/>
      <c r="E620" s="829"/>
      <c r="F620" s="852"/>
      <c r="G620" s="851"/>
      <c r="H620" s="787"/>
      <c r="I620" s="829"/>
      <c r="J620" s="852"/>
      <c r="K620" s="851"/>
      <c r="L620" s="787"/>
      <c r="M620" s="829"/>
      <c r="N620" s="852"/>
      <c r="O620" s="851"/>
      <c r="P620" s="787"/>
      <c r="Q620" s="829"/>
      <c r="R620" s="852"/>
      <c r="S620" s="851"/>
      <c r="T620" s="787"/>
      <c r="U620" s="829"/>
      <c r="V620" s="852"/>
      <c r="W620" s="851"/>
      <c r="X620" s="787"/>
      <c r="Y620" s="829"/>
      <c r="Z620" s="852"/>
      <c r="AA620" s="851"/>
      <c r="AB620" s="787"/>
      <c r="AC620" s="829"/>
      <c r="AD620" s="852"/>
      <c r="AE620" s="851"/>
      <c r="AF620" s="787"/>
      <c r="AG620" s="355">
        <v>2705</v>
      </c>
      <c r="AL620" s="123"/>
    </row>
    <row r="621" spans="1:38" x14ac:dyDescent="0.4">
      <c r="A621" s="65"/>
      <c r="B621" s="356">
        <v>2710</v>
      </c>
      <c r="C621" s="851"/>
      <c r="D621" s="787"/>
      <c r="E621" s="829"/>
      <c r="F621" s="852"/>
      <c r="G621" s="851"/>
      <c r="H621" s="787"/>
      <c r="I621" s="829"/>
      <c r="J621" s="852"/>
      <c r="K621" s="851"/>
      <c r="L621" s="787"/>
      <c r="M621" s="829"/>
      <c r="N621" s="852"/>
      <c r="O621" s="851"/>
      <c r="P621" s="787"/>
      <c r="Q621" s="829"/>
      <c r="R621" s="852"/>
      <c r="S621" s="851"/>
      <c r="T621" s="787"/>
      <c r="U621" s="829"/>
      <c r="V621" s="852"/>
      <c r="W621" s="851"/>
      <c r="X621" s="787"/>
      <c r="Y621" s="829"/>
      <c r="Z621" s="852"/>
      <c r="AA621" s="851"/>
      <c r="AB621" s="787"/>
      <c r="AC621" s="829"/>
      <c r="AD621" s="852"/>
      <c r="AE621" s="851"/>
      <c r="AF621" s="787"/>
      <c r="AG621" s="355">
        <v>2710</v>
      </c>
      <c r="AL621" s="123"/>
    </row>
    <row r="622" spans="1:38" x14ac:dyDescent="0.4">
      <c r="A622" s="65"/>
      <c r="B622" s="356">
        <v>2715</v>
      </c>
      <c r="C622" s="851"/>
      <c r="D622" s="787"/>
      <c r="E622" s="829"/>
      <c r="F622" s="852"/>
      <c r="G622" s="851"/>
      <c r="H622" s="787"/>
      <c r="I622" s="829"/>
      <c r="J622" s="852"/>
      <c r="K622" s="851"/>
      <c r="L622" s="787"/>
      <c r="M622" s="829"/>
      <c r="N622" s="852"/>
      <c r="O622" s="851"/>
      <c r="P622" s="787"/>
      <c r="Q622" s="829"/>
      <c r="R622" s="852"/>
      <c r="S622" s="851"/>
      <c r="T622" s="787"/>
      <c r="U622" s="829"/>
      <c r="V622" s="852"/>
      <c r="W622" s="851"/>
      <c r="X622" s="787"/>
      <c r="Y622" s="829"/>
      <c r="Z622" s="852"/>
      <c r="AA622" s="851"/>
      <c r="AB622" s="787"/>
      <c r="AC622" s="829"/>
      <c r="AD622" s="852"/>
      <c r="AE622" s="851"/>
      <c r="AF622" s="787"/>
      <c r="AG622" s="355">
        <v>2715</v>
      </c>
      <c r="AL622" s="123"/>
    </row>
    <row r="623" spans="1:38" x14ac:dyDescent="0.4">
      <c r="A623" s="65"/>
      <c r="B623" s="356">
        <v>2720</v>
      </c>
      <c r="C623" s="851"/>
      <c r="D623" s="787"/>
      <c r="E623" s="829"/>
      <c r="F623" s="852"/>
      <c r="G623" s="851"/>
      <c r="H623" s="787"/>
      <c r="I623" s="829"/>
      <c r="J623" s="852"/>
      <c r="K623" s="851"/>
      <c r="L623" s="787"/>
      <c r="M623" s="829"/>
      <c r="N623" s="852"/>
      <c r="O623" s="851"/>
      <c r="P623" s="787"/>
      <c r="Q623" s="829"/>
      <c r="R623" s="852"/>
      <c r="S623" s="851"/>
      <c r="T623" s="787"/>
      <c r="U623" s="829"/>
      <c r="V623" s="852"/>
      <c r="W623" s="851"/>
      <c r="X623" s="787"/>
      <c r="Y623" s="829"/>
      <c r="Z623" s="852"/>
      <c r="AA623" s="851"/>
      <c r="AB623" s="787"/>
      <c r="AC623" s="829"/>
      <c r="AD623" s="852"/>
      <c r="AE623" s="851"/>
      <c r="AF623" s="787"/>
      <c r="AG623" s="355">
        <v>2720</v>
      </c>
      <c r="AL623" s="123"/>
    </row>
    <row r="624" spans="1:38" x14ac:dyDescent="0.4">
      <c r="A624" s="65"/>
      <c r="B624" s="356">
        <v>2725</v>
      </c>
      <c r="C624" s="851"/>
      <c r="D624" s="787"/>
      <c r="E624" s="829"/>
      <c r="F624" s="852"/>
      <c r="G624" s="851"/>
      <c r="H624" s="787"/>
      <c r="I624" s="829"/>
      <c r="J624" s="852"/>
      <c r="K624" s="851"/>
      <c r="L624" s="787"/>
      <c r="M624" s="829"/>
      <c r="N624" s="852"/>
      <c r="O624" s="851"/>
      <c r="P624" s="787"/>
      <c r="Q624" s="829"/>
      <c r="R624" s="852"/>
      <c r="S624" s="851"/>
      <c r="T624" s="787"/>
      <c r="U624" s="829"/>
      <c r="V624" s="852"/>
      <c r="W624" s="851"/>
      <c r="X624" s="787"/>
      <c r="Y624" s="829"/>
      <c r="Z624" s="852"/>
      <c r="AA624" s="851"/>
      <c r="AB624" s="787"/>
      <c r="AC624" s="829"/>
      <c r="AD624" s="852"/>
      <c r="AE624" s="851"/>
      <c r="AF624" s="787"/>
      <c r="AG624" s="355">
        <v>2725</v>
      </c>
      <c r="AL624" s="123"/>
    </row>
    <row r="625" spans="1:38" x14ac:dyDescent="0.4">
      <c r="A625" s="65"/>
      <c r="B625" s="356">
        <v>2730</v>
      </c>
      <c r="C625" s="851"/>
      <c r="D625" s="787"/>
      <c r="E625" s="829"/>
      <c r="F625" s="852"/>
      <c r="G625" s="851"/>
      <c r="H625" s="787"/>
      <c r="I625" s="829"/>
      <c r="J625" s="852"/>
      <c r="K625" s="851"/>
      <c r="L625" s="787"/>
      <c r="M625" s="829"/>
      <c r="N625" s="852"/>
      <c r="O625" s="851"/>
      <c r="P625" s="787"/>
      <c r="Q625" s="829"/>
      <c r="R625" s="852"/>
      <c r="S625" s="851"/>
      <c r="T625" s="787"/>
      <c r="U625" s="829"/>
      <c r="V625" s="852"/>
      <c r="W625" s="851"/>
      <c r="X625" s="787"/>
      <c r="Y625" s="829"/>
      <c r="Z625" s="852"/>
      <c r="AA625" s="851"/>
      <c r="AB625" s="787"/>
      <c r="AC625" s="829"/>
      <c r="AD625" s="852"/>
      <c r="AE625" s="851"/>
      <c r="AF625" s="787"/>
      <c r="AG625" s="355">
        <v>2730</v>
      </c>
      <c r="AL625" s="123"/>
    </row>
    <row r="626" spans="1:38" x14ac:dyDescent="0.4">
      <c r="A626" s="65"/>
      <c r="B626" s="356">
        <v>2735</v>
      </c>
      <c r="C626" s="851"/>
      <c r="D626" s="787"/>
      <c r="E626" s="829"/>
      <c r="F626" s="852"/>
      <c r="G626" s="851"/>
      <c r="H626" s="787"/>
      <c r="I626" s="829"/>
      <c r="J626" s="852"/>
      <c r="K626" s="851"/>
      <c r="L626" s="787"/>
      <c r="M626" s="829"/>
      <c r="N626" s="852"/>
      <c r="O626" s="851"/>
      <c r="P626" s="787"/>
      <c r="Q626" s="829"/>
      <c r="R626" s="852"/>
      <c r="S626" s="851"/>
      <c r="T626" s="787"/>
      <c r="U626" s="829"/>
      <c r="V626" s="852"/>
      <c r="W626" s="851"/>
      <c r="X626" s="787"/>
      <c r="Y626" s="829"/>
      <c r="Z626" s="852"/>
      <c r="AA626" s="851"/>
      <c r="AB626" s="787"/>
      <c r="AC626" s="829"/>
      <c r="AD626" s="852"/>
      <c r="AE626" s="851"/>
      <c r="AF626" s="787"/>
      <c r="AG626" s="355">
        <v>2735</v>
      </c>
      <c r="AL626" s="123"/>
    </row>
    <row r="627" spans="1:38" x14ac:dyDescent="0.4">
      <c r="A627" s="65"/>
      <c r="B627" s="356">
        <v>2740</v>
      </c>
      <c r="C627" s="851"/>
      <c r="D627" s="787"/>
      <c r="E627" s="829"/>
      <c r="F627" s="852"/>
      <c r="G627" s="851"/>
      <c r="H627" s="787"/>
      <c r="I627" s="829"/>
      <c r="J627" s="852"/>
      <c r="K627" s="851"/>
      <c r="L627" s="787"/>
      <c r="M627" s="829"/>
      <c r="N627" s="852"/>
      <c r="O627" s="851"/>
      <c r="P627" s="787"/>
      <c r="Q627" s="829"/>
      <c r="R627" s="852"/>
      <c r="S627" s="851"/>
      <c r="T627" s="787"/>
      <c r="U627" s="829"/>
      <c r="V627" s="852"/>
      <c r="W627" s="851"/>
      <c r="X627" s="787"/>
      <c r="Y627" s="829"/>
      <c r="Z627" s="852"/>
      <c r="AA627" s="851"/>
      <c r="AB627" s="787"/>
      <c r="AC627" s="829"/>
      <c r="AD627" s="852"/>
      <c r="AE627" s="851"/>
      <c r="AF627" s="787"/>
      <c r="AG627" s="355">
        <v>2740</v>
      </c>
      <c r="AL627" s="123"/>
    </row>
    <row r="628" spans="1:38" x14ac:dyDescent="0.4">
      <c r="A628" s="65"/>
      <c r="B628" s="356">
        <v>2745</v>
      </c>
      <c r="C628" s="851"/>
      <c r="D628" s="787"/>
      <c r="E628" s="829"/>
      <c r="F628" s="852"/>
      <c r="G628" s="851"/>
      <c r="H628" s="787"/>
      <c r="I628" s="829"/>
      <c r="J628" s="852"/>
      <c r="K628" s="851"/>
      <c r="L628" s="787"/>
      <c r="M628" s="829"/>
      <c r="N628" s="852"/>
      <c r="O628" s="851"/>
      <c r="P628" s="787"/>
      <c r="Q628" s="829"/>
      <c r="R628" s="852"/>
      <c r="S628" s="851"/>
      <c r="T628" s="787"/>
      <c r="U628" s="829"/>
      <c r="V628" s="852"/>
      <c r="W628" s="851"/>
      <c r="X628" s="787"/>
      <c r="Y628" s="829"/>
      <c r="Z628" s="852"/>
      <c r="AA628" s="851"/>
      <c r="AB628" s="787"/>
      <c r="AC628" s="829"/>
      <c r="AD628" s="852"/>
      <c r="AE628" s="851"/>
      <c r="AF628" s="787"/>
      <c r="AG628" s="355">
        <v>2745</v>
      </c>
      <c r="AL628" s="123"/>
    </row>
    <row r="629" spans="1:38" x14ac:dyDescent="0.4">
      <c r="A629" s="65"/>
      <c r="B629" s="356">
        <v>2750</v>
      </c>
      <c r="C629" s="851"/>
      <c r="D629" s="787"/>
      <c r="E629" s="829"/>
      <c r="F629" s="852"/>
      <c r="G629" s="851"/>
      <c r="H629" s="787"/>
      <c r="I629" s="829"/>
      <c r="J629" s="852"/>
      <c r="K629" s="851"/>
      <c r="L629" s="787"/>
      <c r="M629" s="829"/>
      <c r="N629" s="852"/>
      <c r="O629" s="851"/>
      <c r="P629" s="787"/>
      <c r="Q629" s="829"/>
      <c r="R629" s="852"/>
      <c r="S629" s="851"/>
      <c r="T629" s="787"/>
      <c r="U629" s="829"/>
      <c r="V629" s="852"/>
      <c r="W629" s="851"/>
      <c r="X629" s="787"/>
      <c r="Y629" s="829"/>
      <c r="Z629" s="852"/>
      <c r="AA629" s="851"/>
      <c r="AB629" s="787"/>
      <c r="AC629" s="829"/>
      <c r="AD629" s="852"/>
      <c r="AE629" s="851"/>
      <c r="AF629" s="787"/>
      <c r="AG629" s="355">
        <v>2750</v>
      </c>
      <c r="AL629" s="123"/>
    </row>
    <row r="630" spans="1:38" x14ac:dyDescent="0.4">
      <c r="A630" s="65"/>
      <c r="B630" s="356">
        <v>2755</v>
      </c>
      <c r="C630" s="851"/>
      <c r="D630" s="787"/>
      <c r="E630" s="829"/>
      <c r="F630" s="852"/>
      <c r="G630" s="851"/>
      <c r="H630" s="787"/>
      <c r="I630" s="829"/>
      <c r="J630" s="852"/>
      <c r="K630" s="851"/>
      <c r="L630" s="787"/>
      <c r="M630" s="829"/>
      <c r="N630" s="852"/>
      <c r="O630" s="851"/>
      <c r="P630" s="787"/>
      <c r="Q630" s="829"/>
      <c r="R630" s="852"/>
      <c r="S630" s="851"/>
      <c r="T630" s="787"/>
      <c r="U630" s="829"/>
      <c r="V630" s="852"/>
      <c r="W630" s="851"/>
      <c r="X630" s="787"/>
      <c r="Y630" s="829"/>
      <c r="Z630" s="852"/>
      <c r="AA630" s="851"/>
      <c r="AB630" s="787"/>
      <c r="AC630" s="829"/>
      <c r="AD630" s="852"/>
      <c r="AE630" s="851"/>
      <c r="AF630" s="787"/>
      <c r="AG630" s="355">
        <v>2755</v>
      </c>
      <c r="AL630" s="123"/>
    </row>
    <row r="631" spans="1:38" x14ac:dyDescent="0.4">
      <c r="A631" s="65"/>
      <c r="B631" s="356">
        <v>2760</v>
      </c>
      <c r="C631" s="851"/>
      <c r="D631" s="787"/>
      <c r="E631" s="829"/>
      <c r="F631" s="852"/>
      <c r="G631" s="851"/>
      <c r="H631" s="787"/>
      <c r="I631" s="829"/>
      <c r="J631" s="852"/>
      <c r="K631" s="851"/>
      <c r="L631" s="787"/>
      <c r="M631" s="829"/>
      <c r="N631" s="852"/>
      <c r="O631" s="851"/>
      <c r="P631" s="787"/>
      <c r="Q631" s="829"/>
      <c r="R631" s="852"/>
      <c r="S631" s="851"/>
      <c r="T631" s="787"/>
      <c r="U631" s="829"/>
      <c r="V631" s="852"/>
      <c r="W631" s="851"/>
      <c r="X631" s="787"/>
      <c r="Y631" s="829"/>
      <c r="Z631" s="852"/>
      <c r="AA631" s="851"/>
      <c r="AB631" s="787"/>
      <c r="AC631" s="829"/>
      <c r="AD631" s="852"/>
      <c r="AE631" s="851"/>
      <c r="AF631" s="787"/>
      <c r="AG631" s="355">
        <v>2760</v>
      </c>
      <c r="AL631" s="123"/>
    </row>
    <row r="632" spans="1:38" x14ac:dyDescent="0.4">
      <c r="A632" s="65"/>
      <c r="B632" s="356">
        <v>2765</v>
      </c>
      <c r="C632" s="851"/>
      <c r="D632" s="787"/>
      <c r="E632" s="829"/>
      <c r="F632" s="852"/>
      <c r="G632" s="851"/>
      <c r="H632" s="787"/>
      <c r="I632" s="829"/>
      <c r="J632" s="852"/>
      <c r="K632" s="851"/>
      <c r="L632" s="787"/>
      <c r="M632" s="829"/>
      <c r="N632" s="852"/>
      <c r="O632" s="851"/>
      <c r="P632" s="787"/>
      <c r="Q632" s="829"/>
      <c r="R632" s="852"/>
      <c r="S632" s="851"/>
      <c r="T632" s="787"/>
      <c r="U632" s="829"/>
      <c r="V632" s="852"/>
      <c r="W632" s="851"/>
      <c r="X632" s="787"/>
      <c r="Y632" s="829"/>
      <c r="Z632" s="852"/>
      <c r="AA632" s="851"/>
      <c r="AB632" s="787"/>
      <c r="AC632" s="829"/>
      <c r="AD632" s="852"/>
      <c r="AE632" s="851"/>
      <c r="AF632" s="787"/>
      <c r="AG632" s="355">
        <v>2765</v>
      </c>
      <c r="AL632" s="123"/>
    </row>
    <row r="633" spans="1:38" x14ac:dyDescent="0.4">
      <c r="A633" s="65"/>
      <c r="B633" s="356">
        <v>2770</v>
      </c>
      <c r="C633" s="851"/>
      <c r="D633" s="787"/>
      <c r="E633" s="829"/>
      <c r="F633" s="852"/>
      <c r="G633" s="851"/>
      <c r="H633" s="787"/>
      <c r="I633" s="829"/>
      <c r="J633" s="852"/>
      <c r="K633" s="851"/>
      <c r="L633" s="787"/>
      <c r="M633" s="829"/>
      <c r="N633" s="852"/>
      <c r="O633" s="851"/>
      <c r="P633" s="787"/>
      <c r="Q633" s="829"/>
      <c r="R633" s="852"/>
      <c r="S633" s="851"/>
      <c r="T633" s="787"/>
      <c r="U633" s="829"/>
      <c r="V633" s="852"/>
      <c r="W633" s="851"/>
      <c r="X633" s="787"/>
      <c r="Y633" s="829"/>
      <c r="Z633" s="852"/>
      <c r="AA633" s="851"/>
      <c r="AB633" s="787"/>
      <c r="AC633" s="829"/>
      <c r="AD633" s="852"/>
      <c r="AE633" s="851"/>
      <c r="AF633" s="787"/>
      <c r="AG633" s="355">
        <v>2770</v>
      </c>
      <c r="AL633" s="123"/>
    </row>
    <row r="634" spans="1:38" x14ac:dyDescent="0.4">
      <c r="A634" s="65"/>
      <c r="B634" s="356">
        <v>2775</v>
      </c>
      <c r="C634" s="851"/>
      <c r="D634" s="787"/>
      <c r="E634" s="829"/>
      <c r="F634" s="852"/>
      <c r="G634" s="851"/>
      <c r="H634" s="787"/>
      <c r="I634" s="829"/>
      <c r="J634" s="852"/>
      <c r="K634" s="851"/>
      <c r="L634" s="787"/>
      <c r="M634" s="829"/>
      <c r="N634" s="852"/>
      <c r="O634" s="851"/>
      <c r="P634" s="787"/>
      <c r="Q634" s="829"/>
      <c r="R634" s="852"/>
      <c r="S634" s="851"/>
      <c r="T634" s="787"/>
      <c r="U634" s="829"/>
      <c r="V634" s="852"/>
      <c r="W634" s="851"/>
      <c r="X634" s="787"/>
      <c r="Y634" s="829"/>
      <c r="Z634" s="852"/>
      <c r="AA634" s="851"/>
      <c r="AB634" s="787"/>
      <c r="AC634" s="829"/>
      <c r="AD634" s="852"/>
      <c r="AE634" s="851"/>
      <c r="AF634" s="787"/>
      <c r="AG634" s="355">
        <v>2775</v>
      </c>
      <c r="AL634" s="123"/>
    </row>
    <row r="635" spans="1:38" x14ac:dyDescent="0.4">
      <c r="A635" s="65"/>
      <c r="B635" s="356">
        <v>2780</v>
      </c>
      <c r="C635" s="851"/>
      <c r="D635" s="787"/>
      <c r="E635" s="829"/>
      <c r="F635" s="852"/>
      <c r="G635" s="851"/>
      <c r="H635" s="787"/>
      <c r="I635" s="829"/>
      <c r="J635" s="852"/>
      <c r="K635" s="851"/>
      <c r="L635" s="787"/>
      <c r="M635" s="829"/>
      <c r="N635" s="852"/>
      <c r="O635" s="851"/>
      <c r="P635" s="787"/>
      <c r="Q635" s="829"/>
      <c r="R635" s="852"/>
      <c r="S635" s="851"/>
      <c r="T635" s="787"/>
      <c r="U635" s="829"/>
      <c r="V635" s="852"/>
      <c r="W635" s="851"/>
      <c r="X635" s="787"/>
      <c r="Y635" s="829"/>
      <c r="Z635" s="852"/>
      <c r="AA635" s="851"/>
      <c r="AB635" s="787"/>
      <c r="AC635" s="829"/>
      <c r="AD635" s="852"/>
      <c r="AE635" s="851"/>
      <c r="AF635" s="787"/>
      <c r="AG635" s="355">
        <v>2780</v>
      </c>
      <c r="AL635" s="123"/>
    </row>
    <row r="636" spans="1:38" x14ac:dyDescent="0.4">
      <c r="A636" s="65"/>
      <c r="B636" s="356">
        <v>2785</v>
      </c>
      <c r="C636" s="851"/>
      <c r="D636" s="787"/>
      <c r="E636" s="829"/>
      <c r="F636" s="852"/>
      <c r="G636" s="851"/>
      <c r="H636" s="787"/>
      <c r="I636" s="829"/>
      <c r="J636" s="852"/>
      <c r="K636" s="851"/>
      <c r="L636" s="787"/>
      <c r="M636" s="829"/>
      <c r="N636" s="852"/>
      <c r="O636" s="851"/>
      <c r="P636" s="787"/>
      <c r="Q636" s="829"/>
      <c r="R636" s="852"/>
      <c r="S636" s="851"/>
      <c r="T636" s="787"/>
      <c r="U636" s="829"/>
      <c r="V636" s="852"/>
      <c r="W636" s="851"/>
      <c r="X636" s="787"/>
      <c r="Y636" s="829"/>
      <c r="Z636" s="852"/>
      <c r="AA636" s="851"/>
      <c r="AB636" s="787"/>
      <c r="AC636" s="829"/>
      <c r="AD636" s="852"/>
      <c r="AE636" s="851"/>
      <c r="AF636" s="787"/>
      <c r="AG636" s="355">
        <v>2785</v>
      </c>
      <c r="AL636" s="123"/>
    </row>
    <row r="637" spans="1:38" x14ac:dyDescent="0.4">
      <c r="A637" s="65"/>
      <c r="B637" s="356">
        <v>2790</v>
      </c>
      <c r="C637" s="851"/>
      <c r="D637" s="787"/>
      <c r="E637" s="829"/>
      <c r="F637" s="852"/>
      <c r="G637" s="851"/>
      <c r="H637" s="787"/>
      <c r="I637" s="829"/>
      <c r="J637" s="852"/>
      <c r="K637" s="851"/>
      <c r="L637" s="787"/>
      <c r="M637" s="829"/>
      <c r="N637" s="852"/>
      <c r="O637" s="851"/>
      <c r="P637" s="787"/>
      <c r="Q637" s="829"/>
      <c r="R637" s="852"/>
      <c r="S637" s="851"/>
      <c r="T637" s="787"/>
      <c r="U637" s="829"/>
      <c r="V637" s="852"/>
      <c r="W637" s="851"/>
      <c r="X637" s="787"/>
      <c r="Y637" s="829"/>
      <c r="Z637" s="852"/>
      <c r="AA637" s="851"/>
      <c r="AB637" s="787"/>
      <c r="AC637" s="829"/>
      <c r="AD637" s="852"/>
      <c r="AE637" s="851"/>
      <c r="AF637" s="787"/>
      <c r="AG637" s="355">
        <v>2790</v>
      </c>
      <c r="AL637" s="123"/>
    </row>
    <row r="638" spans="1:38" x14ac:dyDescent="0.4">
      <c r="A638" s="65"/>
      <c r="B638" s="356">
        <v>2795</v>
      </c>
      <c r="C638" s="851"/>
      <c r="D638" s="787"/>
      <c r="E638" s="829"/>
      <c r="F638" s="852"/>
      <c r="G638" s="851"/>
      <c r="H638" s="787"/>
      <c r="I638" s="829"/>
      <c r="J638" s="852"/>
      <c r="K638" s="851"/>
      <c r="L638" s="787"/>
      <c r="M638" s="829"/>
      <c r="N638" s="852"/>
      <c r="O638" s="851"/>
      <c r="P638" s="787"/>
      <c r="Q638" s="829"/>
      <c r="R638" s="852"/>
      <c r="S638" s="851"/>
      <c r="T638" s="787"/>
      <c r="U638" s="829"/>
      <c r="V638" s="852"/>
      <c r="W638" s="851"/>
      <c r="X638" s="787"/>
      <c r="Y638" s="829"/>
      <c r="Z638" s="852"/>
      <c r="AA638" s="851"/>
      <c r="AB638" s="787"/>
      <c r="AC638" s="829"/>
      <c r="AD638" s="852"/>
      <c r="AE638" s="851"/>
      <c r="AF638" s="787"/>
      <c r="AG638" s="355">
        <v>2795</v>
      </c>
      <c r="AL638" s="123"/>
    </row>
    <row r="639" spans="1:38" x14ac:dyDescent="0.4">
      <c r="A639" s="65"/>
      <c r="B639" s="356">
        <v>2800</v>
      </c>
      <c r="C639" s="851"/>
      <c r="D639" s="787"/>
      <c r="E639" s="829"/>
      <c r="F639" s="852"/>
      <c r="G639" s="851"/>
      <c r="H639" s="787"/>
      <c r="I639" s="829"/>
      <c r="J639" s="852"/>
      <c r="K639" s="851"/>
      <c r="L639" s="787"/>
      <c r="M639" s="829"/>
      <c r="N639" s="852"/>
      <c r="O639" s="851"/>
      <c r="P639" s="787"/>
      <c r="Q639" s="829"/>
      <c r="R639" s="852"/>
      <c r="S639" s="851"/>
      <c r="T639" s="787"/>
      <c r="U639" s="829"/>
      <c r="V639" s="852"/>
      <c r="W639" s="851"/>
      <c r="X639" s="787"/>
      <c r="Y639" s="829"/>
      <c r="Z639" s="852"/>
      <c r="AA639" s="851"/>
      <c r="AB639" s="787"/>
      <c r="AC639" s="829"/>
      <c r="AD639" s="852"/>
      <c r="AE639" s="851"/>
      <c r="AF639" s="787"/>
      <c r="AG639" s="355">
        <v>2800</v>
      </c>
      <c r="AL639" s="123"/>
    </row>
    <row r="640" spans="1:38" x14ac:dyDescent="0.4">
      <c r="A640" s="65"/>
      <c r="B640" s="356">
        <v>2805</v>
      </c>
      <c r="C640" s="851"/>
      <c r="D640" s="787"/>
      <c r="E640" s="829"/>
      <c r="F640" s="852"/>
      <c r="G640" s="851"/>
      <c r="H640" s="787"/>
      <c r="I640" s="829"/>
      <c r="J640" s="852"/>
      <c r="K640" s="851"/>
      <c r="L640" s="787"/>
      <c r="M640" s="829"/>
      <c r="N640" s="852"/>
      <c r="O640" s="851"/>
      <c r="P640" s="787"/>
      <c r="Q640" s="829"/>
      <c r="R640" s="852"/>
      <c r="S640" s="851"/>
      <c r="T640" s="787"/>
      <c r="U640" s="829"/>
      <c r="V640" s="852"/>
      <c r="W640" s="851"/>
      <c r="X640" s="787"/>
      <c r="Y640" s="829"/>
      <c r="Z640" s="852"/>
      <c r="AA640" s="851"/>
      <c r="AB640" s="787"/>
      <c r="AC640" s="829"/>
      <c r="AD640" s="852"/>
      <c r="AE640" s="851"/>
      <c r="AF640" s="787"/>
      <c r="AG640" s="355">
        <v>2805</v>
      </c>
      <c r="AL640" s="123"/>
    </row>
    <row r="641" spans="1:38" x14ac:dyDescent="0.4">
      <c r="A641" s="65"/>
      <c r="B641" s="356">
        <v>2810</v>
      </c>
      <c r="C641" s="851"/>
      <c r="D641" s="787"/>
      <c r="E641" s="829"/>
      <c r="F641" s="852"/>
      <c r="G641" s="851"/>
      <c r="H641" s="787"/>
      <c r="I641" s="829"/>
      <c r="J641" s="852"/>
      <c r="K641" s="851"/>
      <c r="L641" s="787"/>
      <c r="M641" s="829"/>
      <c r="N641" s="852"/>
      <c r="O641" s="851"/>
      <c r="P641" s="787"/>
      <c r="Q641" s="829"/>
      <c r="R641" s="852"/>
      <c r="S641" s="851"/>
      <c r="T641" s="787"/>
      <c r="U641" s="829"/>
      <c r="V641" s="852"/>
      <c r="W641" s="851"/>
      <c r="X641" s="787"/>
      <c r="Y641" s="829"/>
      <c r="Z641" s="852"/>
      <c r="AA641" s="851"/>
      <c r="AB641" s="787"/>
      <c r="AC641" s="829"/>
      <c r="AD641" s="852"/>
      <c r="AE641" s="851"/>
      <c r="AF641" s="787"/>
      <c r="AG641" s="355">
        <v>2810</v>
      </c>
      <c r="AL641" s="123"/>
    </row>
    <row r="642" spans="1:38" x14ac:dyDescent="0.4">
      <c r="A642" s="65"/>
      <c r="B642" s="356">
        <v>2815</v>
      </c>
      <c r="C642" s="851"/>
      <c r="D642" s="787"/>
      <c r="E642" s="829"/>
      <c r="F642" s="852"/>
      <c r="G642" s="851"/>
      <c r="H642" s="787"/>
      <c r="I642" s="829"/>
      <c r="J642" s="852"/>
      <c r="K642" s="851"/>
      <c r="L642" s="787"/>
      <c r="M642" s="829"/>
      <c r="N642" s="852"/>
      <c r="O642" s="851"/>
      <c r="P642" s="787"/>
      <c r="Q642" s="829"/>
      <c r="R642" s="852"/>
      <c r="S642" s="851"/>
      <c r="T642" s="787"/>
      <c r="U642" s="829"/>
      <c r="V642" s="852"/>
      <c r="W642" s="851"/>
      <c r="X642" s="787"/>
      <c r="Y642" s="829"/>
      <c r="Z642" s="852"/>
      <c r="AA642" s="851"/>
      <c r="AB642" s="787"/>
      <c r="AC642" s="829"/>
      <c r="AD642" s="852"/>
      <c r="AE642" s="851"/>
      <c r="AF642" s="787"/>
      <c r="AG642" s="355">
        <v>2815</v>
      </c>
      <c r="AL642" s="123"/>
    </row>
    <row r="643" spans="1:38" x14ac:dyDescent="0.4">
      <c r="A643" s="65"/>
      <c r="B643" s="356">
        <v>2820</v>
      </c>
      <c r="C643" s="851"/>
      <c r="D643" s="787"/>
      <c r="E643" s="829"/>
      <c r="F643" s="852"/>
      <c r="G643" s="851"/>
      <c r="H643" s="787"/>
      <c r="I643" s="829"/>
      <c r="J643" s="852"/>
      <c r="K643" s="851"/>
      <c r="L643" s="787"/>
      <c r="M643" s="829"/>
      <c r="N643" s="852"/>
      <c r="O643" s="851"/>
      <c r="P643" s="787"/>
      <c r="Q643" s="829"/>
      <c r="R643" s="852"/>
      <c r="S643" s="851"/>
      <c r="T643" s="787"/>
      <c r="U643" s="829"/>
      <c r="V643" s="852"/>
      <c r="W643" s="851"/>
      <c r="X643" s="787"/>
      <c r="Y643" s="829"/>
      <c r="Z643" s="852"/>
      <c r="AA643" s="851"/>
      <c r="AB643" s="787"/>
      <c r="AC643" s="829"/>
      <c r="AD643" s="852"/>
      <c r="AE643" s="851"/>
      <c r="AF643" s="787"/>
      <c r="AG643" s="355">
        <v>2820</v>
      </c>
      <c r="AL643" s="123"/>
    </row>
    <row r="644" spans="1:38" x14ac:dyDescent="0.4">
      <c r="A644" s="65"/>
      <c r="B644" s="356">
        <v>2825</v>
      </c>
      <c r="C644" s="851"/>
      <c r="D644" s="787"/>
      <c r="E644" s="829"/>
      <c r="F644" s="852"/>
      <c r="G644" s="851"/>
      <c r="H644" s="787"/>
      <c r="I644" s="829"/>
      <c r="J644" s="852"/>
      <c r="K644" s="851"/>
      <c r="L644" s="787"/>
      <c r="M644" s="829"/>
      <c r="N644" s="852"/>
      <c r="O644" s="851"/>
      <c r="P644" s="787"/>
      <c r="Q644" s="829"/>
      <c r="R644" s="852"/>
      <c r="S644" s="851"/>
      <c r="T644" s="787"/>
      <c r="U644" s="829"/>
      <c r="V644" s="852"/>
      <c r="W644" s="851"/>
      <c r="X644" s="787"/>
      <c r="Y644" s="829"/>
      <c r="Z644" s="852"/>
      <c r="AA644" s="851"/>
      <c r="AB644" s="787"/>
      <c r="AC644" s="829"/>
      <c r="AD644" s="852"/>
      <c r="AE644" s="851"/>
      <c r="AF644" s="787"/>
      <c r="AG644" s="355">
        <v>2825</v>
      </c>
      <c r="AL644" s="123"/>
    </row>
    <row r="645" spans="1:38" x14ac:dyDescent="0.4">
      <c r="A645" s="65"/>
      <c r="B645" s="356">
        <v>2830</v>
      </c>
      <c r="C645" s="851"/>
      <c r="D645" s="787"/>
      <c r="E645" s="829"/>
      <c r="F645" s="852"/>
      <c r="G645" s="851"/>
      <c r="H645" s="787"/>
      <c r="I645" s="829"/>
      <c r="J645" s="852"/>
      <c r="K645" s="851"/>
      <c r="L645" s="787"/>
      <c r="M645" s="829"/>
      <c r="N645" s="852"/>
      <c r="O645" s="851"/>
      <c r="P645" s="787"/>
      <c r="Q645" s="829"/>
      <c r="R645" s="852"/>
      <c r="S645" s="851"/>
      <c r="T645" s="787"/>
      <c r="U645" s="829"/>
      <c r="V645" s="852"/>
      <c r="W645" s="851"/>
      <c r="X645" s="787"/>
      <c r="Y645" s="829"/>
      <c r="Z645" s="852"/>
      <c r="AA645" s="851"/>
      <c r="AB645" s="787"/>
      <c r="AC645" s="829"/>
      <c r="AD645" s="852"/>
      <c r="AE645" s="851"/>
      <c r="AF645" s="787"/>
      <c r="AG645" s="355">
        <v>2830</v>
      </c>
      <c r="AL645" s="123"/>
    </row>
    <row r="646" spans="1:38" x14ac:dyDescent="0.4">
      <c r="A646" s="65"/>
      <c r="B646" s="356">
        <v>2835</v>
      </c>
      <c r="C646" s="851"/>
      <c r="D646" s="787"/>
      <c r="E646" s="829"/>
      <c r="F646" s="852"/>
      <c r="G646" s="851"/>
      <c r="H646" s="787"/>
      <c r="I646" s="829"/>
      <c r="J646" s="852"/>
      <c r="K646" s="851"/>
      <c r="L646" s="787"/>
      <c r="M646" s="829"/>
      <c r="N646" s="852"/>
      <c r="O646" s="851"/>
      <c r="P646" s="787"/>
      <c r="Q646" s="829"/>
      <c r="R646" s="852"/>
      <c r="S646" s="851"/>
      <c r="T646" s="787"/>
      <c r="U646" s="829"/>
      <c r="V646" s="852"/>
      <c r="W646" s="851"/>
      <c r="X646" s="787"/>
      <c r="Y646" s="829"/>
      <c r="Z646" s="852"/>
      <c r="AA646" s="851"/>
      <c r="AB646" s="787"/>
      <c r="AC646" s="829"/>
      <c r="AD646" s="852"/>
      <c r="AE646" s="851"/>
      <c r="AF646" s="787"/>
      <c r="AG646" s="355">
        <v>2835</v>
      </c>
      <c r="AL646" s="123"/>
    </row>
    <row r="647" spans="1:38" x14ac:dyDescent="0.4">
      <c r="A647" s="65"/>
      <c r="B647" s="356">
        <v>2840</v>
      </c>
      <c r="C647" s="851"/>
      <c r="D647" s="787"/>
      <c r="E647" s="829"/>
      <c r="F647" s="852"/>
      <c r="G647" s="851"/>
      <c r="H647" s="787"/>
      <c r="I647" s="829"/>
      <c r="J647" s="852"/>
      <c r="K647" s="851"/>
      <c r="L647" s="787"/>
      <c r="M647" s="829"/>
      <c r="N647" s="852"/>
      <c r="O647" s="851"/>
      <c r="P647" s="787"/>
      <c r="Q647" s="829"/>
      <c r="R647" s="852"/>
      <c r="S647" s="851"/>
      <c r="T647" s="787"/>
      <c r="U647" s="829"/>
      <c r="V647" s="852"/>
      <c r="W647" s="851"/>
      <c r="X647" s="787"/>
      <c r="Y647" s="829"/>
      <c r="Z647" s="852"/>
      <c r="AA647" s="851"/>
      <c r="AB647" s="787"/>
      <c r="AC647" s="829"/>
      <c r="AD647" s="852"/>
      <c r="AE647" s="851"/>
      <c r="AF647" s="787"/>
      <c r="AG647" s="355">
        <v>2840</v>
      </c>
      <c r="AL647" s="123"/>
    </row>
    <row r="648" spans="1:38" x14ac:dyDescent="0.4">
      <c r="A648" s="65"/>
      <c r="B648" s="356">
        <v>2845</v>
      </c>
      <c r="C648" s="851"/>
      <c r="D648" s="787"/>
      <c r="E648" s="829"/>
      <c r="F648" s="852"/>
      <c r="G648" s="851"/>
      <c r="H648" s="787"/>
      <c r="I648" s="829"/>
      <c r="J648" s="852"/>
      <c r="K648" s="851"/>
      <c r="L648" s="787"/>
      <c r="M648" s="829"/>
      <c r="N648" s="852"/>
      <c r="O648" s="851"/>
      <c r="P648" s="787"/>
      <c r="Q648" s="829"/>
      <c r="R648" s="852"/>
      <c r="S648" s="851"/>
      <c r="T648" s="787"/>
      <c r="U648" s="829"/>
      <c r="V648" s="852"/>
      <c r="W648" s="851"/>
      <c r="X648" s="787"/>
      <c r="Y648" s="829"/>
      <c r="Z648" s="852"/>
      <c r="AA648" s="851"/>
      <c r="AB648" s="787"/>
      <c r="AC648" s="829"/>
      <c r="AD648" s="852"/>
      <c r="AE648" s="851"/>
      <c r="AF648" s="787"/>
      <c r="AG648" s="355">
        <v>2845</v>
      </c>
      <c r="AL648" s="123"/>
    </row>
    <row r="649" spans="1:38" x14ac:dyDescent="0.4">
      <c r="A649" s="65"/>
      <c r="B649" s="356">
        <v>2850</v>
      </c>
      <c r="C649" s="851"/>
      <c r="D649" s="787"/>
      <c r="E649" s="829"/>
      <c r="F649" s="852"/>
      <c r="G649" s="851"/>
      <c r="H649" s="787"/>
      <c r="I649" s="829"/>
      <c r="J649" s="852"/>
      <c r="K649" s="851"/>
      <c r="L649" s="787"/>
      <c r="M649" s="829"/>
      <c r="N649" s="852"/>
      <c r="O649" s="851"/>
      <c r="P649" s="787"/>
      <c r="Q649" s="829"/>
      <c r="R649" s="852"/>
      <c r="S649" s="851"/>
      <c r="T649" s="787"/>
      <c r="U649" s="829"/>
      <c r="V649" s="852"/>
      <c r="W649" s="851"/>
      <c r="X649" s="787"/>
      <c r="Y649" s="829"/>
      <c r="Z649" s="852"/>
      <c r="AA649" s="851"/>
      <c r="AB649" s="787"/>
      <c r="AC649" s="829"/>
      <c r="AD649" s="852"/>
      <c r="AE649" s="851"/>
      <c r="AF649" s="787"/>
      <c r="AG649" s="355">
        <v>2850</v>
      </c>
      <c r="AL649" s="123"/>
    </row>
    <row r="650" spans="1:38" x14ac:dyDescent="0.4">
      <c r="A650" s="65"/>
      <c r="B650" s="356">
        <v>2855</v>
      </c>
      <c r="C650" s="851"/>
      <c r="D650" s="787"/>
      <c r="E650" s="829"/>
      <c r="F650" s="852"/>
      <c r="G650" s="851"/>
      <c r="H650" s="787"/>
      <c r="I650" s="829"/>
      <c r="J650" s="852"/>
      <c r="K650" s="851"/>
      <c r="L650" s="787"/>
      <c r="M650" s="829"/>
      <c r="N650" s="852"/>
      <c r="O650" s="851"/>
      <c r="P650" s="787"/>
      <c r="Q650" s="829"/>
      <c r="R650" s="852"/>
      <c r="S650" s="851"/>
      <c r="T650" s="787"/>
      <c r="U650" s="829"/>
      <c r="V650" s="852"/>
      <c r="W650" s="851"/>
      <c r="X650" s="787"/>
      <c r="Y650" s="829"/>
      <c r="Z650" s="852"/>
      <c r="AA650" s="851"/>
      <c r="AB650" s="787"/>
      <c r="AC650" s="829"/>
      <c r="AD650" s="852"/>
      <c r="AE650" s="851"/>
      <c r="AF650" s="787"/>
      <c r="AG650" s="355">
        <v>2855</v>
      </c>
      <c r="AL650" s="123"/>
    </row>
    <row r="651" spans="1:38" x14ac:dyDescent="0.4">
      <c r="A651" s="65"/>
      <c r="B651" s="356">
        <v>2860</v>
      </c>
      <c r="C651" s="851"/>
      <c r="D651" s="787"/>
      <c r="E651" s="829"/>
      <c r="F651" s="852"/>
      <c r="G651" s="851"/>
      <c r="H651" s="787"/>
      <c r="I651" s="829"/>
      <c r="J651" s="852"/>
      <c r="K651" s="851"/>
      <c r="L651" s="787"/>
      <c r="M651" s="829"/>
      <c r="N651" s="852"/>
      <c r="O651" s="851"/>
      <c r="P651" s="787"/>
      <c r="Q651" s="829"/>
      <c r="R651" s="852"/>
      <c r="S651" s="851"/>
      <c r="T651" s="787"/>
      <c r="U651" s="829"/>
      <c r="V651" s="852"/>
      <c r="W651" s="851"/>
      <c r="X651" s="787"/>
      <c r="Y651" s="829"/>
      <c r="Z651" s="852"/>
      <c r="AA651" s="851"/>
      <c r="AB651" s="787"/>
      <c r="AC651" s="829"/>
      <c r="AD651" s="852"/>
      <c r="AE651" s="851"/>
      <c r="AF651" s="787"/>
      <c r="AG651" s="355">
        <v>2860</v>
      </c>
      <c r="AL651" s="123"/>
    </row>
    <row r="652" spans="1:38" x14ac:dyDescent="0.4">
      <c r="A652" s="65"/>
      <c r="B652" s="356">
        <v>2865</v>
      </c>
      <c r="C652" s="851"/>
      <c r="D652" s="787"/>
      <c r="E652" s="829"/>
      <c r="F652" s="852"/>
      <c r="G652" s="851"/>
      <c r="H652" s="787"/>
      <c r="I652" s="829"/>
      <c r="J652" s="852"/>
      <c r="K652" s="851"/>
      <c r="L652" s="787"/>
      <c r="M652" s="829"/>
      <c r="N652" s="852"/>
      <c r="O652" s="851"/>
      <c r="P652" s="787"/>
      <c r="Q652" s="829"/>
      <c r="R652" s="852"/>
      <c r="S652" s="851"/>
      <c r="T652" s="787"/>
      <c r="U652" s="829"/>
      <c r="V652" s="852"/>
      <c r="W652" s="851"/>
      <c r="X652" s="787"/>
      <c r="Y652" s="829"/>
      <c r="Z652" s="852"/>
      <c r="AA652" s="851"/>
      <c r="AB652" s="787"/>
      <c r="AC652" s="829"/>
      <c r="AD652" s="852"/>
      <c r="AE652" s="851"/>
      <c r="AF652" s="787"/>
      <c r="AG652" s="355">
        <v>2865</v>
      </c>
      <c r="AL652" s="123"/>
    </row>
    <row r="653" spans="1:38" x14ac:dyDescent="0.4">
      <c r="A653" s="65"/>
      <c r="B653" s="356">
        <v>2870</v>
      </c>
      <c r="C653" s="851"/>
      <c r="D653" s="787"/>
      <c r="E653" s="829"/>
      <c r="F653" s="852"/>
      <c r="G653" s="851"/>
      <c r="H653" s="787"/>
      <c r="I653" s="829"/>
      <c r="J653" s="852"/>
      <c r="K653" s="851"/>
      <c r="L653" s="787"/>
      <c r="M653" s="829"/>
      <c r="N653" s="852"/>
      <c r="O653" s="851"/>
      <c r="P653" s="787"/>
      <c r="Q653" s="829"/>
      <c r="R653" s="852"/>
      <c r="S653" s="851"/>
      <c r="T653" s="787"/>
      <c r="U653" s="829"/>
      <c r="V653" s="852"/>
      <c r="W653" s="851"/>
      <c r="X653" s="787"/>
      <c r="Y653" s="829"/>
      <c r="Z653" s="852"/>
      <c r="AA653" s="851"/>
      <c r="AB653" s="787"/>
      <c r="AC653" s="829"/>
      <c r="AD653" s="852"/>
      <c r="AE653" s="851"/>
      <c r="AF653" s="787"/>
      <c r="AG653" s="355">
        <v>2870</v>
      </c>
      <c r="AL653" s="123"/>
    </row>
    <row r="654" spans="1:38" x14ac:dyDescent="0.4">
      <c r="A654" s="65"/>
      <c r="B654" s="356">
        <v>2875</v>
      </c>
      <c r="C654" s="851"/>
      <c r="D654" s="787"/>
      <c r="E654" s="829"/>
      <c r="F654" s="852"/>
      <c r="G654" s="851"/>
      <c r="H654" s="787"/>
      <c r="I654" s="829"/>
      <c r="J654" s="852"/>
      <c r="K654" s="851"/>
      <c r="L654" s="787"/>
      <c r="M654" s="829"/>
      <c r="N654" s="852"/>
      <c r="O654" s="851"/>
      <c r="P654" s="787"/>
      <c r="Q654" s="829"/>
      <c r="R654" s="852"/>
      <c r="S654" s="851"/>
      <c r="T654" s="787"/>
      <c r="U654" s="829"/>
      <c r="V654" s="852"/>
      <c r="W654" s="851"/>
      <c r="X654" s="787"/>
      <c r="Y654" s="829"/>
      <c r="Z654" s="852"/>
      <c r="AA654" s="851"/>
      <c r="AB654" s="787"/>
      <c r="AC654" s="829"/>
      <c r="AD654" s="852"/>
      <c r="AE654" s="851"/>
      <c r="AF654" s="787"/>
      <c r="AG654" s="355">
        <v>2875</v>
      </c>
      <c r="AL654" s="123"/>
    </row>
    <row r="655" spans="1:38" x14ac:dyDescent="0.4">
      <c r="A655" s="65"/>
      <c r="B655" s="356">
        <v>2880</v>
      </c>
      <c r="C655" s="851"/>
      <c r="D655" s="787"/>
      <c r="E655" s="829"/>
      <c r="F655" s="852"/>
      <c r="G655" s="851"/>
      <c r="H655" s="787"/>
      <c r="I655" s="829"/>
      <c r="J655" s="852"/>
      <c r="K655" s="851"/>
      <c r="L655" s="787"/>
      <c r="M655" s="829"/>
      <c r="N655" s="852"/>
      <c r="O655" s="851"/>
      <c r="P655" s="787"/>
      <c r="Q655" s="829"/>
      <c r="R655" s="852"/>
      <c r="S655" s="851"/>
      <c r="T655" s="787"/>
      <c r="U655" s="829"/>
      <c r="V655" s="852"/>
      <c r="W655" s="851"/>
      <c r="X655" s="787"/>
      <c r="Y655" s="829"/>
      <c r="Z655" s="852"/>
      <c r="AA655" s="851"/>
      <c r="AB655" s="787"/>
      <c r="AC655" s="829"/>
      <c r="AD655" s="852"/>
      <c r="AE655" s="851"/>
      <c r="AF655" s="787"/>
      <c r="AG655" s="355">
        <v>2880</v>
      </c>
      <c r="AL655" s="123"/>
    </row>
    <row r="656" spans="1:38" x14ac:dyDescent="0.4">
      <c r="A656" s="65"/>
      <c r="B656" s="356">
        <v>2885</v>
      </c>
      <c r="C656" s="851"/>
      <c r="D656" s="787"/>
      <c r="E656" s="829"/>
      <c r="F656" s="852"/>
      <c r="G656" s="851"/>
      <c r="H656" s="787"/>
      <c r="I656" s="829"/>
      <c r="J656" s="852"/>
      <c r="K656" s="851"/>
      <c r="L656" s="787"/>
      <c r="M656" s="829"/>
      <c r="N656" s="852"/>
      <c r="O656" s="851"/>
      <c r="P656" s="787"/>
      <c r="Q656" s="829"/>
      <c r="R656" s="852"/>
      <c r="S656" s="851"/>
      <c r="T656" s="787"/>
      <c r="U656" s="829"/>
      <c r="V656" s="852"/>
      <c r="W656" s="851"/>
      <c r="X656" s="787"/>
      <c r="Y656" s="829"/>
      <c r="Z656" s="852"/>
      <c r="AA656" s="851"/>
      <c r="AB656" s="787"/>
      <c r="AC656" s="829"/>
      <c r="AD656" s="852"/>
      <c r="AE656" s="851"/>
      <c r="AF656" s="787"/>
      <c r="AG656" s="355">
        <v>2885</v>
      </c>
      <c r="AL656" s="123"/>
    </row>
    <row r="657" spans="1:38" x14ac:dyDescent="0.4">
      <c r="A657" s="65"/>
      <c r="B657" s="356">
        <v>2890</v>
      </c>
      <c r="C657" s="851"/>
      <c r="D657" s="787"/>
      <c r="E657" s="829"/>
      <c r="F657" s="852"/>
      <c r="G657" s="851"/>
      <c r="H657" s="787"/>
      <c r="I657" s="829"/>
      <c r="J657" s="852"/>
      <c r="K657" s="851"/>
      <c r="L657" s="787"/>
      <c r="M657" s="829"/>
      <c r="N657" s="852"/>
      <c r="O657" s="851"/>
      <c r="P657" s="787"/>
      <c r="Q657" s="829"/>
      <c r="R657" s="852"/>
      <c r="S657" s="851"/>
      <c r="T657" s="787"/>
      <c r="U657" s="829"/>
      <c r="V657" s="852"/>
      <c r="W657" s="851"/>
      <c r="X657" s="787"/>
      <c r="Y657" s="829"/>
      <c r="Z657" s="852"/>
      <c r="AA657" s="851"/>
      <c r="AB657" s="787"/>
      <c r="AC657" s="829"/>
      <c r="AD657" s="852"/>
      <c r="AE657" s="851"/>
      <c r="AF657" s="787"/>
      <c r="AG657" s="355">
        <v>2890</v>
      </c>
      <c r="AL657" s="123"/>
    </row>
    <row r="658" spans="1:38" x14ac:dyDescent="0.4">
      <c r="A658" s="65"/>
      <c r="B658" s="356">
        <v>2895</v>
      </c>
      <c r="C658" s="851"/>
      <c r="D658" s="787"/>
      <c r="E658" s="829"/>
      <c r="F658" s="852"/>
      <c r="G658" s="851"/>
      <c r="H658" s="787"/>
      <c r="I658" s="829"/>
      <c r="J658" s="852"/>
      <c r="K658" s="851"/>
      <c r="L658" s="787"/>
      <c r="M658" s="829"/>
      <c r="N658" s="852"/>
      <c r="O658" s="851"/>
      <c r="P658" s="787"/>
      <c r="Q658" s="829"/>
      <c r="R658" s="852"/>
      <c r="S658" s="851"/>
      <c r="T658" s="787"/>
      <c r="U658" s="829"/>
      <c r="V658" s="852"/>
      <c r="W658" s="851"/>
      <c r="X658" s="787"/>
      <c r="Y658" s="829"/>
      <c r="Z658" s="852"/>
      <c r="AA658" s="851"/>
      <c r="AB658" s="787"/>
      <c r="AC658" s="829"/>
      <c r="AD658" s="852"/>
      <c r="AE658" s="851"/>
      <c r="AF658" s="787"/>
      <c r="AG658" s="355">
        <v>2895</v>
      </c>
      <c r="AL658" s="123"/>
    </row>
    <row r="659" spans="1:38" x14ac:dyDescent="0.4">
      <c r="A659" s="65"/>
      <c r="B659" s="356">
        <v>2900</v>
      </c>
      <c r="C659" s="851"/>
      <c r="D659" s="787"/>
      <c r="E659" s="829"/>
      <c r="F659" s="852"/>
      <c r="G659" s="851"/>
      <c r="H659" s="787"/>
      <c r="I659" s="829"/>
      <c r="J659" s="852"/>
      <c r="K659" s="851"/>
      <c r="L659" s="787"/>
      <c r="M659" s="829"/>
      <c r="N659" s="852"/>
      <c r="O659" s="851"/>
      <c r="P659" s="787"/>
      <c r="Q659" s="829"/>
      <c r="R659" s="852"/>
      <c r="S659" s="851"/>
      <c r="T659" s="787"/>
      <c r="U659" s="829"/>
      <c r="V659" s="852"/>
      <c r="W659" s="851"/>
      <c r="X659" s="787"/>
      <c r="Y659" s="829"/>
      <c r="Z659" s="852"/>
      <c r="AA659" s="851"/>
      <c r="AB659" s="787"/>
      <c r="AC659" s="829"/>
      <c r="AD659" s="852"/>
      <c r="AE659" s="851"/>
      <c r="AF659" s="787"/>
      <c r="AG659" s="355">
        <v>2900</v>
      </c>
      <c r="AL659" s="123"/>
    </row>
    <row r="660" spans="1:38" x14ac:dyDescent="0.4">
      <c r="A660" s="65"/>
      <c r="B660" s="356">
        <v>2905</v>
      </c>
      <c r="C660" s="851"/>
      <c r="D660" s="787"/>
      <c r="E660" s="829"/>
      <c r="F660" s="852"/>
      <c r="G660" s="851"/>
      <c r="H660" s="787"/>
      <c r="I660" s="829"/>
      <c r="J660" s="852"/>
      <c r="K660" s="851"/>
      <c r="L660" s="787"/>
      <c r="M660" s="829"/>
      <c r="N660" s="852"/>
      <c r="O660" s="851"/>
      <c r="P660" s="787"/>
      <c r="Q660" s="829"/>
      <c r="R660" s="852"/>
      <c r="S660" s="851"/>
      <c r="T660" s="787"/>
      <c r="U660" s="829"/>
      <c r="V660" s="852"/>
      <c r="W660" s="851"/>
      <c r="X660" s="787"/>
      <c r="Y660" s="829"/>
      <c r="Z660" s="852"/>
      <c r="AA660" s="851"/>
      <c r="AB660" s="787"/>
      <c r="AC660" s="829"/>
      <c r="AD660" s="852"/>
      <c r="AE660" s="851"/>
      <c r="AF660" s="787"/>
      <c r="AG660" s="355">
        <v>2905</v>
      </c>
      <c r="AL660" s="123"/>
    </row>
    <row r="661" spans="1:38" x14ac:dyDescent="0.4">
      <c r="A661" s="65"/>
      <c r="B661" s="356">
        <v>2910</v>
      </c>
      <c r="C661" s="851"/>
      <c r="D661" s="787"/>
      <c r="E661" s="829"/>
      <c r="F661" s="852"/>
      <c r="G661" s="851"/>
      <c r="H661" s="787"/>
      <c r="I661" s="829"/>
      <c r="J661" s="852"/>
      <c r="K661" s="851"/>
      <c r="L661" s="787"/>
      <c r="M661" s="829"/>
      <c r="N661" s="852"/>
      <c r="O661" s="851"/>
      <c r="P661" s="787"/>
      <c r="Q661" s="829"/>
      <c r="R661" s="852"/>
      <c r="S661" s="851"/>
      <c r="T661" s="787"/>
      <c r="U661" s="829"/>
      <c r="V661" s="852"/>
      <c r="W661" s="851"/>
      <c r="X661" s="787"/>
      <c r="Y661" s="829"/>
      <c r="Z661" s="852"/>
      <c r="AA661" s="851"/>
      <c r="AB661" s="787"/>
      <c r="AC661" s="829"/>
      <c r="AD661" s="852"/>
      <c r="AE661" s="851"/>
      <c r="AF661" s="787"/>
      <c r="AG661" s="355">
        <v>2910</v>
      </c>
      <c r="AL661" s="123"/>
    </row>
    <row r="662" spans="1:38" x14ac:dyDescent="0.4">
      <c r="A662" s="65"/>
      <c r="B662" s="356">
        <v>2915</v>
      </c>
      <c r="C662" s="851"/>
      <c r="D662" s="787"/>
      <c r="E662" s="829"/>
      <c r="F662" s="852"/>
      <c r="G662" s="851"/>
      <c r="H662" s="787"/>
      <c r="I662" s="829"/>
      <c r="J662" s="852"/>
      <c r="K662" s="851"/>
      <c r="L662" s="787"/>
      <c r="M662" s="829"/>
      <c r="N662" s="852"/>
      <c r="O662" s="851"/>
      <c r="P662" s="787"/>
      <c r="Q662" s="829"/>
      <c r="R662" s="852"/>
      <c r="S662" s="851"/>
      <c r="T662" s="787"/>
      <c r="U662" s="829"/>
      <c r="V662" s="852"/>
      <c r="W662" s="851"/>
      <c r="X662" s="787"/>
      <c r="Y662" s="829"/>
      <c r="Z662" s="852"/>
      <c r="AA662" s="851"/>
      <c r="AB662" s="787"/>
      <c r="AC662" s="829"/>
      <c r="AD662" s="852"/>
      <c r="AE662" s="851"/>
      <c r="AF662" s="787"/>
      <c r="AG662" s="355">
        <v>2915</v>
      </c>
      <c r="AL662" s="123"/>
    </row>
    <row r="663" spans="1:38" x14ac:dyDescent="0.4">
      <c r="A663" s="65"/>
      <c r="B663" s="356">
        <v>2920</v>
      </c>
      <c r="C663" s="851"/>
      <c r="D663" s="787"/>
      <c r="E663" s="829"/>
      <c r="F663" s="852"/>
      <c r="G663" s="851"/>
      <c r="H663" s="787"/>
      <c r="I663" s="829"/>
      <c r="J663" s="852"/>
      <c r="K663" s="851"/>
      <c r="L663" s="787"/>
      <c r="M663" s="829"/>
      <c r="N663" s="852"/>
      <c r="O663" s="851"/>
      <c r="P663" s="787"/>
      <c r="Q663" s="829"/>
      <c r="R663" s="852"/>
      <c r="S663" s="851"/>
      <c r="T663" s="787"/>
      <c r="U663" s="829"/>
      <c r="V663" s="852"/>
      <c r="W663" s="851"/>
      <c r="X663" s="787"/>
      <c r="Y663" s="829"/>
      <c r="Z663" s="852"/>
      <c r="AA663" s="851"/>
      <c r="AB663" s="787"/>
      <c r="AC663" s="829"/>
      <c r="AD663" s="852"/>
      <c r="AE663" s="851"/>
      <c r="AF663" s="787"/>
      <c r="AG663" s="355">
        <v>2920</v>
      </c>
      <c r="AL663" s="123"/>
    </row>
    <row r="664" spans="1:38" x14ac:dyDescent="0.4">
      <c r="A664" s="65"/>
      <c r="B664" s="356">
        <v>2925</v>
      </c>
      <c r="C664" s="851"/>
      <c r="D664" s="787"/>
      <c r="E664" s="829"/>
      <c r="F664" s="852"/>
      <c r="G664" s="851"/>
      <c r="H664" s="787"/>
      <c r="I664" s="829"/>
      <c r="J664" s="852"/>
      <c r="K664" s="851"/>
      <c r="L664" s="787"/>
      <c r="M664" s="829"/>
      <c r="N664" s="852"/>
      <c r="O664" s="851"/>
      <c r="P664" s="787"/>
      <c r="Q664" s="829"/>
      <c r="R664" s="852"/>
      <c r="S664" s="851"/>
      <c r="T664" s="787"/>
      <c r="U664" s="829"/>
      <c r="V664" s="852"/>
      <c r="W664" s="851"/>
      <c r="X664" s="787"/>
      <c r="Y664" s="829"/>
      <c r="Z664" s="852"/>
      <c r="AA664" s="851"/>
      <c r="AB664" s="787"/>
      <c r="AC664" s="829"/>
      <c r="AD664" s="852"/>
      <c r="AE664" s="851"/>
      <c r="AF664" s="787"/>
      <c r="AG664" s="355">
        <v>2925</v>
      </c>
      <c r="AL664" s="123"/>
    </row>
    <row r="665" spans="1:38" x14ac:dyDescent="0.4">
      <c r="A665" s="65"/>
      <c r="B665" s="356">
        <v>2930</v>
      </c>
      <c r="C665" s="851"/>
      <c r="D665" s="787"/>
      <c r="E665" s="829"/>
      <c r="F665" s="852"/>
      <c r="G665" s="851"/>
      <c r="H665" s="787"/>
      <c r="I665" s="829"/>
      <c r="J665" s="852"/>
      <c r="K665" s="851"/>
      <c r="L665" s="787"/>
      <c r="M665" s="829"/>
      <c r="N665" s="852"/>
      <c r="O665" s="851"/>
      <c r="P665" s="787"/>
      <c r="Q665" s="829"/>
      <c r="R665" s="852"/>
      <c r="S665" s="851"/>
      <c r="T665" s="787"/>
      <c r="U665" s="829"/>
      <c r="V665" s="852"/>
      <c r="W665" s="851"/>
      <c r="X665" s="787"/>
      <c r="Y665" s="829"/>
      <c r="Z665" s="852"/>
      <c r="AA665" s="851"/>
      <c r="AB665" s="787"/>
      <c r="AC665" s="829"/>
      <c r="AD665" s="852"/>
      <c r="AE665" s="851"/>
      <c r="AF665" s="787"/>
      <c r="AG665" s="355">
        <v>2930</v>
      </c>
      <c r="AL665" s="123"/>
    </row>
    <row r="666" spans="1:38" x14ac:dyDescent="0.4">
      <c r="A666" s="65"/>
      <c r="B666" s="356">
        <v>2935</v>
      </c>
      <c r="C666" s="851"/>
      <c r="D666" s="787"/>
      <c r="E666" s="829"/>
      <c r="F666" s="852"/>
      <c r="G666" s="851"/>
      <c r="H666" s="787"/>
      <c r="I666" s="829"/>
      <c r="J666" s="852"/>
      <c r="K666" s="851"/>
      <c r="L666" s="787"/>
      <c r="M666" s="829"/>
      <c r="N666" s="852"/>
      <c r="O666" s="851"/>
      <c r="P666" s="787"/>
      <c r="Q666" s="829"/>
      <c r="R666" s="852"/>
      <c r="S666" s="851"/>
      <c r="T666" s="787"/>
      <c r="U666" s="829"/>
      <c r="V666" s="852"/>
      <c r="W666" s="851"/>
      <c r="X666" s="787"/>
      <c r="Y666" s="829"/>
      <c r="Z666" s="852"/>
      <c r="AA666" s="851"/>
      <c r="AB666" s="787"/>
      <c r="AC666" s="829"/>
      <c r="AD666" s="852"/>
      <c r="AE666" s="851"/>
      <c r="AF666" s="787"/>
      <c r="AG666" s="355">
        <v>2935</v>
      </c>
      <c r="AL666" s="123"/>
    </row>
    <row r="667" spans="1:38" x14ac:dyDescent="0.4">
      <c r="A667" s="65"/>
      <c r="B667" s="356">
        <v>2940</v>
      </c>
      <c r="C667" s="851"/>
      <c r="D667" s="787"/>
      <c r="E667" s="829"/>
      <c r="F667" s="852"/>
      <c r="G667" s="851"/>
      <c r="H667" s="787"/>
      <c r="I667" s="829"/>
      <c r="J667" s="852"/>
      <c r="K667" s="851"/>
      <c r="L667" s="787"/>
      <c r="M667" s="829"/>
      <c r="N667" s="852"/>
      <c r="O667" s="851"/>
      <c r="P667" s="787"/>
      <c r="Q667" s="829"/>
      <c r="R667" s="852"/>
      <c r="S667" s="851"/>
      <c r="T667" s="787"/>
      <c r="U667" s="829"/>
      <c r="V667" s="852"/>
      <c r="W667" s="851"/>
      <c r="X667" s="787"/>
      <c r="Y667" s="829"/>
      <c r="Z667" s="852"/>
      <c r="AA667" s="851"/>
      <c r="AB667" s="787"/>
      <c r="AC667" s="829"/>
      <c r="AD667" s="852"/>
      <c r="AE667" s="851"/>
      <c r="AF667" s="787"/>
      <c r="AG667" s="355">
        <v>2940</v>
      </c>
      <c r="AL667" s="123"/>
    </row>
    <row r="668" spans="1:38" x14ac:dyDescent="0.4">
      <c r="A668" s="65"/>
      <c r="B668" s="356">
        <v>2945</v>
      </c>
      <c r="C668" s="851"/>
      <c r="D668" s="787"/>
      <c r="E668" s="829"/>
      <c r="F668" s="852"/>
      <c r="G668" s="851"/>
      <c r="H668" s="787"/>
      <c r="I668" s="829"/>
      <c r="J668" s="852"/>
      <c r="K668" s="851"/>
      <c r="L668" s="787"/>
      <c r="M668" s="829"/>
      <c r="N668" s="852"/>
      <c r="O668" s="851"/>
      <c r="P668" s="787"/>
      <c r="Q668" s="829"/>
      <c r="R668" s="852"/>
      <c r="S668" s="851"/>
      <c r="T668" s="787"/>
      <c r="U668" s="829"/>
      <c r="V668" s="852"/>
      <c r="W668" s="851"/>
      <c r="X668" s="787"/>
      <c r="Y668" s="829"/>
      <c r="Z668" s="852"/>
      <c r="AA668" s="851"/>
      <c r="AB668" s="787"/>
      <c r="AC668" s="829"/>
      <c r="AD668" s="852"/>
      <c r="AE668" s="851"/>
      <c r="AF668" s="787"/>
      <c r="AG668" s="355">
        <v>2945</v>
      </c>
      <c r="AL668" s="123"/>
    </row>
    <row r="669" spans="1:38" x14ac:dyDescent="0.4">
      <c r="A669" s="65"/>
      <c r="B669" s="356">
        <v>2950</v>
      </c>
      <c r="C669" s="851"/>
      <c r="D669" s="787"/>
      <c r="E669" s="829"/>
      <c r="F669" s="852"/>
      <c r="G669" s="851"/>
      <c r="H669" s="787"/>
      <c r="I669" s="829"/>
      <c r="J669" s="852"/>
      <c r="K669" s="851"/>
      <c r="L669" s="787"/>
      <c r="M669" s="829"/>
      <c r="N669" s="852"/>
      <c r="O669" s="851"/>
      <c r="P669" s="787"/>
      <c r="Q669" s="829"/>
      <c r="R669" s="852"/>
      <c r="S669" s="851"/>
      <c r="T669" s="787"/>
      <c r="U669" s="829"/>
      <c r="V669" s="852"/>
      <c r="W669" s="851"/>
      <c r="X669" s="787"/>
      <c r="Y669" s="829"/>
      <c r="Z669" s="852"/>
      <c r="AA669" s="851"/>
      <c r="AB669" s="787"/>
      <c r="AC669" s="829"/>
      <c r="AD669" s="852"/>
      <c r="AE669" s="851"/>
      <c r="AF669" s="787"/>
      <c r="AG669" s="355">
        <v>2950</v>
      </c>
      <c r="AL669" s="123"/>
    </row>
    <row r="670" spans="1:38" x14ac:dyDescent="0.4">
      <c r="A670" s="65"/>
      <c r="B670" s="356">
        <v>2955</v>
      </c>
      <c r="C670" s="851"/>
      <c r="D670" s="787"/>
      <c r="E670" s="829"/>
      <c r="F670" s="852"/>
      <c r="G670" s="851"/>
      <c r="H670" s="787"/>
      <c r="I670" s="829"/>
      <c r="J670" s="852"/>
      <c r="K670" s="851"/>
      <c r="L670" s="787"/>
      <c r="M670" s="829"/>
      <c r="N670" s="852"/>
      <c r="O670" s="851"/>
      <c r="P670" s="787"/>
      <c r="Q670" s="829"/>
      <c r="R670" s="852"/>
      <c r="S670" s="851"/>
      <c r="T670" s="787"/>
      <c r="U670" s="829"/>
      <c r="V670" s="852"/>
      <c r="W670" s="851"/>
      <c r="X670" s="787"/>
      <c r="Y670" s="829"/>
      <c r="Z670" s="852"/>
      <c r="AA670" s="851"/>
      <c r="AB670" s="787"/>
      <c r="AC670" s="829"/>
      <c r="AD670" s="852"/>
      <c r="AE670" s="851"/>
      <c r="AF670" s="787"/>
      <c r="AG670" s="355">
        <v>2955</v>
      </c>
      <c r="AL670" s="123"/>
    </row>
    <row r="671" spans="1:38" x14ac:dyDescent="0.4">
      <c r="A671" s="65"/>
      <c r="B671" s="356">
        <v>2960</v>
      </c>
      <c r="C671" s="851"/>
      <c r="D671" s="787"/>
      <c r="E671" s="829"/>
      <c r="F671" s="852"/>
      <c r="G671" s="851"/>
      <c r="H671" s="787"/>
      <c r="I671" s="829"/>
      <c r="J671" s="852"/>
      <c r="K671" s="851"/>
      <c r="L671" s="787"/>
      <c r="M671" s="829"/>
      <c r="N671" s="852"/>
      <c r="O671" s="851"/>
      <c r="P671" s="787"/>
      <c r="Q671" s="829"/>
      <c r="R671" s="852"/>
      <c r="S671" s="851"/>
      <c r="T671" s="787"/>
      <c r="U671" s="829"/>
      <c r="V671" s="852"/>
      <c r="W671" s="851"/>
      <c r="X671" s="787"/>
      <c r="Y671" s="829"/>
      <c r="Z671" s="852"/>
      <c r="AA671" s="851"/>
      <c r="AB671" s="787"/>
      <c r="AC671" s="829"/>
      <c r="AD671" s="852"/>
      <c r="AE671" s="851"/>
      <c r="AF671" s="787"/>
      <c r="AG671" s="355">
        <v>2960</v>
      </c>
      <c r="AL671" s="123"/>
    </row>
    <row r="672" spans="1:38" x14ac:dyDescent="0.4">
      <c r="A672" s="65"/>
      <c r="B672" s="356">
        <v>2965</v>
      </c>
      <c r="C672" s="851"/>
      <c r="D672" s="787"/>
      <c r="E672" s="829"/>
      <c r="F672" s="852"/>
      <c r="G672" s="851"/>
      <c r="H672" s="787"/>
      <c r="I672" s="829"/>
      <c r="J672" s="852"/>
      <c r="K672" s="851"/>
      <c r="L672" s="787"/>
      <c r="M672" s="829"/>
      <c r="N672" s="852"/>
      <c r="O672" s="851"/>
      <c r="P672" s="787"/>
      <c r="Q672" s="829"/>
      <c r="R672" s="852"/>
      <c r="S672" s="851"/>
      <c r="T672" s="787"/>
      <c r="U672" s="829"/>
      <c r="V672" s="852"/>
      <c r="W672" s="851"/>
      <c r="X672" s="787"/>
      <c r="Y672" s="829"/>
      <c r="Z672" s="852"/>
      <c r="AA672" s="851"/>
      <c r="AB672" s="787"/>
      <c r="AC672" s="829"/>
      <c r="AD672" s="852"/>
      <c r="AE672" s="851"/>
      <c r="AF672" s="787"/>
      <c r="AG672" s="355">
        <v>2965</v>
      </c>
      <c r="AL672" s="123"/>
    </row>
    <row r="673" spans="1:38" x14ac:dyDescent="0.4">
      <c r="A673" s="65"/>
      <c r="B673" s="356">
        <v>2970</v>
      </c>
      <c r="C673" s="851"/>
      <c r="D673" s="787"/>
      <c r="E673" s="829"/>
      <c r="F673" s="852"/>
      <c r="G673" s="851"/>
      <c r="H673" s="787"/>
      <c r="I673" s="829"/>
      <c r="J673" s="852"/>
      <c r="K673" s="851"/>
      <c r="L673" s="787"/>
      <c r="M673" s="829"/>
      <c r="N673" s="852"/>
      <c r="O673" s="851"/>
      <c r="P673" s="787"/>
      <c r="Q673" s="829"/>
      <c r="R673" s="852"/>
      <c r="S673" s="851"/>
      <c r="T673" s="787"/>
      <c r="U673" s="829"/>
      <c r="V673" s="852"/>
      <c r="W673" s="851"/>
      <c r="X673" s="787"/>
      <c r="Y673" s="829"/>
      <c r="Z673" s="852"/>
      <c r="AA673" s="851"/>
      <c r="AB673" s="787"/>
      <c r="AC673" s="829"/>
      <c r="AD673" s="852"/>
      <c r="AE673" s="851"/>
      <c r="AF673" s="787"/>
      <c r="AG673" s="355">
        <v>2970</v>
      </c>
      <c r="AL673" s="123"/>
    </row>
    <row r="674" spans="1:38" x14ac:dyDescent="0.4">
      <c r="A674" s="65"/>
      <c r="B674" s="356">
        <v>2975</v>
      </c>
      <c r="C674" s="851"/>
      <c r="D674" s="787"/>
      <c r="E674" s="829"/>
      <c r="F674" s="852"/>
      <c r="G674" s="851"/>
      <c r="H674" s="787"/>
      <c r="I674" s="829"/>
      <c r="J674" s="852"/>
      <c r="K674" s="851"/>
      <c r="L674" s="787"/>
      <c r="M674" s="829"/>
      <c r="N674" s="852"/>
      <c r="O674" s="851"/>
      <c r="P674" s="787"/>
      <c r="Q674" s="829"/>
      <c r="R674" s="852"/>
      <c r="S674" s="851"/>
      <c r="T674" s="787"/>
      <c r="U674" s="829"/>
      <c r="V674" s="852"/>
      <c r="W674" s="851"/>
      <c r="X674" s="787"/>
      <c r="Y674" s="829"/>
      <c r="Z674" s="852"/>
      <c r="AA674" s="851"/>
      <c r="AB674" s="787"/>
      <c r="AC674" s="829"/>
      <c r="AD674" s="852"/>
      <c r="AE674" s="851"/>
      <c r="AF674" s="787"/>
      <c r="AG674" s="355">
        <v>2975</v>
      </c>
      <c r="AL674" s="123"/>
    </row>
    <row r="675" spans="1:38" x14ac:dyDescent="0.4">
      <c r="A675" s="65"/>
      <c r="B675" s="356">
        <v>2980</v>
      </c>
      <c r="C675" s="851"/>
      <c r="D675" s="787"/>
      <c r="E675" s="829"/>
      <c r="F675" s="852"/>
      <c r="G675" s="851"/>
      <c r="H675" s="787"/>
      <c r="I675" s="829"/>
      <c r="J675" s="852"/>
      <c r="K675" s="851"/>
      <c r="L675" s="787"/>
      <c r="M675" s="829"/>
      <c r="N675" s="852"/>
      <c r="O675" s="851"/>
      <c r="P675" s="787"/>
      <c r="Q675" s="829"/>
      <c r="R675" s="852"/>
      <c r="S675" s="851"/>
      <c r="T675" s="787"/>
      <c r="U675" s="829"/>
      <c r="V675" s="852"/>
      <c r="W675" s="851"/>
      <c r="X675" s="787"/>
      <c r="Y675" s="829"/>
      <c r="Z675" s="852"/>
      <c r="AA675" s="851"/>
      <c r="AB675" s="787"/>
      <c r="AC675" s="829"/>
      <c r="AD675" s="852"/>
      <c r="AE675" s="851"/>
      <c r="AF675" s="787"/>
      <c r="AG675" s="355">
        <v>2980</v>
      </c>
      <c r="AL675" s="123"/>
    </row>
    <row r="676" spans="1:38" x14ac:dyDescent="0.4">
      <c r="A676" s="65"/>
      <c r="B676" s="356">
        <v>2985</v>
      </c>
      <c r="C676" s="851"/>
      <c r="D676" s="787"/>
      <c r="E676" s="829"/>
      <c r="F676" s="852"/>
      <c r="G676" s="851"/>
      <c r="H676" s="787"/>
      <c r="I676" s="829"/>
      <c r="J676" s="852"/>
      <c r="K676" s="851"/>
      <c r="L676" s="787"/>
      <c r="M676" s="829"/>
      <c r="N676" s="852"/>
      <c r="O676" s="851"/>
      <c r="P676" s="787"/>
      <c r="Q676" s="829"/>
      <c r="R676" s="852"/>
      <c r="S676" s="851"/>
      <c r="T676" s="787"/>
      <c r="U676" s="829"/>
      <c r="V676" s="852"/>
      <c r="W676" s="851"/>
      <c r="X676" s="787"/>
      <c r="Y676" s="829"/>
      <c r="Z676" s="852"/>
      <c r="AA676" s="851"/>
      <c r="AB676" s="787"/>
      <c r="AC676" s="829"/>
      <c r="AD676" s="852"/>
      <c r="AE676" s="851"/>
      <c r="AF676" s="787"/>
      <c r="AG676" s="355">
        <v>2985</v>
      </c>
      <c r="AL676" s="123"/>
    </row>
    <row r="677" spans="1:38" x14ac:dyDescent="0.4">
      <c r="A677" s="65"/>
      <c r="B677" s="356">
        <v>2990</v>
      </c>
      <c r="C677" s="851"/>
      <c r="D677" s="787"/>
      <c r="E677" s="829"/>
      <c r="F677" s="852"/>
      <c r="G677" s="851"/>
      <c r="H677" s="787"/>
      <c r="I677" s="829"/>
      <c r="J677" s="852"/>
      <c r="K677" s="851"/>
      <c r="L677" s="787"/>
      <c r="M677" s="829"/>
      <c r="N677" s="852"/>
      <c r="O677" s="851"/>
      <c r="P677" s="787"/>
      <c r="Q677" s="829"/>
      <c r="R677" s="852"/>
      <c r="S677" s="851"/>
      <c r="T677" s="787"/>
      <c r="U677" s="829"/>
      <c r="V677" s="852"/>
      <c r="W677" s="851"/>
      <c r="X677" s="787"/>
      <c r="Y677" s="829"/>
      <c r="Z677" s="852"/>
      <c r="AA677" s="851"/>
      <c r="AB677" s="787"/>
      <c r="AC677" s="829"/>
      <c r="AD677" s="852"/>
      <c r="AE677" s="851"/>
      <c r="AF677" s="787"/>
      <c r="AG677" s="355">
        <v>2990</v>
      </c>
      <c r="AL677" s="123"/>
    </row>
    <row r="678" spans="1:38" x14ac:dyDescent="0.4">
      <c r="A678" s="65"/>
      <c r="B678" s="356">
        <v>2995</v>
      </c>
      <c r="C678" s="851"/>
      <c r="D678" s="787"/>
      <c r="E678" s="829"/>
      <c r="F678" s="852"/>
      <c r="G678" s="851"/>
      <c r="H678" s="787"/>
      <c r="I678" s="829"/>
      <c r="J678" s="852"/>
      <c r="K678" s="851"/>
      <c r="L678" s="787"/>
      <c r="M678" s="829"/>
      <c r="N678" s="852"/>
      <c r="O678" s="851"/>
      <c r="P678" s="787"/>
      <c r="Q678" s="829"/>
      <c r="R678" s="852"/>
      <c r="S678" s="851"/>
      <c r="T678" s="787"/>
      <c r="U678" s="829"/>
      <c r="V678" s="852"/>
      <c r="W678" s="851"/>
      <c r="X678" s="787"/>
      <c r="Y678" s="829"/>
      <c r="Z678" s="852"/>
      <c r="AA678" s="851"/>
      <c r="AB678" s="787"/>
      <c r="AC678" s="829"/>
      <c r="AD678" s="852"/>
      <c r="AE678" s="851"/>
      <c r="AF678" s="787"/>
      <c r="AG678" s="355">
        <v>2995</v>
      </c>
      <c r="AL678" s="123"/>
    </row>
    <row r="679" spans="1:38" x14ac:dyDescent="0.4">
      <c r="A679" s="65"/>
      <c r="B679" s="356">
        <v>3000</v>
      </c>
      <c r="C679" s="851"/>
      <c r="D679" s="787"/>
      <c r="E679" s="829"/>
      <c r="F679" s="852"/>
      <c r="G679" s="851"/>
      <c r="H679" s="787"/>
      <c r="I679" s="829"/>
      <c r="J679" s="852"/>
      <c r="K679" s="851"/>
      <c r="L679" s="787"/>
      <c r="M679" s="829"/>
      <c r="N679" s="852"/>
      <c r="O679" s="851"/>
      <c r="P679" s="787"/>
      <c r="Q679" s="829"/>
      <c r="R679" s="852"/>
      <c r="S679" s="851"/>
      <c r="T679" s="787"/>
      <c r="U679" s="829"/>
      <c r="V679" s="852"/>
      <c r="W679" s="851"/>
      <c r="X679" s="787"/>
      <c r="Y679" s="829"/>
      <c r="Z679" s="852"/>
      <c r="AA679" s="851"/>
      <c r="AB679" s="787"/>
      <c r="AC679" s="829"/>
      <c r="AD679" s="852"/>
      <c r="AE679" s="851"/>
      <c r="AF679" s="787"/>
      <c r="AG679" s="355">
        <v>3000</v>
      </c>
      <c r="AL679" s="123"/>
    </row>
    <row r="680" spans="1:38" x14ac:dyDescent="0.4">
      <c r="A680" s="65"/>
      <c r="B680" s="356">
        <v>3005</v>
      </c>
      <c r="C680" s="851"/>
      <c r="D680" s="787"/>
      <c r="E680" s="829"/>
      <c r="F680" s="852"/>
      <c r="G680" s="851"/>
      <c r="H680" s="787"/>
      <c r="I680" s="829"/>
      <c r="J680" s="852"/>
      <c r="K680" s="851"/>
      <c r="L680" s="787"/>
      <c r="M680" s="829"/>
      <c r="N680" s="852"/>
      <c r="O680" s="851"/>
      <c r="P680" s="787"/>
      <c r="Q680" s="829"/>
      <c r="R680" s="852"/>
      <c r="S680" s="851"/>
      <c r="T680" s="787"/>
      <c r="U680" s="829"/>
      <c r="V680" s="852"/>
      <c r="W680" s="851"/>
      <c r="X680" s="787"/>
      <c r="Y680" s="829"/>
      <c r="Z680" s="852"/>
      <c r="AA680" s="851"/>
      <c r="AB680" s="787"/>
      <c r="AC680" s="829"/>
      <c r="AD680" s="852"/>
      <c r="AE680" s="851"/>
      <c r="AF680" s="787"/>
      <c r="AG680" s="355">
        <v>3005</v>
      </c>
      <c r="AL680" s="123"/>
    </row>
    <row r="681" spans="1:38" x14ac:dyDescent="0.4">
      <c r="A681" s="65"/>
      <c r="B681" s="356">
        <v>3010</v>
      </c>
      <c r="C681" s="851"/>
      <c r="D681" s="787"/>
      <c r="E681" s="829"/>
      <c r="F681" s="852"/>
      <c r="G681" s="851"/>
      <c r="H681" s="787"/>
      <c r="I681" s="829"/>
      <c r="J681" s="852"/>
      <c r="K681" s="851"/>
      <c r="L681" s="787"/>
      <c r="M681" s="829"/>
      <c r="N681" s="852"/>
      <c r="O681" s="851"/>
      <c r="P681" s="787"/>
      <c r="Q681" s="829"/>
      <c r="R681" s="852"/>
      <c r="S681" s="851"/>
      <c r="T681" s="787"/>
      <c r="U681" s="829"/>
      <c r="V681" s="852"/>
      <c r="W681" s="851"/>
      <c r="X681" s="787"/>
      <c r="Y681" s="829"/>
      <c r="Z681" s="852"/>
      <c r="AA681" s="851"/>
      <c r="AB681" s="787"/>
      <c r="AC681" s="829"/>
      <c r="AD681" s="852"/>
      <c r="AE681" s="851"/>
      <c r="AF681" s="787"/>
      <c r="AG681" s="355">
        <v>3010</v>
      </c>
      <c r="AL681" s="123"/>
    </row>
    <row r="682" spans="1:38" x14ac:dyDescent="0.4">
      <c r="A682" s="65"/>
      <c r="B682" s="356">
        <v>3015</v>
      </c>
      <c r="C682" s="851"/>
      <c r="D682" s="787"/>
      <c r="E682" s="829"/>
      <c r="F682" s="852"/>
      <c r="G682" s="851"/>
      <c r="H682" s="787"/>
      <c r="I682" s="829"/>
      <c r="J682" s="852"/>
      <c r="K682" s="851"/>
      <c r="L682" s="787"/>
      <c r="M682" s="829"/>
      <c r="N682" s="852"/>
      <c r="O682" s="851"/>
      <c r="P682" s="787"/>
      <c r="Q682" s="829"/>
      <c r="R682" s="852"/>
      <c r="S682" s="851"/>
      <c r="T682" s="787"/>
      <c r="U682" s="829"/>
      <c r="V682" s="852"/>
      <c r="W682" s="851"/>
      <c r="X682" s="787"/>
      <c r="Y682" s="829"/>
      <c r="Z682" s="852"/>
      <c r="AA682" s="851"/>
      <c r="AB682" s="787"/>
      <c r="AC682" s="829"/>
      <c r="AD682" s="852"/>
      <c r="AE682" s="851"/>
      <c r="AF682" s="787"/>
      <c r="AG682" s="355">
        <v>3015</v>
      </c>
      <c r="AL682" s="123"/>
    </row>
    <row r="683" spans="1:38" x14ac:dyDescent="0.4">
      <c r="A683" s="65"/>
      <c r="B683" s="356">
        <v>3020</v>
      </c>
      <c r="C683" s="851"/>
      <c r="D683" s="787"/>
      <c r="E683" s="829"/>
      <c r="F683" s="852"/>
      <c r="G683" s="851"/>
      <c r="H683" s="787"/>
      <c r="I683" s="829"/>
      <c r="J683" s="852"/>
      <c r="K683" s="851"/>
      <c r="L683" s="787"/>
      <c r="M683" s="829"/>
      <c r="N683" s="852"/>
      <c r="O683" s="851"/>
      <c r="P683" s="787"/>
      <c r="Q683" s="829"/>
      <c r="R683" s="852"/>
      <c r="S683" s="851"/>
      <c r="T683" s="787"/>
      <c r="U683" s="829"/>
      <c r="V683" s="852"/>
      <c r="W683" s="851"/>
      <c r="X683" s="787"/>
      <c r="Y683" s="829"/>
      <c r="Z683" s="852"/>
      <c r="AA683" s="851"/>
      <c r="AB683" s="787"/>
      <c r="AC683" s="829"/>
      <c r="AD683" s="852"/>
      <c r="AE683" s="851"/>
      <c r="AF683" s="787"/>
      <c r="AG683" s="355">
        <v>3020</v>
      </c>
      <c r="AL683" s="123"/>
    </row>
    <row r="684" spans="1:38" x14ac:dyDescent="0.4">
      <c r="A684" s="65"/>
      <c r="B684" s="356">
        <v>3025</v>
      </c>
      <c r="C684" s="851"/>
      <c r="D684" s="787"/>
      <c r="E684" s="829"/>
      <c r="F684" s="852"/>
      <c r="G684" s="851"/>
      <c r="H684" s="787"/>
      <c r="I684" s="829"/>
      <c r="J684" s="852"/>
      <c r="K684" s="851"/>
      <c r="L684" s="787"/>
      <c r="M684" s="829"/>
      <c r="N684" s="852"/>
      <c r="O684" s="851"/>
      <c r="P684" s="787"/>
      <c r="Q684" s="829"/>
      <c r="R684" s="852"/>
      <c r="S684" s="851"/>
      <c r="T684" s="787"/>
      <c r="U684" s="829"/>
      <c r="V684" s="852"/>
      <c r="W684" s="851"/>
      <c r="X684" s="787"/>
      <c r="Y684" s="829"/>
      <c r="Z684" s="852"/>
      <c r="AA684" s="851"/>
      <c r="AB684" s="787"/>
      <c r="AC684" s="829"/>
      <c r="AD684" s="852"/>
      <c r="AE684" s="851"/>
      <c r="AF684" s="787"/>
      <c r="AG684" s="355">
        <v>3025</v>
      </c>
      <c r="AL684" s="123"/>
    </row>
    <row r="685" spans="1:38" x14ac:dyDescent="0.4">
      <c r="A685" s="65"/>
      <c r="B685" s="356">
        <v>3030</v>
      </c>
      <c r="C685" s="851"/>
      <c r="D685" s="787"/>
      <c r="E685" s="829"/>
      <c r="F685" s="852"/>
      <c r="G685" s="851"/>
      <c r="H685" s="787"/>
      <c r="I685" s="829"/>
      <c r="J685" s="852"/>
      <c r="K685" s="851"/>
      <c r="L685" s="787"/>
      <c r="M685" s="829"/>
      <c r="N685" s="852"/>
      <c r="O685" s="851"/>
      <c r="P685" s="787"/>
      <c r="Q685" s="829"/>
      <c r="R685" s="852"/>
      <c r="S685" s="851"/>
      <c r="T685" s="787"/>
      <c r="U685" s="829"/>
      <c r="V685" s="852"/>
      <c r="W685" s="851"/>
      <c r="X685" s="787"/>
      <c r="Y685" s="829"/>
      <c r="Z685" s="852"/>
      <c r="AA685" s="851"/>
      <c r="AB685" s="787"/>
      <c r="AC685" s="829"/>
      <c r="AD685" s="852"/>
      <c r="AE685" s="851"/>
      <c r="AF685" s="787"/>
      <c r="AG685" s="355">
        <v>3030</v>
      </c>
      <c r="AL685" s="123"/>
    </row>
    <row r="686" spans="1:38" x14ac:dyDescent="0.4">
      <c r="A686" s="65"/>
      <c r="B686" s="356">
        <v>3035</v>
      </c>
      <c r="C686" s="851"/>
      <c r="D686" s="787"/>
      <c r="E686" s="829"/>
      <c r="F686" s="852"/>
      <c r="G686" s="851"/>
      <c r="H686" s="787"/>
      <c r="I686" s="829"/>
      <c r="J686" s="852"/>
      <c r="K686" s="851"/>
      <c r="L686" s="787"/>
      <c r="M686" s="829"/>
      <c r="N686" s="852"/>
      <c r="O686" s="851"/>
      <c r="P686" s="787"/>
      <c r="Q686" s="829"/>
      <c r="R686" s="852"/>
      <c r="S686" s="851"/>
      <c r="T686" s="787"/>
      <c r="U686" s="829"/>
      <c r="V686" s="852"/>
      <c r="W686" s="851"/>
      <c r="X686" s="787"/>
      <c r="Y686" s="829"/>
      <c r="Z686" s="852"/>
      <c r="AA686" s="851"/>
      <c r="AB686" s="787"/>
      <c r="AC686" s="829"/>
      <c r="AD686" s="852"/>
      <c r="AE686" s="851"/>
      <c r="AF686" s="787"/>
      <c r="AG686" s="355">
        <v>3035</v>
      </c>
      <c r="AL686" s="123"/>
    </row>
    <row r="687" spans="1:38" x14ac:dyDescent="0.4">
      <c r="A687" s="65"/>
      <c r="B687" s="356">
        <v>3040</v>
      </c>
      <c r="C687" s="851"/>
      <c r="D687" s="787"/>
      <c r="E687" s="829"/>
      <c r="F687" s="852"/>
      <c r="G687" s="851"/>
      <c r="H687" s="787"/>
      <c r="I687" s="829"/>
      <c r="J687" s="852"/>
      <c r="K687" s="851"/>
      <c r="L687" s="787"/>
      <c r="M687" s="829"/>
      <c r="N687" s="852"/>
      <c r="O687" s="851"/>
      <c r="P687" s="787"/>
      <c r="Q687" s="829"/>
      <c r="R687" s="852"/>
      <c r="S687" s="851"/>
      <c r="T687" s="787"/>
      <c r="U687" s="829"/>
      <c r="V687" s="852"/>
      <c r="W687" s="851"/>
      <c r="X687" s="787"/>
      <c r="Y687" s="829"/>
      <c r="Z687" s="852"/>
      <c r="AA687" s="851"/>
      <c r="AB687" s="787"/>
      <c r="AC687" s="829"/>
      <c r="AD687" s="852"/>
      <c r="AE687" s="851"/>
      <c r="AF687" s="787"/>
      <c r="AG687" s="355">
        <v>3040</v>
      </c>
      <c r="AL687" s="123"/>
    </row>
    <row r="688" spans="1:38" x14ac:dyDescent="0.4">
      <c r="A688" s="65"/>
      <c r="B688" s="356">
        <v>3045</v>
      </c>
      <c r="C688" s="851"/>
      <c r="D688" s="787"/>
      <c r="E688" s="829"/>
      <c r="F688" s="852"/>
      <c r="G688" s="851"/>
      <c r="H688" s="787"/>
      <c r="I688" s="829"/>
      <c r="J688" s="852"/>
      <c r="K688" s="851"/>
      <c r="L688" s="787"/>
      <c r="M688" s="829"/>
      <c r="N688" s="852"/>
      <c r="O688" s="851"/>
      <c r="P688" s="787"/>
      <c r="Q688" s="829"/>
      <c r="R688" s="852"/>
      <c r="S688" s="851"/>
      <c r="T688" s="787"/>
      <c r="U688" s="829"/>
      <c r="V688" s="852"/>
      <c r="W688" s="851"/>
      <c r="X688" s="787"/>
      <c r="Y688" s="829"/>
      <c r="Z688" s="852"/>
      <c r="AA688" s="851"/>
      <c r="AB688" s="787"/>
      <c r="AC688" s="829"/>
      <c r="AD688" s="852"/>
      <c r="AE688" s="851"/>
      <c r="AF688" s="787"/>
      <c r="AG688" s="355">
        <v>3045</v>
      </c>
      <c r="AL688" s="123"/>
    </row>
    <row r="689" spans="1:38" x14ac:dyDescent="0.4">
      <c r="A689" s="65"/>
      <c r="B689" s="356">
        <v>3050</v>
      </c>
      <c r="C689" s="851"/>
      <c r="D689" s="787"/>
      <c r="E689" s="829"/>
      <c r="F689" s="852"/>
      <c r="G689" s="851"/>
      <c r="H689" s="787"/>
      <c r="I689" s="829"/>
      <c r="J689" s="852"/>
      <c r="K689" s="851"/>
      <c r="L689" s="787"/>
      <c r="M689" s="829"/>
      <c r="N689" s="852"/>
      <c r="O689" s="851"/>
      <c r="P689" s="787"/>
      <c r="Q689" s="829"/>
      <c r="R689" s="852"/>
      <c r="S689" s="851"/>
      <c r="T689" s="787"/>
      <c r="U689" s="829"/>
      <c r="V689" s="852"/>
      <c r="W689" s="851"/>
      <c r="X689" s="787"/>
      <c r="Y689" s="829"/>
      <c r="Z689" s="852"/>
      <c r="AA689" s="851"/>
      <c r="AB689" s="787"/>
      <c r="AC689" s="829"/>
      <c r="AD689" s="852"/>
      <c r="AE689" s="851"/>
      <c r="AF689" s="787"/>
      <c r="AG689" s="355">
        <v>3050</v>
      </c>
      <c r="AL689" s="123"/>
    </row>
    <row r="690" spans="1:38" x14ac:dyDescent="0.4">
      <c r="A690" s="65"/>
      <c r="B690" s="356">
        <v>3055</v>
      </c>
      <c r="C690" s="851"/>
      <c r="D690" s="787"/>
      <c r="E690" s="829"/>
      <c r="F690" s="852"/>
      <c r="G690" s="851"/>
      <c r="H690" s="787"/>
      <c r="I690" s="829"/>
      <c r="J690" s="852"/>
      <c r="K690" s="851"/>
      <c r="L690" s="787"/>
      <c r="M690" s="829"/>
      <c r="N690" s="852"/>
      <c r="O690" s="851"/>
      <c r="P690" s="787"/>
      <c r="Q690" s="829"/>
      <c r="R690" s="852"/>
      <c r="S690" s="851"/>
      <c r="T690" s="787"/>
      <c r="U690" s="829"/>
      <c r="V690" s="852"/>
      <c r="W690" s="851"/>
      <c r="X690" s="787"/>
      <c r="Y690" s="829"/>
      <c r="Z690" s="852"/>
      <c r="AA690" s="851"/>
      <c r="AB690" s="787"/>
      <c r="AC690" s="829"/>
      <c r="AD690" s="852"/>
      <c r="AE690" s="851"/>
      <c r="AF690" s="787"/>
      <c r="AG690" s="355">
        <v>3055</v>
      </c>
      <c r="AL690" s="123"/>
    </row>
    <row r="691" spans="1:38" x14ac:dyDescent="0.4">
      <c r="A691" s="65"/>
      <c r="B691" s="356">
        <v>3060</v>
      </c>
      <c r="C691" s="851"/>
      <c r="D691" s="787"/>
      <c r="E691" s="829"/>
      <c r="F691" s="852"/>
      <c r="G691" s="851"/>
      <c r="H691" s="787"/>
      <c r="I691" s="829"/>
      <c r="J691" s="852"/>
      <c r="K691" s="851"/>
      <c r="L691" s="787"/>
      <c r="M691" s="829"/>
      <c r="N691" s="852"/>
      <c r="O691" s="851"/>
      <c r="P691" s="787"/>
      <c r="Q691" s="829"/>
      <c r="R691" s="852"/>
      <c r="S691" s="851"/>
      <c r="T691" s="787"/>
      <c r="U691" s="829"/>
      <c r="V691" s="852"/>
      <c r="W691" s="851"/>
      <c r="X691" s="787"/>
      <c r="Y691" s="829"/>
      <c r="Z691" s="852"/>
      <c r="AA691" s="851"/>
      <c r="AB691" s="787"/>
      <c r="AC691" s="829"/>
      <c r="AD691" s="852"/>
      <c r="AE691" s="851"/>
      <c r="AF691" s="787"/>
      <c r="AG691" s="355">
        <v>3060</v>
      </c>
      <c r="AL691" s="123"/>
    </row>
    <row r="692" spans="1:38" x14ac:dyDescent="0.4">
      <c r="A692" s="65"/>
      <c r="B692" s="356">
        <v>3065</v>
      </c>
      <c r="C692" s="851"/>
      <c r="D692" s="787"/>
      <c r="E692" s="829"/>
      <c r="F692" s="852"/>
      <c r="G692" s="851"/>
      <c r="H692" s="787"/>
      <c r="I692" s="829"/>
      <c r="J692" s="852"/>
      <c r="K692" s="851"/>
      <c r="L692" s="787"/>
      <c r="M692" s="829"/>
      <c r="N692" s="852"/>
      <c r="O692" s="851"/>
      <c r="P692" s="787"/>
      <c r="Q692" s="829"/>
      <c r="R692" s="852"/>
      <c r="S692" s="851"/>
      <c r="T692" s="787"/>
      <c r="U692" s="829"/>
      <c r="V692" s="852"/>
      <c r="W692" s="851"/>
      <c r="X692" s="787"/>
      <c r="Y692" s="829"/>
      <c r="Z692" s="852"/>
      <c r="AA692" s="851"/>
      <c r="AB692" s="787"/>
      <c r="AC692" s="829"/>
      <c r="AD692" s="852"/>
      <c r="AE692" s="851"/>
      <c r="AF692" s="787"/>
      <c r="AG692" s="355">
        <v>3065</v>
      </c>
      <c r="AL692" s="123"/>
    </row>
    <row r="693" spans="1:38" x14ac:dyDescent="0.4">
      <c r="A693" s="65"/>
      <c r="B693" s="356">
        <v>3070</v>
      </c>
      <c r="C693" s="851"/>
      <c r="D693" s="787"/>
      <c r="E693" s="829"/>
      <c r="F693" s="852"/>
      <c r="G693" s="851"/>
      <c r="H693" s="787"/>
      <c r="I693" s="829"/>
      <c r="J693" s="852"/>
      <c r="K693" s="851"/>
      <c r="L693" s="787"/>
      <c r="M693" s="829"/>
      <c r="N693" s="852"/>
      <c r="O693" s="851"/>
      <c r="P693" s="787"/>
      <c r="Q693" s="829"/>
      <c r="R693" s="852"/>
      <c r="S693" s="851"/>
      <c r="T693" s="787"/>
      <c r="U693" s="829"/>
      <c r="V693" s="852"/>
      <c r="W693" s="851"/>
      <c r="X693" s="787"/>
      <c r="Y693" s="829"/>
      <c r="Z693" s="852"/>
      <c r="AA693" s="851"/>
      <c r="AB693" s="787"/>
      <c r="AC693" s="829"/>
      <c r="AD693" s="852"/>
      <c r="AE693" s="851"/>
      <c r="AF693" s="787"/>
      <c r="AG693" s="355">
        <v>3070</v>
      </c>
      <c r="AL693" s="123"/>
    </row>
    <row r="694" spans="1:38" x14ac:dyDescent="0.4">
      <c r="A694" s="65"/>
      <c r="B694" s="356">
        <v>3075</v>
      </c>
      <c r="C694" s="851"/>
      <c r="D694" s="787"/>
      <c r="E694" s="829"/>
      <c r="F694" s="852"/>
      <c r="G694" s="851"/>
      <c r="H694" s="787"/>
      <c r="I694" s="829"/>
      <c r="J694" s="852"/>
      <c r="K694" s="851"/>
      <c r="L694" s="787"/>
      <c r="M694" s="829"/>
      <c r="N694" s="852"/>
      <c r="O694" s="851"/>
      <c r="P694" s="787"/>
      <c r="Q694" s="829"/>
      <c r="R694" s="852"/>
      <c r="S694" s="851"/>
      <c r="T694" s="787"/>
      <c r="U694" s="829"/>
      <c r="V694" s="852"/>
      <c r="W694" s="851"/>
      <c r="X694" s="787"/>
      <c r="Y694" s="829"/>
      <c r="Z694" s="852"/>
      <c r="AA694" s="851"/>
      <c r="AB694" s="787"/>
      <c r="AC694" s="829"/>
      <c r="AD694" s="852"/>
      <c r="AE694" s="851"/>
      <c r="AF694" s="787"/>
      <c r="AG694" s="355">
        <v>3075</v>
      </c>
      <c r="AL694" s="123"/>
    </row>
    <row r="695" spans="1:38" x14ac:dyDescent="0.4">
      <c r="A695" s="65"/>
      <c r="B695" s="356">
        <v>3080</v>
      </c>
      <c r="C695" s="851"/>
      <c r="D695" s="787"/>
      <c r="E695" s="829"/>
      <c r="F695" s="852"/>
      <c r="G695" s="851"/>
      <c r="H695" s="787"/>
      <c r="I695" s="829"/>
      <c r="J695" s="852"/>
      <c r="K695" s="851"/>
      <c r="L695" s="787"/>
      <c r="M695" s="829"/>
      <c r="N695" s="852"/>
      <c r="O695" s="851"/>
      <c r="P695" s="787"/>
      <c r="Q695" s="829"/>
      <c r="R695" s="852"/>
      <c r="S695" s="851"/>
      <c r="T695" s="787"/>
      <c r="U695" s="829"/>
      <c r="V695" s="852"/>
      <c r="W695" s="851"/>
      <c r="X695" s="787"/>
      <c r="Y695" s="829"/>
      <c r="Z695" s="852"/>
      <c r="AA695" s="851"/>
      <c r="AB695" s="787"/>
      <c r="AC695" s="829"/>
      <c r="AD695" s="852"/>
      <c r="AE695" s="851"/>
      <c r="AF695" s="787"/>
      <c r="AG695" s="355">
        <v>3080</v>
      </c>
      <c r="AL695" s="123"/>
    </row>
    <row r="696" spans="1:38" x14ac:dyDescent="0.4">
      <c r="A696" s="65"/>
      <c r="B696" s="356">
        <v>3085</v>
      </c>
      <c r="C696" s="851"/>
      <c r="D696" s="787"/>
      <c r="E696" s="829"/>
      <c r="F696" s="852"/>
      <c r="G696" s="851"/>
      <c r="H696" s="787"/>
      <c r="I696" s="829"/>
      <c r="J696" s="852"/>
      <c r="K696" s="851"/>
      <c r="L696" s="787"/>
      <c r="M696" s="829"/>
      <c r="N696" s="852"/>
      <c r="O696" s="851"/>
      <c r="P696" s="787"/>
      <c r="Q696" s="829"/>
      <c r="R696" s="852"/>
      <c r="S696" s="851"/>
      <c r="T696" s="787"/>
      <c r="U696" s="829"/>
      <c r="V696" s="852"/>
      <c r="W696" s="851"/>
      <c r="X696" s="787"/>
      <c r="Y696" s="829"/>
      <c r="Z696" s="852"/>
      <c r="AA696" s="851"/>
      <c r="AB696" s="787"/>
      <c r="AC696" s="829"/>
      <c r="AD696" s="852"/>
      <c r="AE696" s="851"/>
      <c r="AF696" s="787"/>
      <c r="AG696" s="355">
        <v>3085</v>
      </c>
      <c r="AL696" s="123"/>
    </row>
    <row r="697" spans="1:38" x14ac:dyDescent="0.4">
      <c r="A697" s="65"/>
      <c r="B697" s="356">
        <v>3090</v>
      </c>
      <c r="C697" s="851"/>
      <c r="D697" s="787"/>
      <c r="E697" s="829"/>
      <c r="F697" s="852"/>
      <c r="G697" s="851"/>
      <c r="H697" s="787"/>
      <c r="I697" s="829"/>
      <c r="J697" s="852"/>
      <c r="K697" s="851"/>
      <c r="L697" s="787"/>
      <c r="M697" s="829"/>
      <c r="N697" s="852"/>
      <c r="O697" s="851"/>
      <c r="P697" s="787"/>
      <c r="Q697" s="829"/>
      <c r="R697" s="852"/>
      <c r="S697" s="851"/>
      <c r="T697" s="787"/>
      <c r="U697" s="829"/>
      <c r="V697" s="852"/>
      <c r="W697" s="851"/>
      <c r="X697" s="787"/>
      <c r="Y697" s="829"/>
      <c r="Z697" s="852"/>
      <c r="AA697" s="851"/>
      <c r="AB697" s="787"/>
      <c r="AC697" s="829"/>
      <c r="AD697" s="852"/>
      <c r="AE697" s="851"/>
      <c r="AF697" s="787"/>
      <c r="AG697" s="355">
        <v>3090</v>
      </c>
      <c r="AL697" s="123"/>
    </row>
    <row r="698" spans="1:38" x14ac:dyDescent="0.4">
      <c r="A698" s="65"/>
      <c r="B698" s="356">
        <v>3095</v>
      </c>
      <c r="C698" s="851"/>
      <c r="D698" s="787"/>
      <c r="E698" s="829"/>
      <c r="F698" s="852"/>
      <c r="G698" s="851"/>
      <c r="H698" s="787"/>
      <c r="I698" s="829"/>
      <c r="J698" s="852"/>
      <c r="K698" s="851"/>
      <c r="L698" s="787"/>
      <c r="M698" s="829"/>
      <c r="N698" s="852"/>
      <c r="O698" s="851"/>
      <c r="P698" s="787"/>
      <c r="Q698" s="829"/>
      <c r="R698" s="852"/>
      <c r="S698" s="851"/>
      <c r="T698" s="787"/>
      <c r="U698" s="829"/>
      <c r="V698" s="852"/>
      <c r="W698" s="851"/>
      <c r="X698" s="787"/>
      <c r="Y698" s="829"/>
      <c r="Z698" s="852"/>
      <c r="AA698" s="851"/>
      <c r="AB698" s="787"/>
      <c r="AC698" s="829"/>
      <c r="AD698" s="852"/>
      <c r="AE698" s="851"/>
      <c r="AF698" s="787"/>
      <c r="AG698" s="355">
        <v>3095</v>
      </c>
      <c r="AL698" s="123"/>
    </row>
    <row r="699" spans="1:38" x14ac:dyDescent="0.4">
      <c r="A699" s="65"/>
      <c r="B699" s="356">
        <v>3100</v>
      </c>
      <c r="C699" s="851"/>
      <c r="D699" s="787"/>
      <c r="E699" s="829"/>
      <c r="F699" s="852"/>
      <c r="G699" s="851"/>
      <c r="H699" s="787"/>
      <c r="I699" s="829"/>
      <c r="J699" s="852"/>
      <c r="K699" s="851"/>
      <c r="L699" s="787"/>
      <c r="M699" s="829"/>
      <c r="N699" s="852"/>
      <c r="O699" s="851"/>
      <c r="P699" s="787"/>
      <c r="Q699" s="829"/>
      <c r="R699" s="852"/>
      <c r="S699" s="851"/>
      <c r="T699" s="787"/>
      <c r="U699" s="829"/>
      <c r="V699" s="852"/>
      <c r="W699" s="851"/>
      <c r="X699" s="787"/>
      <c r="Y699" s="829"/>
      <c r="Z699" s="852"/>
      <c r="AA699" s="851"/>
      <c r="AB699" s="787"/>
      <c r="AC699" s="829"/>
      <c r="AD699" s="852"/>
      <c r="AE699" s="851"/>
      <c r="AF699" s="787"/>
      <c r="AG699" s="355">
        <v>3100</v>
      </c>
      <c r="AL699" s="123"/>
    </row>
    <row r="700" spans="1:38" x14ac:dyDescent="0.4">
      <c r="A700" s="65"/>
      <c r="B700" s="356">
        <v>3105</v>
      </c>
      <c r="C700" s="851"/>
      <c r="D700" s="787"/>
      <c r="E700" s="829"/>
      <c r="F700" s="852"/>
      <c r="G700" s="851"/>
      <c r="H700" s="787"/>
      <c r="I700" s="829"/>
      <c r="J700" s="852"/>
      <c r="K700" s="851"/>
      <c r="L700" s="787"/>
      <c r="M700" s="829"/>
      <c r="N700" s="852"/>
      <c r="O700" s="851"/>
      <c r="P700" s="787"/>
      <c r="Q700" s="829"/>
      <c r="R700" s="852"/>
      <c r="S700" s="851"/>
      <c r="T700" s="787"/>
      <c r="U700" s="829"/>
      <c r="V700" s="852"/>
      <c r="W700" s="851"/>
      <c r="X700" s="787"/>
      <c r="Y700" s="829"/>
      <c r="Z700" s="852"/>
      <c r="AA700" s="851"/>
      <c r="AB700" s="787"/>
      <c r="AC700" s="829"/>
      <c r="AD700" s="852"/>
      <c r="AE700" s="851"/>
      <c r="AF700" s="787"/>
      <c r="AG700" s="355">
        <v>3105</v>
      </c>
      <c r="AL700" s="123"/>
    </row>
    <row r="701" spans="1:38" x14ac:dyDescent="0.4">
      <c r="A701" s="65"/>
      <c r="B701" s="356">
        <v>3110</v>
      </c>
      <c r="C701" s="851"/>
      <c r="D701" s="787"/>
      <c r="E701" s="829"/>
      <c r="F701" s="852"/>
      <c r="G701" s="851"/>
      <c r="H701" s="787"/>
      <c r="I701" s="829"/>
      <c r="J701" s="852"/>
      <c r="K701" s="851"/>
      <c r="L701" s="787"/>
      <c r="M701" s="829"/>
      <c r="N701" s="852"/>
      <c r="O701" s="851"/>
      <c r="P701" s="787"/>
      <c r="Q701" s="829"/>
      <c r="R701" s="852"/>
      <c r="S701" s="851"/>
      <c r="T701" s="787"/>
      <c r="U701" s="829"/>
      <c r="V701" s="852"/>
      <c r="W701" s="851"/>
      <c r="X701" s="787"/>
      <c r="Y701" s="829"/>
      <c r="Z701" s="852"/>
      <c r="AA701" s="851"/>
      <c r="AB701" s="787"/>
      <c r="AC701" s="829"/>
      <c r="AD701" s="852"/>
      <c r="AE701" s="851"/>
      <c r="AF701" s="787"/>
      <c r="AG701" s="355">
        <v>3110</v>
      </c>
      <c r="AL701" s="123"/>
    </row>
    <row r="702" spans="1:38" x14ac:dyDescent="0.4">
      <c r="A702" s="65"/>
      <c r="B702" s="356">
        <v>3115</v>
      </c>
      <c r="C702" s="851"/>
      <c r="D702" s="787"/>
      <c r="E702" s="829"/>
      <c r="F702" s="852"/>
      <c r="G702" s="851"/>
      <c r="H702" s="787"/>
      <c r="I702" s="829"/>
      <c r="J702" s="852"/>
      <c r="K702" s="851"/>
      <c r="L702" s="787"/>
      <c r="M702" s="829"/>
      <c r="N702" s="852"/>
      <c r="O702" s="851"/>
      <c r="P702" s="787"/>
      <c r="Q702" s="829"/>
      <c r="R702" s="852"/>
      <c r="S702" s="851"/>
      <c r="T702" s="787"/>
      <c r="U702" s="829"/>
      <c r="V702" s="852"/>
      <c r="W702" s="851"/>
      <c r="X702" s="787"/>
      <c r="Y702" s="829"/>
      <c r="Z702" s="852"/>
      <c r="AA702" s="851"/>
      <c r="AB702" s="787"/>
      <c r="AC702" s="829"/>
      <c r="AD702" s="852"/>
      <c r="AE702" s="851"/>
      <c r="AF702" s="787"/>
      <c r="AG702" s="355">
        <v>3115</v>
      </c>
      <c r="AL702" s="123"/>
    </row>
    <row r="703" spans="1:38" x14ac:dyDescent="0.4">
      <c r="A703" s="65"/>
      <c r="B703" s="356">
        <v>3120</v>
      </c>
      <c r="C703" s="851"/>
      <c r="D703" s="787"/>
      <c r="E703" s="829"/>
      <c r="F703" s="852"/>
      <c r="G703" s="851"/>
      <c r="H703" s="787"/>
      <c r="I703" s="829"/>
      <c r="J703" s="852"/>
      <c r="K703" s="851"/>
      <c r="L703" s="787"/>
      <c r="M703" s="829"/>
      <c r="N703" s="852"/>
      <c r="O703" s="851"/>
      <c r="P703" s="787"/>
      <c r="Q703" s="829"/>
      <c r="R703" s="852"/>
      <c r="S703" s="851"/>
      <c r="T703" s="787"/>
      <c r="U703" s="829"/>
      <c r="V703" s="852"/>
      <c r="W703" s="851"/>
      <c r="X703" s="787"/>
      <c r="Y703" s="829"/>
      <c r="Z703" s="852"/>
      <c r="AA703" s="851"/>
      <c r="AB703" s="787"/>
      <c r="AC703" s="829"/>
      <c r="AD703" s="852"/>
      <c r="AE703" s="851"/>
      <c r="AF703" s="787"/>
      <c r="AG703" s="355">
        <v>3120</v>
      </c>
      <c r="AL703" s="123"/>
    </row>
    <row r="704" spans="1:38" x14ac:dyDescent="0.4">
      <c r="A704" s="65"/>
      <c r="B704" s="356">
        <v>3125</v>
      </c>
      <c r="C704" s="851"/>
      <c r="D704" s="787"/>
      <c r="E704" s="829"/>
      <c r="F704" s="852"/>
      <c r="G704" s="851"/>
      <c r="H704" s="787"/>
      <c r="I704" s="829"/>
      <c r="J704" s="852"/>
      <c r="K704" s="851"/>
      <c r="L704" s="787"/>
      <c r="M704" s="829"/>
      <c r="N704" s="852"/>
      <c r="O704" s="851"/>
      <c r="P704" s="787"/>
      <c r="Q704" s="829"/>
      <c r="R704" s="852"/>
      <c r="S704" s="851"/>
      <c r="T704" s="787"/>
      <c r="U704" s="829"/>
      <c r="V704" s="852"/>
      <c r="W704" s="851"/>
      <c r="X704" s="787"/>
      <c r="Y704" s="829"/>
      <c r="Z704" s="852"/>
      <c r="AA704" s="851"/>
      <c r="AB704" s="787"/>
      <c r="AC704" s="829"/>
      <c r="AD704" s="852"/>
      <c r="AE704" s="851"/>
      <c r="AF704" s="787"/>
      <c r="AG704" s="355">
        <v>3125</v>
      </c>
      <c r="AL704" s="123"/>
    </row>
    <row r="705" spans="1:38" x14ac:dyDescent="0.4">
      <c r="A705" s="65"/>
      <c r="B705" s="356">
        <v>3130</v>
      </c>
      <c r="C705" s="851"/>
      <c r="D705" s="787"/>
      <c r="E705" s="829"/>
      <c r="F705" s="852"/>
      <c r="G705" s="851"/>
      <c r="H705" s="787"/>
      <c r="I705" s="829"/>
      <c r="J705" s="852"/>
      <c r="K705" s="851"/>
      <c r="L705" s="787"/>
      <c r="M705" s="829"/>
      <c r="N705" s="852"/>
      <c r="O705" s="851"/>
      <c r="P705" s="787"/>
      <c r="Q705" s="829"/>
      <c r="R705" s="852"/>
      <c r="S705" s="851"/>
      <c r="T705" s="787"/>
      <c r="U705" s="829"/>
      <c r="V705" s="852"/>
      <c r="W705" s="851"/>
      <c r="X705" s="787"/>
      <c r="Y705" s="829"/>
      <c r="Z705" s="852"/>
      <c r="AA705" s="851"/>
      <c r="AB705" s="787"/>
      <c r="AC705" s="829"/>
      <c r="AD705" s="852"/>
      <c r="AE705" s="851"/>
      <c r="AF705" s="787"/>
      <c r="AG705" s="355">
        <v>3130</v>
      </c>
      <c r="AL705" s="123"/>
    </row>
    <row r="706" spans="1:38" x14ac:dyDescent="0.4">
      <c r="A706" s="65"/>
      <c r="B706" s="356">
        <v>3135</v>
      </c>
      <c r="C706" s="851"/>
      <c r="D706" s="787"/>
      <c r="E706" s="829"/>
      <c r="F706" s="852"/>
      <c r="G706" s="851"/>
      <c r="H706" s="787"/>
      <c r="I706" s="829"/>
      <c r="J706" s="852"/>
      <c r="K706" s="851"/>
      <c r="L706" s="787"/>
      <c r="M706" s="829"/>
      <c r="N706" s="852"/>
      <c r="O706" s="851"/>
      <c r="P706" s="787"/>
      <c r="Q706" s="829"/>
      <c r="R706" s="852"/>
      <c r="S706" s="851"/>
      <c r="T706" s="787"/>
      <c r="U706" s="829"/>
      <c r="V706" s="852"/>
      <c r="W706" s="851"/>
      <c r="X706" s="787"/>
      <c r="Y706" s="829"/>
      <c r="Z706" s="852"/>
      <c r="AA706" s="851"/>
      <c r="AB706" s="787"/>
      <c r="AC706" s="829"/>
      <c r="AD706" s="852"/>
      <c r="AE706" s="851"/>
      <c r="AF706" s="787"/>
      <c r="AG706" s="355">
        <v>3135</v>
      </c>
      <c r="AL706" s="123"/>
    </row>
    <row r="707" spans="1:38" x14ac:dyDescent="0.4">
      <c r="A707" s="65"/>
      <c r="B707" s="356">
        <v>3140</v>
      </c>
      <c r="C707" s="851"/>
      <c r="D707" s="787"/>
      <c r="E707" s="829"/>
      <c r="F707" s="852"/>
      <c r="G707" s="851"/>
      <c r="H707" s="787"/>
      <c r="I707" s="829"/>
      <c r="J707" s="852"/>
      <c r="K707" s="851"/>
      <c r="L707" s="787"/>
      <c r="M707" s="829"/>
      <c r="N707" s="852"/>
      <c r="O707" s="851"/>
      <c r="P707" s="787"/>
      <c r="Q707" s="829"/>
      <c r="R707" s="852"/>
      <c r="S707" s="851"/>
      <c r="T707" s="787"/>
      <c r="U707" s="829"/>
      <c r="V707" s="852"/>
      <c r="W707" s="851"/>
      <c r="X707" s="787"/>
      <c r="Y707" s="829"/>
      <c r="Z707" s="852"/>
      <c r="AA707" s="851"/>
      <c r="AB707" s="787"/>
      <c r="AC707" s="829"/>
      <c r="AD707" s="852"/>
      <c r="AE707" s="851"/>
      <c r="AF707" s="787"/>
      <c r="AG707" s="355">
        <v>3140</v>
      </c>
      <c r="AL707" s="123"/>
    </row>
    <row r="708" spans="1:38" x14ac:dyDescent="0.4">
      <c r="A708" s="65"/>
      <c r="B708" s="356">
        <v>3145</v>
      </c>
      <c r="C708" s="851"/>
      <c r="D708" s="787"/>
      <c r="E708" s="829"/>
      <c r="F708" s="852"/>
      <c r="G708" s="851"/>
      <c r="H708" s="787"/>
      <c r="I708" s="829"/>
      <c r="J708" s="852"/>
      <c r="K708" s="851"/>
      <c r="L708" s="787"/>
      <c r="M708" s="829"/>
      <c r="N708" s="852"/>
      <c r="O708" s="851"/>
      <c r="P708" s="787"/>
      <c r="Q708" s="829"/>
      <c r="R708" s="852"/>
      <c r="S708" s="851"/>
      <c r="T708" s="787"/>
      <c r="U708" s="829"/>
      <c r="V708" s="852"/>
      <c r="W708" s="851"/>
      <c r="X708" s="787"/>
      <c r="Y708" s="829"/>
      <c r="Z708" s="852"/>
      <c r="AA708" s="851"/>
      <c r="AB708" s="787"/>
      <c r="AC708" s="829"/>
      <c r="AD708" s="852"/>
      <c r="AE708" s="851"/>
      <c r="AF708" s="787"/>
      <c r="AG708" s="355">
        <v>3145</v>
      </c>
      <c r="AL708" s="123"/>
    </row>
    <row r="709" spans="1:38" x14ac:dyDescent="0.4">
      <c r="A709" s="65"/>
      <c r="B709" s="356">
        <v>3150</v>
      </c>
      <c r="C709" s="851"/>
      <c r="D709" s="787"/>
      <c r="E709" s="829"/>
      <c r="F709" s="852"/>
      <c r="G709" s="851"/>
      <c r="H709" s="787"/>
      <c r="I709" s="829"/>
      <c r="J709" s="852"/>
      <c r="K709" s="851"/>
      <c r="L709" s="787"/>
      <c r="M709" s="829"/>
      <c r="N709" s="852"/>
      <c r="O709" s="851"/>
      <c r="P709" s="787"/>
      <c r="Q709" s="829"/>
      <c r="R709" s="852"/>
      <c r="S709" s="851"/>
      <c r="T709" s="787"/>
      <c r="U709" s="829"/>
      <c r="V709" s="852"/>
      <c r="W709" s="851"/>
      <c r="X709" s="787"/>
      <c r="Y709" s="829"/>
      <c r="Z709" s="852"/>
      <c r="AA709" s="851"/>
      <c r="AB709" s="787"/>
      <c r="AC709" s="829"/>
      <c r="AD709" s="852"/>
      <c r="AE709" s="851"/>
      <c r="AF709" s="787"/>
      <c r="AG709" s="355">
        <v>3150</v>
      </c>
      <c r="AL709" s="123"/>
    </row>
    <row r="710" spans="1:38" x14ac:dyDescent="0.4">
      <c r="A710" s="65"/>
      <c r="B710" s="356">
        <v>3155</v>
      </c>
      <c r="C710" s="851"/>
      <c r="D710" s="787"/>
      <c r="E710" s="829"/>
      <c r="F710" s="852"/>
      <c r="G710" s="851"/>
      <c r="H710" s="787"/>
      <c r="I710" s="829"/>
      <c r="J710" s="852"/>
      <c r="K710" s="851"/>
      <c r="L710" s="787"/>
      <c r="M710" s="829"/>
      <c r="N710" s="852"/>
      <c r="O710" s="851"/>
      <c r="P710" s="787"/>
      <c r="Q710" s="829"/>
      <c r="R710" s="852"/>
      <c r="S710" s="851"/>
      <c r="T710" s="787"/>
      <c r="U710" s="829"/>
      <c r="V710" s="852"/>
      <c r="W710" s="851"/>
      <c r="X710" s="787"/>
      <c r="Y710" s="829"/>
      <c r="Z710" s="852"/>
      <c r="AA710" s="851"/>
      <c r="AB710" s="787"/>
      <c r="AC710" s="829"/>
      <c r="AD710" s="852"/>
      <c r="AE710" s="851"/>
      <c r="AF710" s="787"/>
      <c r="AG710" s="355">
        <v>3155</v>
      </c>
      <c r="AL710" s="123"/>
    </row>
    <row r="711" spans="1:38" x14ac:dyDescent="0.4">
      <c r="A711" s="65"/>
      <c r="B711" s="356">
        <v>3160</v>
      </c>
      <c r="C711" s="851"/>
      <c r="D711" s="787"/>
      <c r="E711" s="829"/>
      <c r="F711" s="852"/>
      <c r="G711" s="851"/>
      <c r="H711" s="787"/>
      <c r="I711" s="829"/>
      <c r="J711" s="852"/>
      <c r="K711" s="851"/>
      <c r="L711" s="787"/>
      <c r="M711" s="829"/>
      <c r="N711" s="852"/>
      <c r="O711" s="851"/>
      <c r="P711" s="787"/>
      <c r="Q711" s="829"/>
      <c r="R711" s="852"/>
      <c r="S711" s="851"/>
      <c r="T711" s="787"/>
      <c r="U711" s="829"/>
      <c r="V711" s="852"/>
      <c r="W711" s="851"/>
      <c r="X711" s="787"/>
      <c r="Y711" s="829"/>
      <c r="Z711" s="852"/>
      <c r="AA711" s="851"/>
      <c r="AB711" s="787"/>
      <c r="AC711" s="829"/>
      <c r="AD711" s="852"/>
      <c r="AE711" s="851"/>
      <c r="AF711" s="787"/>
      <c r="AG711" s="355">
        <v>3160</v>
      </c>
      <c r="AL711" s="123"/>
    </row>
    <row r="712" spans="1:38" x14ac:dyDescent="0.4">
      <c r="A712" s="65"/>
      <c r="B712" s="356">
        <v>3165</v>
      </c>
      <c r="C712" s="851"/>
      <c r="D712" s="787"/>
      <c r="E712" s="829"/>
      <c r="F712" s="852"/>
      <c r="G712" s="851"/>
      <c r="H712" s="787"/>
      <c r="I712" s="829"/>
      <c r="J712" s="852"/>
      <c r="K712" s="851"/>
      <c r="L712" s="787"/>
      <c r="M712" s="829"/>
      <c r="N712" s="852"/>
      <c r="O712" s="851"/>
      <c r="P712" s="787"/>
      <c r="Q712" s="829"/>
      <c r="R712" s="852"/>
      <c r="S712" s="851"/>
      <c r="T712" s="787"/>
      <c r="U712" s="829"/>
      <c r="V712" s="852"/>
      <c r="W712" s="851"/>
      <c r="X712" s="787"/>
      <c r="Y712" s="829"/>
      <c r="Z712" s="852"/>
      <c r="AA712" s="851"/>
      <c r="AB712" s="787"/>
      <c r="AC712" s="829"/>
      <c r="AD712" s="852"/>
      <c r="AE712" s="851"/>
      <c r="AF712" s="787"/>
      <c r="AG712" s="355">
        <v>3165</v>
      </c>
      <c r="AL712" s="123"/>
    </row>
    <row r="713" spans="1:38" x14ac:dyDescent="0.4">
      <c r="A713" s="65"/>
      <c r="B713" s="356">
        <v>3170</v>
      </c>
      <c r="C713" s="851"/>
      <c r="D713" s="787"/>
      <c r="E713" s="829"/>
      <c r="F713" s="852"/>
      <c r="G713" s="851"/>
      <c r="H713" s="787"/>
      <c r="I713" s="829"/>
      <c r="J713" s="852"/>
      <c r="K713" s="851"/>
      <c r="L713" s="787"/>
      <c r="M713" s="829"/>
      <c r="N713" s="852"/>
      <c r="O713" s="851"/>
      <c r="P713" s="787"/>
      <c r="Q713" s="829"/>
      <c r="R713" s="852"/>
      <c r="S713" s="851"/>
      <c r="T713" s="787"/>
      <c r="U713" s="829"/>
      <c r="V713" s="852"/>
      <c r="W713" s="851"/>
      <c r="X713" s="787"/>
      <c r="Y713" s="829"/>
      <c r="Z713" s="852"/>
      <c r="AA713" s="851"/>
      <c r="AB713" s="787"/>
      <c r="AC713" s="829"/>
      <c r="AD713" s="852"/>
      <c r="AE713" s="851"/>
      <c r="AF713" s="787"/>
      <c r="AG713" s="355">
        <v>3170</v>
      </c>
      <c r="AL713" s="123"/>
    </row>
    <row r="714" spans="1:38" x14ac:dyDescent="0.4">
      <c r="A714" s="65"/>
      <c r="B714" s="356">
        <v>3175</v>
      </c>
      <c r="C714" s="851"/>
      <c r="D714" s="787"/>
      <c r="E714" s="829"/>
      <c r="F714" s="852"/>
      <c r="G714" s="851"/>
      <c r="H714" s="787"/>
      <c r="I714" s="829"/>
      <c r="J714" s="852"/>
      <c r="K714" s="851"/>
      <c r="L714" s="787"/>
      <c r="M714" s="829"/>
      <c r="N714" s="852"/>
      <c r="O714" s="851"/>
      <c r="P714" s="787"/>
      <c r="Q714" s="829"/>
      <c r="R714" s="852"/>
      <c r="S714" s="851"/>
      <c r="T714" s="787"/>
      <c r="U714" s="829"/>
      <c r="V714" s="852"/>
      <c r="W714" s="851"/>
      <c r="X714" s="787"/>
      <c r="Y714" s="829"/>
      <c r="Z714" s="852"/>
      <c r="AA714" s="851"/>
      <c r="AB714" s="787"/>
      <c r="AC714" s="829"/>
      <c r="AD714" s="852"/>
      <c r="AE714" s="851"/>
      <c r="AF714" s="787"/>
      <c r="AG714" s="355">
        <v>3175</v>
      </c>
      <c r="AL714" s="123"/>
    </row>
    <row r="715" spans="1:38" x14ac:dyDescent="0.4">
      <c r="A715" s="65"/>
      <c r="B715" s="356">
        <v>3180</v>
      </c>
      <c r="C715" s="851"/>
      <c r="D715" s="787"/>
      <c r="E715" s="829"/>
      <c r="F715" s="852"/>
      <c r="G715" s="851"/>
      <c r="H715" s="787"/>
      <c r="I715" s="829"/>
      <c r="J715" s="852"/>
      <c r="K715" s="851"/>
      <c r="L715" s="787"/>
      <c r="M715" s="829"/>
      <c r="N715" s="852"/>
      <c r="O715" s="851"/>
      <c r="P715" s="787"/>
      <c r="Q715" s="829"/>
      <c r="R715" s="852"/>
      <c r="S715" s="851"/>
      <c r="T715" s="787"/>
      <c r="U715" s="829"/>
      <c r="V715" s="852"/>
      <c r="W715" s="851"/>
      <c r="X715" s="787"/>
      <c r="Y715" s="829"/>
      <c r="Z715" s="852"/>
      <c r="AA715" s="851"/>
      <c r="AB715" s="787"/>
      <c r="AC715" s="829"/>
      <c r="AD715" s="852"/>
      <c r="AE715" s="851"/>
      <c r="AF715" s="787"/>
      <c r="AG715" s="355">
        <v>3180</v>
      </c>
      <c r="AL715" s="123"/>
    </row>
    <row r="716" spans="1:38" x14ac:dyDescent="0.4">
      <c r="A716" s="65"/>
      <c r="B716" s="356">
        <v>3185</v>
      </c>
      <c r="C716" s="851"/>
      <c r="D716" s="787"/>
      <c r="E716" s="829"/>
      <c r="F716" s="852"/>
      <c r="G716" s="851"/>
      <c r="H716" s="787"/>
      <c r="I716" s="829"/>
      <c r="J716" s="852"/>
      <c r="K716" s="851"/>
      <c r="L716" s="787"/>
      <c r="M716" s="829"/>
      <c r="N716" s="852"/>
      <c r="O716" s="851"/>
      <c r="P716" s="787"/>
      <c r="Q716" s="829"/>
      <c r="R716" s="852"/>
      <c r="S716" s="851"/>
      <c r="T716" s="787"/>
      <c r="U716" s="829"/>
      <c r="V716" s="852"/>
      <c r="W716" s="851"/>
      <c r="X716" s="787"/>
      <c r="Y716" s="829"/>
      <c r="Z716" s="852"/>
      <c r="AA716" s="851"/>
      <c r="AB716" s="787"/>
      <c r="AC716" s="829"/>
      <c r="AD716" s="852"/>
      <c r="AE716" s="851"/>
      <c r="AF716" s="787"/>
      <c r="AG716" s="355">
        <v>3185</v>
      </c>
      <c r="AL716" s="123"/>
    </row>
    <row r="717" spans="1:38" x14ac:dyDescent="0.4">
      <c r="A717" s="65"/>
      <c r="B717" s="356">
        <v>3190</v>
      </c>
      <c r="C717" s="851"/>
      <c r="D717" s="787"/>
      <c r="E717" s="829"/>
      <c r="F717" s="852"/>
      <c r="G717" s="851"/>
      <c r="H717" s="787"/>
      <c r="I717" s="829"/>
      <c r="J717" s="852"/>
      <c r="K717" s="851"/>
      <c r="L717" s="787"/>
      <c r="M717" s="829"/>
      <c r="N717" s="852"/>
      <c r="O717" s="851"/>
      <c r="P717" s="787"/>
      <c r="Q717" s="829"/>
      <c r="R717" s="852"/>
      <c r="S717" s="851"/>
      <c r="T717" s="787"/>
      <c r="U717" s="829"/>
      <c r="V717" s="852"/>
      <c r="W717" s="851"/>
      <c r="X717" s="787"/>
      <c r="Y717" s="829"/>
      <c r="Z717" s="852"/>
      <c r="AA717" s="851"/>
      <c r="AB717" s="787"/>
      <c r="AC717" s="829"/>
      <c r="AD717" s="852"/>
      <c r="AE717" s="851"/>
      <c r="AF717" s="787"/>
      <c r="AG717" s="355">
        <v>3190</v>
      </c>
      <c r="AL717" s="123"/>
    </row>
    <row r="718" spans="1:38" x14ac:dyDescent="0.4">
      <c r="A718" s="65"/>
      <c r="B718" s="356">
        <v>3195</v>
      </c>
      <c r="C718" s="851"/>
      <c r="D718" s="787"/>
      <c r="E718" s="829"/>
      <c r="F718" s="852"/>
      <c r="G718" s="851"/>
      <c r="H718" s="787"/>
      <c r="I718" s="829"/>
      <c r="J718" s="852"/>
      <c r="K718" s="851"/>
      <c r="L718" s="787"/>
      <c r="M718" s="829"/>
      <c r="N718" s="852"/>
      <c r="O718" s="851"/>
      <c r="P718" s="787"/>
      <c r="Q718" s="829"/>
      <c r="R718" s="852"/>
      <c r="S718" s="851"/>
      <c r="T718" s="787"/>
      <c r="U718" s="829"/>
      <c r="V718" s="852"/>
      <c r="W718" s="851"/>
      <c r="X718" s="787"/>
      <c r="Y718" s="829"/>
      <c r="Z718" s="852"/>
      <c r="AA718" s="851"/>
      <c r="AB718" s="787"/>
      <c r="AC718" s="829"/>
      <c r="AD718" s="852"/>
      <c r="AE718" s="851"/>
      <c r="AF718" s="787"/>
      <c r="AG718" s="355">
        <v>3195</v>
      </c>
      <c r="AL718" s="123"/>
    </row>
    <row r="719" spans="1:38" x14ac:dyDescent="0.4">
      <c r="A719" s="65"/>
      <c r="B719" s="356">
        <v>3200</v>
      </c>
      <c r="C719" s="851"/>
      <c r="D719" s="787"/>
      <c r="E719" s="829"/>
      <c r="F719" s="852"/>
      <c r="G719" s="851"/>
      <c r="H719" s="787"/>
      <c r="I719" s="829"/>
      <c r="J719" s="852"/>
      <c r="K719" s="851"/>
      <c r="L719" s="787"/>
      <c r="M719" s="829"/>
      <c r="N719" s="852"/>
      <c r="O719" s="851"/>
      <c r="P719" s="787"/>
      <c r="Q719" s="829"/>
      <c r="R719" s="852"/>
      <c r="S719" s="851"/>
      <c r="T719" s="787"/>
      <c r="U719" s="829"/>
      <c r="V719" s="852"/>
      <c r="W719" s="851"/>
      <c r="X719" s="787"/>
      <c r="Y719" s="829"/>
      <c r="Z719" s="852"/>
      <c r="AA719" s="851"/>
      <c r="AB719" s="787"/>
      <c r="AC719" s="829"/>
      <c r="AD719" s="852"/>
      <c r="AE719" s="851"/>
      <c r="AF719" s="787"/>
      <c r="AG719" s="355">
        <v>3200</v>
      </c>
      <c r="AL719" s="123"/>
    </row>
    <row r="720" spans="1:38" x14ac:dyDescent="0.4">
      <c r="A720" s="65"/>
      <c r="B720" s="356">
        <v>3205</v>
      </c>
      <c r="C720" s="851"/>
      <c r="D720" s="787"/>
      <c r="E720" s="829"/>
      <c r="F720" s="852"/>
      <c r="G720" s="851"/>
      <c r="H720" s="787"/>
      <c r="I720" s="829"/>
      <c r="J720" s="852"/>
      <c r="K720" s="851"/>
      <c r="L720" s="787"/>
      <c r="M720" s="829"/>
      <c r="N720" s="852"/>
      <c r="O720" s="851"/>
      <c r="P720" s="787"/>
      <c r="Q720" s="829"/>
      <c r="R720" s="852"/>
      <c r="S720" s="851"/>
      <c r="T720" s="787"/>
      <c r="U720" s="829"/>
      <c r="V720" s="852"/>
      <c r="W720" s="851"/>
      <c r="X720" s="787"/>
      <c r="Y720" s="829"/>
      <c r="Z720" s="852"/>
      <c r="AA720" s="851"/>
      <c r="AB720" s="787"/>
      <c r="AC720" s="829"/>
      <c r="AD720" s="852"/>
      <c r="AE720" s="851"/>
      <c r="AF720" s="787"/>
      <c r="AG720" s="355">
        <v>3205</v>
      </c>
      <c r="AL720" s="123"/>
    </row>
    <row r="721" spans="1:38" x14ac:dyDescent="0.4">
      <c r="A721" s="65"/>
      <c r="B721" s="356">
        <v>3210</v>
      </c>
      <c r="C721" s="851"/>
      <c r="D721" s="787"/>
      <c r="E721" s="829"/>
      <c r="F721" s="852"/>
      <c r="G721" s="851"/>
      <c r="H721" s="787"/>
      <c r="I721" s="829"/>
      <c r="J721" s="852"/>
      <c r="K721" s="851"/>
      <c r="L721" s="787"/>
      <c r="M721" s="829"/>
      <c r="N721" s="852"/>
      <c r="O721" s="851"/>
      <c r="P721" s="787"/>
      <c r="Q721" s="829"/>
      <c r="R721" s="852"/>
      <c r="S721" s="851"/>
      <c r="T721" s="787"/>
      <c r="U721" s="829"/>
      <c r="V721" s="852"/>
      <c r="W721" s="851"/>
      <c r="X721" s="787"/>
      <c r="Y721" s="829"/>
      <c r="Z721" s="852"/>
      <c r="AA721" s="851"/>
      <c r="AB721" s="787"/>
      <c r="AC721" s="829"/>
      <c r="AD721" s="852"/>
      <c r="AE721" s="851"/>
      <c r="AF721" s="787"/>
      <c r="AG721" s="355">
        <v>3210</v>
      </c>
      <c r="AL721" s="123"/>
    </row>
    <row r="722" spans="1:38" x14ac:dyDescent="0.4">
      <c r="A722" s="65"/>
      <c r="B722" s="356">
        <v>3215</v>
      </c>
      <c r="C722" s="851"/>
      <c r="D722" s="787"/>
      <c r="E722" s="829"/>
      <c r="F722" s="852"/>
      <c r="G722" s="851"/>
      <c r="H722" s="787"/>
      <c r="I722" s="829"/>
      <c r="J722" s="852"/>
      <c r="K722" s="851"/>
      <c r="L722" s="787"/>
      <c r="M722" s="829"/>
      <c r="N722" s="852"/>
      <c r="O722" s="851"/>
      <c r="P722" s="787"/>
      <c r="Q722" s="829"/>
      <c r="R722" s="852"/>
      <c r="S722" s="851"/>
      <c r="T722" s="787"/>
      <c r="U722" s="829"/>
      <c r="V722" s="852"/>
      <c r="W722" s="851"/>
      <c r="X722" s="787"/>
      <c r="Y722" s="829"/>
      <c r="Z722" s="852"/>
      <c r="AA722" s="851"/>
      <c r="AB722" s="787"/>
      <c r="AC722" s="829"/>
      <c r="AD722" s="852"/>
      <c r="AE722" s="851"/>
      <c r="AF722" s="787"/>
      <c r="AG722" s="355">
        <v>3215</v>
      </c>
      <c r="AL722" s="123"/>
    </row>
    <row r="723" spans="1:38" x14ac:dyDescent="0.4">
      <c r="A723" s="65"/>
      <c r="B723" s="356">
        <v>3220</v>
      </c>
      <c r="C723" s="851"/>
      <c r="D723" s="787"/>
      <c r="E723" s="829"/>
      <c r="F723" s="852"/>
      <c r="G723" s="851"/>
      <c r="H723" s="787"/>
      <c r="I723" s="829"/>
      <c r="J723" s="852"/>
      <c r="K723" s="851"/>
      <c r="L723" s="787"/>
      <c r="M723" s="829"/>
      <c r="N723" s="852"/>
      <c r="O723" s="851"/>
      <c r="P723" s="787"/>
      <c r="Q723" s="829"/>
      <c r="R723" s="852"/>
      <c r="S723" s="851"/>
      <c r="T723" s="787"/>
      <c r="U723" s="829"/>
      <c r="V723" s="852"/>
      <c r="W723" s="851"/>
      <c r="X723" s="787"/>
      <c r="Y723" s="829"/>
      <c r="Z723" s="852"/>
      <c r="AA723" s="851"/>
      <c r="AB723" s="787"/>
      <c r="AC723" s="829"/>
      <c r="AD723" s="852"/>
      <c r="AE723" s="851"/>
      <c r="AF723" s="787"/>
      <c r="AG723" s="355">
        <v>3220</v>
      </c>
      <c r="AL723" s="123"/>
    </row>
    <row r="724" spans="1:38" x14ac:dyDescent="0.4">
      <c r="A724" s="65"/>
      <c r="B724" s="356">
        <v>3225</v>
      </c>
      <c r="C724" s="851"/>
      <c r="D724" s="787"/>
      <c r="E724" s="829"/>
      <c r="F724" s="852"/>
      <c r="G724" s="851"/>
      <c r="H724" s="787"/>
      <c r="I724" s="829"/>
      <c r="J724" s="852"/>
      <c r="K724" s="851"/>
      <c r="L724" s="787"/>
      <c r="M724" s="829"/>
      <c r="N724" s="852"/>
      <c r="O724" s="851"/>
      <c r="P724" s="787"/>
      <c r="Q724" s="829"/>
      <c r="R724" s="852"/>
      <c r="S724" s="851"/>
      <c r="T724" s="787"/>
      <c r="U724" s="829"/>
      <c r="V724" s="852"/>
      <c r="W724" s="851"/>
      <c r="X724" s="787"/>
      <c r="Y724" s="829"/>
      <c r="Z724" s="852"/>
      <c r="AA724" s="851"/>
      <c r="AB724" s="787"/>
      <c r="AC724" s="829"/>
      <c r="AD724" s="852"/>
      <c r="AE724" s="851"/>
      <c r="AF724" s="787"/>
      <c r="AG724" s="355">
        <v>3225</v>
      </c>
      <c r="AL724" s="123"/>
    </row>
    <row r="725" spans="1:38" x14ac:dyDescent="0.4">
      <c r="A725" s="65"/>
      <c r="B725" s="356">
        <v>3230</v>
      </c>
      <c r="C725" s="851"/>
      <c r="D725" s="787"/>
      <c r="E725" s="829"/>
      <c r="F725" s="852"/>
      <c r="G725" s="851"/>
      <c r="H725" s="787"/>
      <c r="I725" s="829"/>
      <c r="J725" s="852"/>
      <c r="K725" s="851"/>
      <c r="L725" s="787"/>
      <c r="M725" s="829"/>
      <c r="N725" s="852"/>
      <c r="O725" s="851"/>
      <c r="P725" s="787"/>
      <c r="Q725" s="829"/>
      <c r="R725" s="852"/>
      <c r="S725" s="851"/>
      <c r="T725" s="787"/>
      <c r="U725" s="829"/>
      <c r="V725" s="852"/>
      <c r="W725" s="851"/>
      <c r="X725" s="787"/>
      <c r="Y725" s="829"/>
      <c r="Z725" s="852"/>
      <c r="AA725" s="851"/>
      <c r="AB725" s="787"/>
      <c r="AC725" s="829"/>
      <c r="AD725" s="852"/>
      <c r="AE725" s="851"/>
      <c r="AF725" s="787"/>
      <c r="AG725" s="355">
        <v>3230</v>
      </c>
      <c r="AL725" s="123"/>
    </row>
    <row r="726" spans="1:38" x14ac:dyDescent="0.4">
      <c r="A726" s="65"/>
      <c r="B726" s="356">
        <v>3235</v>
      </c>
      <c r="C726" s="851"/>
      <c r="D726" s="787"/>
      <c r="E726" s="829"/>
      <c r="F726" s="852"/>
      <c r="G726" s="851"/>
      <c r="H726" s="787"/>
      <c r="I726" s="829"/>
      <c r="J726" s="852"/>
      <c r="K726" s="851"/>
      <c r="L726" s="787"/>
      <c r="M726" s="829"/>
      <c r="N726" s="852"/>
      <c r="O726" s="851"/>
      <c r="P726" s="787"/>
      <c r="Q726" s="829"/>
      <c r="R726" s="852"/>
      <c r="S726" s="851"/>
      <c r="T726" s="787"/>
      <c r="U726" s="829"/>
      <c r="V726" s="852"/>
      <c r="W726" s="851"/>
      <c r="X726" s="787"/>
      <c r="Y726" s="829"/>
      <c r="Z726" s="852"/>
      <c r="AA726" s="851"/>
      <c r="AB726" s="787"/>
      <c r="AC726" s="829"/>
      <c r="AD726" s="852"/>
      <c r="AE726" s="851"/>
      <c r="AF726" s="787"/>
      <c r="AG726" s="355">
        <v>3235</v>
      </c>
      <c r="AL726" s="123"/>
    </row>
    <row r="727" spans="1:38" x14ac:dyDescent="0.4">
      <c r="A727" s="65"/>
      <c r="B727" s="356">
        <v>3240</v>
      </c>
      <c r="C727" s="851"/>
      <c r="D727" s="787"/>
      <c r="E727" s="829"/>
      <c r="F727" s="852"/>
      <c r="G727" s="851"/>
      <c r="H727" s="787"/>
      <c r="I727" s="829"/>
      <c r="J727" s="852"/>
      <c r="K727" s="851"/>
      <c r="L727" s="787"/>
      <c r="M727" s="829"/>
      <c r="N727" s="852"/>
      <c r="O727" s="851"/>
      <c r="P727" s="787"/>
      <c r="Q727" s="829"/>
      <c r="R727" s="852"/>
      <c r="S727" s="851"/>
      <c r="T727" s="787"/>
      <c r="U727" s="829"/>
      <c r="V727" s="852"/>
      <c r="W727" s="851"/>
      <c r="X727" s="787"/>
      <c r="Y727" s="829"/>
      <c r="Z727" s="852"/>
      <c r="AA727" s="851"/>
      <c r="AB727" s="787"/>
      <c r="AC727" s="829"/>
      <c r="AD727" s="852"/>
      <c r="AE727" s="851"/>
      <c r="AF727" s="787"/>
      <c r="AG727" s="355">
        <v>3240</v>
      </c>
      <c r="AL727" s="123"/>
    </row>
    <row r="728" spans="1:38" x14ac:dyDescent="0.4">
      <c r="A728" s="65"/>
      <c r="B728" s="356">
        <v>3245</v>
      </c>
      <c r="C728" s="851"/>
      <c r="D728" s="787"/>
      <c r="E728" s="829"/>
      <c r="F728" s="852"/>
      <c r="G728" s="851"/>
      <c r="H728" s="787"/>
      <c r="I728" s="829"/>
      <c r="J728" s="852"/>
      <c r="K728" s="851"/>
      <c r="L728" s="787"/>
      <c r="M728" s="829"/>
      <c r="N728" s="852"/>
      <c r="O728" s="851"/>
      <c r="P728" s="787"/>
      <c r="Q728" s="829"/>
      <c r="R728" s="852"/>
      <c r="S728" s="851"/>
      <c r="T728" s="787"/>
      <c r="U728" s="829"/>
      <c r="V728" s="852"/>
      <c r="W728" s="851"/>
      <c r="X728" s="787"/>
      <c r="Y728" s="829"/>
      <c r="Z728" s="852"/>
      <c r="AA728" s="851"/>
      <c r="AB728" s="787"/>
      <c r="AC728" s="829"/>
      <c r="AD728" s="852"/>
      <c r="AE728" s="851"/>
      <c r="AF728" s="787"/>
      <c r="AG728" s="355">
        <v>3245</v>
      </c>
      <c r="AL728" s="123"/>
    </row>
    <row r="729" spans="1:38" x14ac:dyDescent="0.4">
      <c r="A729" s="65"/>
      <c r="B729" s="356">
        <v>3250</v>
      </c>
      <c r="C729" s="851"/>
      <c r="D729" s="787"/>
      <c r="E729" s="829"/>
      <c r="F729" s="852"/>
      <c r="G729" s="851"/>
      <c r="H729" s="787"/>
      <c r="I729" s="829"/>
      <c r="J729" s="852"/>
      <c r="K729" s="851"/>
      <c r="L729" s="787"/>
      <c r="M729" s="829"/>
      <c r="N729" s="852"/>
      <c r="O729" s="851"/>
      <c r="P729" s="787"/>
      <c r="Q729" s="829"/>
      <c r="R729" s="852"/>
      <c r="S729" s="851"/>
      <c r="T729" s="787"/>
      <c r="U729" s="829"/>
      <c r="V729" s="852"/>
      <c r="W729" s="851"/>
      <c r="X729" s="787"/>
      <c r="Y729" s="829"/>
      <c r="Z729" s="852"/>
      <c r="AA729" s="851"/>
      <c r="AB729" s="787"/>
      <c r="AC729" s="829"/>
      <c r="AD729" s="852"/>
      <c r="AE729" s="851"/>
      <c r="AF729" s="787"/>
      <c r="AG729" s="355">
        <v>3250</v>
      </c>
      <c r="AL729" s="123"/>
    </row>
    <row r="730" spans="1:38" x14ac:dyDescent="0.4">
      <c r="A730" s="65"/>
      <c r="B730" s="356">
        <v>3255</v>
      </c>
      <c r="C730" s="851"/>
      <c r="D730" s="787"/>
      <c r="E730" s="829"/>
      <c r="F730" s="852"/>
      <c r="G730" s="851"/>
      <c r="H730" s="787"/>
      <c r="I730" s="829"/>
      <c r="J730" s="852"/>
      <c r="K730" s="851"/>
      <c r="L730" s="787"/>
      <c r="M730" s="829"/>
      <c r="N730" s="852"/>
      <c r="O730" s="851"/>
      <c r="P730" s="787"/>
      <c r="Q730" s="829"/>
      <c r="R730" s="852"/>
      <c r="S730" s="851"/>
      <c r="T730" s="787"/>
      <c r="U730" s="829"/>
      <c r="V730" s="852"/>
      <c r="W730" s="851"/>
      <c r="X730" s="787"/>
      <c r="Y730" s="829"/>
      <c r="Z730" s="852"/>
      <c r="AA730" s="851"/>
      <c r="AB730" s="787"/>
      <c r="AC730" s="829"/>
      <c r="AD730" s="852"/>
      <c r="AE730" s="851"/>
      <c r="AF730" s="787"/>
      <c r="AG730" s="355">
        <v>3255</v>
      </c>
      <c r="AL730" s="123"/>
    </row>
    <row r="731" spans="1:38" x14ac:dyDescent="0.4">
      <c r="A731" s="65"/>
      <c r="B731" s="356">
        <v>3260</v>
      </c>
      <c r="C731" s="851"/>
      <c r="D731" s="787"/>
      <c r="E731" s="829"/>
      <c r="F731" s="852"/>
      <c r="G731" s="851"/>
      <c r="H731" s="787"/>
      <c r="I731" s="829"/>
      <c r="J731" s="852"/>
      <c r="K731" s="851"/>
      <c r="L731" s="787"/>
      <c r="M731" s="829"/>
      <c r="N731" s="852"/>
      <c r="O731" s="851"/>
      <c r="P731" s="787"/>
      <c r="Q731" s="829"/>
      <c r="R731" s="852"/>
      <c r="S731" s="851"/>
      <c r="T731" s="787"/>
      <c r="U731" s="829"/>
      <c r="V731" s="852"/>
      <c r="W731" s="851"/>
      <c r="X731" s="787"/>
      <c r="Y731" s="829"/>
      <c r="Z731" s="852"/>
      <c r="AA731" s="851"/>
      <c r="AB731" s="787"/>
      <c r="AC731" s="829"/>
      <c r="AD731" s="852"/>
      <c r="AE731" s="851"/>
      <c r="AF731" s="787"/>
      <c r="AG731" s="355">
        <v>3260</v>
      </c>
      <c r="AL731" s="123"/>
    </row>
    <row r="732" spans="1:38" x14ac:dyDescent="0.4">
      <c r="A732" s="65"/>
      <c r="B732" s="356">
        <v>3265</v>
      </c>
      <c r="C732" s="851"/>
      <c r="D732" s="787"/>
      <c r="E732" s="829"/>
      <c r="F732" s="852"/>
      <c r="G732" s="851"/>
      <c r="H732" s="787"/>
      <c r="I732" s="829"/>
      <c r="J732" s="852"/>
      <c r="K732" s="851"/>
      <c r="L732" s="787"/>
      <c r="M732" s="829"/>
      <c r="N732" s="852"/>
      <c r="O732" s="851"/>
      <c r="P732" s="787"/>
      <c r="Q732" s="829"/>
      <c r="R732" s="852"/>
      <c r="S732" s="851"/>
      <c r="T732" s="787"/>
      <c r="U732" s="829"/>
      <c r="V732" s="852"/>
      <c r="W732" s="851"/>
      <c r="X732" s="787"/>
      <c r="Y732" s="829"/>
      <c r="Z732" s="852"/>
      <c r="AA732" s="851"/>
      <c r="AB732" s="787"/>
      <c r="AC732" s="829"/>
      <c r="AD732" s="852"/>
      <c r="AE732" s="851"/>
      <c r="AF732" s="787"/>
      <c r="AG732" s="355">
        <v>3265</v>
      </c>
      <c r="AL732" s="123"/>
    </row>
    <row r="733" spans="1:38" x14ac:dyDescent="0.4">
      <c r="A733" s="65"/>
      <c r="B733" s="356">
        <v>3270</v>
      </c>
      <c r="C733" s="851"/>
      <c r="D733" s="787"/>
      <c r="E733" s="829"/>
      <c r="F733" s="852"/>
      <c r="G733" s="851"/>
      <c r="H733" s="787"/>
      <c r="I733" s="829"/>
      <c r="J733" s="852"/>
      <c r="K733" s="851"/>
      <c r="L733" s="787"/>
      <c r="M733" s="829"/>
      <c r="N733" s="852"/>
      <c r="O733" s="851"/>
      <c r="P733" s="787"/>
      <c r="Q733" s="829"/>
      <c r="R733" s="852"/>
      <c r="S733" s="851"/>
      <c r="T733" s="787"/>
      <c r="U733" s="829"/>
      <c r="V733" s="852"/>
      <c r="W733" s="851"/>
      <c r="X733" s="787"/>
      <c r="Y733" s="829"/>
      <c r="Z733" s="852"/>
      <c r="AA733" s="851"/>
      <c r="AB733" s="787"/>
      <c r="AC733" s="829"/>
      <c r="AD733" s="852"/>
      <c r="AE733" s="851"/>
      <c r="AF733" s="787"/>
      <c r="AG733" s="355">
        <v>3270</v>
      </c>
      <c r="AL733" s="123"/>
    </row>
    <row r="734" spans="1:38" x14ac:dyDescent="0.4">
      <c r="A734" s="65"/>
      <c r="B734" s="356">
        <v>3275</v>
      </c>
      <c r="C734" s="851"/>
      <c r="D734" s="787"/>
      <c r="E734" s="829"/>
      <c r="F734" s="852"/>
      <c r="G734" s="851"/>
      <c r="H734" s="787"/>
      <c r="I734" s="829"/>
      <c r="J734" s="852"/>
      <c r="K734" s="851"/>
      <c r="L734" s="787"/>
      <c r="M734" s="829"/>
      <c r="N734" s="852"/>
      <c r="O734" s="851"/>
      <c r="P734" s="787"/>
      <c r="Q734" s="829"/>
      <c r="R734" s="852"/>
      <c r="S734" s="851"/>
      <c r="T734" s="787"/>
      <c r="U734" s="829"/>
      <c r="V734" s="852"/>
      <c r="W734" s="851"/>
      <c r="X734" s="787"/>
      <c r="Y734" s="829"/>
      <c r="Z734" s="852"/>
      <c r="AA734" s="851"/>
      <c r="AB734" s="787"/>
      <c r="AC734" s="829"/>
      <c r="AD734" s="852"/>
      <c r="AE734" s="851"/>
      <c r="AF734" s="787"/>
      <c r="AG734" s="355">
        <v>3275</v>
      </c>
      <c r="AL734" s="123"/>
    </row>
    <row r="735" spans="1:38" x14ac:dyDescent="0.4">
      <c r="A735" s="65"/>
      <c r="B735" s="356">
        <v>3280</v>
      </c>
      <c r="C735" s="851"/>
      <c r="D735" s="787"/>
      <c r="E735" s="829"/>
      <c r="F735" s="852"/>
      <c r="G735" s="851"/>
      <c r="H735" s="787"/>
      <c r="I735" s="829"/>
      <c r="J735" s="852"/>
      <c r="K735" s="851"/>
      <c r="L735" s="787"/>
      <c r="M735" s="829"/>
      <c r="N735" s="852"/>
      <c r="O735" s="851"/>
      <c r="P735" s="787"/>
      <c r="Q735" s="829"/>
      <c r="R735" s="852"/>
      <c r="S735" s="851"/>
      <c r="T735" s="787"/>
      <c r="U735" s="829"/>
      <c r="V735" s="852"/>
      <c r="W735" s="851"/>
      <c r="X735" s="787"/>
      <c r="Y735" s="829"/>
      <c r="Z735" s="852"/>
      <c r="AA735" s="851"/>
      <c r="AB735" s="787"/>
      <c r="AC735" s="829"/>
      <c r="AD735" s="852"/>
      <c r="AE735" s="851"/>
      <c r="AF735" s="787"/>
      <c r="AG735" s="355">
        <v>3280</v>
      </c>
      <c r="AL735" s="123"/>
    </row>
    <row r="736" spans="1:38" x14ac:dyDescent="0.4">
      <c r="A736" s="65"/>
      <c r="B736" s="356">
        <v>3285</v>
      </c>
      <c r="C736" s="851"/>
      <c r="D736" s="787"/>
      <c r="E736" s="829"/>
      <c r="F736" s="852"/>
      <c r="G736" s="851"/>
      <c r="H736" s="787"/>
      <c r="I736" s="829"/>
      <c r="J736" s="852"/>
      <c r="K736" s="851"/>
      <c r="L736" s="787"/>
      <c r="M736" s="829"/>
      <c r="N736" s="852"/>
      <c r="O736" s="851"/>
      <c r="P736" s="787"/>
      <c r="Q736" s="829"/>
      <c r="R736" s="852"/>
      <c r="S736" s="851"/>
      <c r="T736" s="787"/>
      <c r="U736" s="829"/>
      <c r="V736" s="852"/>
      <c r="W736" s="851"/>
      <c r="X736" s="787"/>
      <c r="Y736" s="829"/>
      <c r="Z736" s="852"/>
      <c r="AA736" s="851"/>
      <c r="AB736" s="787"/>
      <c r="AC736" s="829"/>
      <c r="AD736" s="852"/>
      <c r="AE736" s="851"/>
      <c r="AF736" s="787"/>
      <c r="AG736" s="355">
        <v>3285</v>
      </c>
      <c r="AL736" s="123"/>
    </row>
    <row r="737" spans="1:38" x14ac:dyDescent="0.4">
      <c r="A737" s="65"/>
      <c r="B737" s="356">
        <v>3290</v>
      </c>
      <c r="C737" s="851"/>
      <c r="D737" s="787"/>
      <c r="E737" s="829"/>
      <c r="F737" s="852"/>
      <c r="G737" s="851"/>
      <c r="H737" s="787"/>
      <c r="I737" s="829"/>
      <c r="J737" s="852"/>
      <c r="K737" s="851"/>
      <c r="L737" s="787"/>
      <c r="M737" s="829"/>
      <c r="N737" s="852"/>
      <c r="O737" s="851"/>
      <c r="P737" s="787"/>
      <c r="Q737" s="829"/>
      <c r="R737" s="852"/>
      <c r="S737" s="851"/>
      <c r="T737" s="787"/>
      <c r="U737" s="829"/>
      <c r="V737" s="852"/>
      <c r="W737" s="851"/>
      <c r="X737" s="787"/>
      <c r="Y737" s="829"/>
      <c r="Z737" s="852"/>
      <c r="AA737" s="851"/>
      <c r="AB737" s="787"/>
      <c r="AC737" s="829"/>
      <c r="AD737" s="852"/>
      <c r="AE737" s="851"/>
      <c r="AF737" s="787"/>
      <c r="AG737" s="355">
        <v>3290</v>
      </c>
      <c r="AL737" s="123"/>
    </row>
    <row r="738" spans="1:38" x14ac:dyDescent="0.4">
      <c r="A738" s="65"/>
      <c r="B738" s="356">
        <v>3295</v>
      </c>
      <c r="C738" s="851"/>
      <c r="D738" s="787"/>
      <c r="E738" s="829"/>
      <c r="F738" s="852"/>
      <c r="G738" s="851"/>
      <c r="H738" s="787"/>
      <c r="I738" s="829"/>
      <c r="J738" s="852"/>
      <c r="K738" s="851"/>
      <c r="L738" s="787"/>
      <c r="M738" s="829"/>
      <c r="N738" s="852"/>
      <c r="O738" s="851"/>
      <c r="P738" s="787"/>
      <c r="Q738" s="829"/>
      <c r="R738" s="852"/>
      <c r="S738" s="851"/>
      <c r="T738" s="787"/>
      <c r="U738" s="829"/>
      <c r="V738" s="852"/>
      <c r="W738" s="851"/>
      <c r="X738" s="787"/>
      <c r="Y738" s="829"/>
      <c r="Z738" s="852"/>
      <c r="AA738" s="851"/>
      <c r="AB738" s="787"/>
      <c r="AC738" s="829"/>
      <c r="AD738" s="852"/>
      <c r="AE738" s="851"/>
      <c r="AF738" s="787"/>
      <c r="AG738" s="355">
        <v>3295</v>
      </c>
      <c r="AL738" s="123"/>
    </row>
    <row r="739" spans="1:38" x14ac:dyDescent="0.4">
      <c r="A739" s="65"/>
      <c r="B739" s="356">
        <v>3300</v>
      </c>
      <c r="C739" s="851"/>
      <c r="D739" s="787"/>
      <c r="E739" s="829"/>
      <c r="F739" s="852"/>
      <c r="G739" s="851"/>
      <c r="H739" s="787"/>
      <c r="I739" s="829"/>
      <c r="J739" s="852"/>
      <c r="K739" s="851"/>
      <c r="L739" s="787"/>
      <c r="M739" s="829"/>
      <c r="N739" s="852"/>
      <c r="O739" s="851"/>
      <c r="P739" s="787"/>
      <c r="Q739" s="829"/>
      <c r="R739" s="852"/>
      <c r="S739" s="851"/>
      <c r="T739" s="787"/>
      <c r="U739" s="829"/>
      <c r="V739" s="852"/>
      <c r="W739" s="851"/>
      <c r="X739" s="787"/>
      <c r="Y739" s="829"/>
      <c r="Z739" s="852"/>
      <c r="AA739" s="851"/>
      <c r="AB739" s="787"/>
      <c r="AC739" s="829"/>
      <c r="AD739" s="852"/>
      <c r="AE739" s="851"/>
      <c r="AF739" s="787"/>
      <c r="AG739" s="355">
        <v>3300</v>
      </c>
      <c r="AL739" s="123"/>
    </row>
    <row r="740" spans="1:38" x14ac:dyDescent="0.4">
      <c r="A740" s="65"/>
      <c r="B740" s="356">
        <v>3305</v>
      </c>
      <c r="C740" s="851"/>
      <c r="D740" s="787"/>
      <c r="E740" s="829"/>
      <c r="F740" s="852"/>
      <c r="G740" s="851"/>
      <c r="H740" s="787"/>
      <c r="I740" s="829"/>
      <c r="J740" s="852"/>
      <c r="K740" s="851"/>
      <c r="L740" s="787"/>
      <c r="M740" s="829"/>
      <c r="N740" s="852"/>
      <c r="O740" s="851"/>
      <c r="P740" s="787"/>
      <c r="Q740" s="829"/>
      <c r="R740" s="852"/>
      <c r="S740" s="851"/>
      <c r="T740" s="787"/>
      <c r="U740" s="829"/>
      <c r="V740" s="852"/>
      <c r="W740" s="851"/>
      <c r="X740" s="787"/>
      <c r="Y740" s="829"/>
      <c r="Z740" s="852"/>
      <c r="AA740" s="851"/>
      <c r="AB740" s="787"/>
      <c r="AC740" s="829"/>
      <c r="AD740" s="852"/>
      <c r="AE740" s="851"/>
      <c r="AF740" s="787"/>
      <c r="AG740" s="355">
        <v>3305</v>
      </c>
      <c r="AL740" s="123"/>
    </row>
    <row r="741" spans="1:38" x14ac:dyDescent="0.4">
      <c r="A741" s="65"/>
      <c r="B741" s="356">
        <v>3310</v>
      </c>
      <c r="C741" s="851"/>
      <c r="D741" s="787"/>
      <c r="E741" s="829"/>
      <c r="F741" s="852"/>
      <c r="G741" s="851"/>
      <c r="H741" s="787"/>
      <c r="I741" s="829"/>
      <c r="J741" s="852"/>
      <c r="K741" s="851"/>
      <c r="L741" s="787"/>
      <c r="M741" s="829"/>
      <c r="N741" s="852"/>
      <c r="O741" s="851"/>
      <c r="P741" s="787"/>
      <c r="Q741" s="829"/>
      <c r="R741" s="852"/>
      <c r="S741" s="851"/>
      <c r="T741" s="787"/>
      <c r="U741" s="829"/>
      <c r="V741" s="852"/>
      <c r="W741" s="851"/>
      <c r="X741" s="787"/>
      <c r="Y741" s="829"/>
      <c r="Z741" s="852"/>
      <c r="AA741" s="851"/>
      <c r="AB741" s="787"/>
      <c r="AC741" s="829"/>
      <c r="AD741" s="852"/>
      <c r="AE741" s="851"/>
      <c r="AF741" s="787"/>
      <c r="AG741" s="355">
        <v>3310</v>
      </c>
      <c r="AL741" s="123"/>
    </row>
    <row r="742" spans="1:38" x14ac:dyDescent="0.4">
      <c r="A742" s="65"/>
      <c r="B742" s="356">
        <v>3315</v>
      </c>
      <c r="C742" s="851"/>
      <c r="D742" s="787"/>
      <c r="E742" s="829"/>
      <c r="F742" s="852"/>
      <c r="G742" s="851"/>
      <c r="H742" s="787"/>
      <c r="I742" s="829"/>
      <c r="J742" s="852"/>
      <c r="K742" s="851"/>
      <c r="L742" s="787"/>
      <c r="M742" s="829"/>
      <c r="N742" s="852"/>
      <c r="O742" s="851"/>
      <c r="P742" s="787"/>
      <c r="Q742" s="829"/>
      <c r="R742" s="852"/>
      <c r="S742" s="851"/>
      <c r="T742" s="787"/>
      <c r="U742" s="829"/>
      <c r="V742" s="852"/>
      <c r="W742" s="851"/>
      <c r="X742" s="787"/>
      <c r="Y742" s="829"/>
      <c r="Z742" s="852"/>
      <c r="AA742" s="851"/>
      <c r="AB742" s="787"/>
      <c r="AC742" s="829"/>
      <c r="AD742" s="852"/>
      <c r="AE742" s="851"/>
      <c r="AF742" s="787"/>
      <c r="AG742" s="355">
        <v>3315</v>
      </c>
      <c r="AL742" s="123"/>
    </row>
    <row r="743" spans="1:38" x14ac:dyDescent="0.4">
      <c r="A743" s="65"/>
      <c r="B743" s="356">
        <v>3320</v>
      </c>
      <c r="C743" s="851"/>
      <c r="D743" s="787"/>
      <c r="E743" s="829"/>
      <c r="F743" s="852"/>
      <c r="G743" s="851"/>
      <c r="H743" s="787"/>
      <c r="I743" s="829"/>
      <c r="J743" s="852"/>
      <c r="K743" s="851"/>
      <c r="L743" s="787"/>
      <c r="M743" s="829"/>
      <c r="N743" s="852"/>
      <c r="O743" s="851"/>
      <c r="P743" s="787"/>
      <c r="Q743" s="829"/>
      <c r="R743" s="852"/>
      <c r="S743" s="851"/>
      <c r="T743" s="787"/>
      <c r="U743" s="829"/>
      <c r="V743" s="852"/>
      <c r="W743" s="851"/>
      <c r="X743" s="787"/>
      <c r="Y743" s="829"/>
      <c r="Z743" s="852"/>
      <c r="AA743" s="851"/>
      <c r="AB743" s="787"/>
      <c r="AC743" s="829"/>
      <c r="AD743" s="852"/>
      <c r="AE743" s="851"/>
      <c r="AF743" s="787"/>
      <c r="AG743" s="355">
        <v>3320</v>
      </c>
      <c r="AL743" s="123"/>
    </row>
    <row r="744" spans="1:38" x14ac:dyDescent="0.4">
      <c r="A744" s="65"/>
      <c r="B744" s="356">
        <v>3325</v>
      </c>
      <c r="C744" s="851"/>
      <c r="D744" s="787"/>
      <c r="E744" s="829"/>
      <c r="F744" s="852"/>
      <c r="G744" s="851"/>
      <c r="H744" s="787"/>
      <c r="I744" s="829"/>
      <c r="J744" s="852"/>
      <c r="K744" s="851"/>
      <c r="L744" s="787"/>
      <c r="M744" s="829"/>
      <c r="N744" s="852"/>
      <c r="O744" s="851"/>
      <c r="P744" s="787"/>
      <c r="Q744" s="829"/>
      <c r="R744" s="852"/>
      <c r="S744" s="851"/>
      <c r="T744" s="787"/>
      <c r="U744" s="829"/>
      <c r="V744" s="852"/>
      <c r="W744" s="851"/>
      <c r="X744" s="787"/>
      <c r="Y744" s="829"/>
      <c r="Z744" s="852"/>
      <c r="AA744" s="851"/>
      <c r="AB744" s="787"/>
      <c r="AC744" s="829"/>
      <c r="AD744" s="852"/>
      <c r="AE744" s="851"/>
      <c r="AF744" s="787"/>
      <c r="AG744" s="355">
        <v>3325</v>
      </c>
      <c r="AL744" s="123"/>
    </row>
    <row r="745" spans="1:38" x14ac:dyDescent="0.4">
      <c r="A745" s="65"/>
      <c r="B745" s="356">
        <v>3330</v>
      </c>
      <c r="C745" s="851"/>
      <c r="D745" s="787"/>
      <c r="E745" s="829"/>
      <c r="F745" s="852"/>
      <c r="G745" s="851"/>
      <c r="H745" s="787"/>
      <c r="I745" s="829"/>
      <c r="J745" s="852"/>
      <c r="K745" s="851"/>
      <c r="L745" s="787"/>
      <c r="M745" s="829"/>
      <c r="N745" s="852"/>
      <c r="O745" s="851"/>
      <c r="P745" s="787"/>
      <c r="Q745" s="829"/>
      <c r="R745" s="852"/>
      <c r="S745" s="851"/>
      <c r="T745" s="787"/>
      <c r="U745" s="829"/>
      <c r="V745" s="852"/>
      <c r="W745" s="851"/>
      <c r="X745" s="787"/>
      <c r="Y745" s="829"/>
      <c r="Z745" s="852"/>
      <c r="AA745" s="851"/>
      <c r="AB745" s="787"/>
      <c r="AC745" s="829"/>
      <c r="AD745" s="852"/>
      <c r="AE745" s="851"/>
      <c r="AF745" s="787"/>
      <c r="AG745" s="355">
        <v>3330</v>
      </c>
      <c r="AL745" s="123"/>
    </row>
    <row r="746" spans="1:38" x14ac:dyDescent="0.4">
      <c r="A746" s="65"/>
      <c r="B746" s="356">
        <v>3335</v>
      </c>
      <c r="C746" s="851"/>
      <c r="D746" s="787"/>
      <c r="E746" s="829"/>
      <c r="F746" s="852"/>
      <c r="G746" s="851"/>
      <c r="H746" s="787"/>
      <c r="I746" s="829"/>
      <c r="J746" s="852"/>
      <c r="K746" s="851"/>
      <c r="L746" s="787"/>
      <c r="M746" s="829"/>
      <c r="N746" s="852"/>
      <c r="O746" s="851"/>
      <c r="P746" s="787"/>
      <c r="Q746" s="829"/>
      <c r="R746" s="852"/>
      <c r="S746" s="851"/>
      <c r="T746" s="787"/>
      <c r="U746" s="829"/>
      <c r="V746" s="852"/>
      <c r="W746" s="851"/>
      <c r="X746" s="787"/>
      <c r="Y746" s="829"/>
      <c r="Z746" s="852"/>
      <c r="AA746" s="851"/>
      <c r="AB746" s="787"/>
      <c r="AC746" s="829"/>
      <c r="AD746" s="852"/>
      <c r="AE746" s="851"/>
      <c r="AF746" s="787"/>
      <c r="AG746" s="355">
        <v>3335</v>
      </c>
      <c r="AL746" s="123"/>
    </row>
    <row r="747" spans="1:38" x14ac:dyDescent="0.4">
      <c r="A747" s="65"/>
      <c r="B747" s="356">
        <v>3340</v>
      </c>
      <c r="C747" s="851"/>
      <c r="D747" s="787"/>
      <c r="E747" s="829"/>
      <c r="F747" s="852"/>
      <c r="G747" s="851"/>
      <c r="H747" s="787"/>
      <c r="I747" s="829"/>
      <c r="J747" s="852"/>
      <c r="K747" s="851"/>
      <c r="L747" s="787"/>
      <c r="M747" s="829"/>
      <c r="N747" s="852"/>
      <c r="O747" s="851"/>
      <c r="P747" s="787"/>
      <c r="Q747" s="829"/>
      <c r="R747" s="852"/>
      <c r="S747" s="851"/>
      <c r="T747" s="787"/>
      <c r="U747" s="829"/>
      <c r="V747" s="852"/>
      <c r="W747" s="851"/>
      <c r="X747" s="787"/>
      <c r="Y747" s="829"/>
      <c r="Z747" s="852"/>
      <c r="AA747" s="851"/>
      <c r="AB747" s="787"/>
      <c r="AC747" s="829"/>
      <c r="AD747" s="852"/>
      <c r="AE747" s="851"/>
      <c r="AF747" s="787"/>
      <c r="AG747" s="355">
        <v>3340</v>
      </c>
      <c r="AL747" s="123"/>
    </row>
    <row r="748" spans="1:38" x14ac:dyDescent="0.4">
      <c r="A748" s="65"/>
      <c r="B748" s="356">
        <v>3345</v>
      </c>
      <c r="C748" s="851"/>
      <c r="D748" s="787"/>
      <c r="E748" s="829"/>
      <c r="F748" s="852"/>
      <c r="G748" s="851"/>
      <c r="H748" s="787"/>
      <c r="I748" s="829"/>
      <c r="J748" s="852"/>
      <c r="K748" s="851"/>
      <c r="L748" s="787"/>
      <c r="M748" s="829"/>
      <c r="N748" s="852"/>
      <c r="O748" s="851"/>
      <c r="P748" s="787"/>
      <c r="Q748" s="829"/>
      <c r="R748" s="852"/>
      <c r="S748" s="851"/>
      <c r="T748" s="787"/>
      <c r="U748" s="829"/>
      <c r="V748" s="852"/>
      <c r="W748" s="851"/>
      <c r="X748" s="787"/>
      <c r="Y748" s="829"/>
      <c r="Z748" s="852"/>
      <c r="AA748" s="851"/>
      <c r="AB748" s="787"/>
      <c r="AC748" s="829"/>
      <c r="AD748" s="852"/>
      <c r="AE748" s="851"/>
      <c r="AF748" s="787"/>
      <c r="AG748" s="355">
        <v>3345</v>
      </c>
      <c r="AL748" s="123"/>
    </row>
    <row r="749" spans="1:38" x14ac:dyDescent="0.4">
      <c r="A749" s="65"/>
      <c r="B749" s="356">
        <v>3350</v>
      </c>
      <c r="C749" s="851"/>
      <c r="D749" s="787"/>
      <c r="E749" s="829"/>
      <c r="F749" s="852"/>
      <c r="G749" s="851"/>
      <c r="H749" s="787"/>
      <c r="I749" s="829"/>
      <c r="J749" s="852"/>
      <c r="K749" s="851"/>
      <c r="L749" s="787"/>
      <c r="M749" s="829"/>
      <c r="N749" s="852"/>
      <c r="O749" s="851"/>
      <c r="P749" s="787"/>
      <c r="Q749" s="829"/>
      <c r="R749" s="852"/>
      <c r="S749" s="851"/>
      <c r="T749" s="787"/>
      <c r="U749" s="829"/>
      <c r="V749" s="852"/>
      <c r="W749" s="851"/>
      <c r="X749" s="787"/>
      <c r="Y749" s="829"/>
      <c r="Z749" s="852"/>
      <c r="AA749" s="851"/>
      <c r="AB749" s="787"/>
      <c r="AC749" s="829"/>
      <c r="AD749" s="852"/>
      <c r="AE749" s="851"/>
      <c r="AF749" s="787"/>
      <c r="AG749" s="355">
        <v>3350</v>
      </c>
      <c r="AL749" s="123"/>
    </row>
    <row r="750" spans="1:38" x14ac:dyDescent="0.4">
      <c r="A750" s="65"/>
      <c r="B750" s="356">
        <v>3355</v>
      </c>
      <c r="C750" s="851"/>
      <c r="D750" s="787"/>
      <c r="E750" s="829"/>
      <c r="F750" s="852"/>
      <c r="G750" s="851"/>
      <c r="H750" s="787"/>
      <c r="I750" s="829"/>
      <c r="J750" s="852"/>
      <c r="K750" s="851"/>
      <c r="L750" s="787"/>
      <c r="M750" s="829"/>
      <c r="N750" s="852"/>
      <c r="O750" s="851"/>
      <c r="P750" s="787"/>
      <c r="Q750" s="829"/>
      <c r="R750" s="852"/>
      <c r="S750" s="851"/>
      <c r="T750" s="787"/>
      <c r="U750" s="829"/>
      <c r="V750" s="852"/>
      <c r="W750" s="851"/>
      <c r="X750" s="787"/>
      <c r="Y750" s="829"/>
      <c r="Z750" s="852"/>
      <c r="AA750" s="851"/>
      <c r="AB750" s="787"/>
      <c r="AC750" s="829"/>
      <c r="AD750" s="852"/>
      <c r="AE750" s="851"/>
      <c r="AF750" s="787"/>
      <c r="AG750" s="355">
        <v>3355</v>
      </c>
      <c r="AL750" s="123"/>
    </row>
    <row r="751" spans="1:38" x14ac:dyDescent="0.4">
      <c r="A751" s="65"/>
      <c r="B751" s="356">
        <v>3360</v>
      </c>
      <c r="C751" s="851"/>
      <c r="D751" s="787"/>
      <c r="E751" s="829"/>
      <c r="F751" s="852"/>
      <c r="G751" s="851"/>
      <c r="H751" s="787"/>
      <c r="I751" s="829"/>
      <c r="J751" s="852"/>
      <c r="K751" s="851"/>
      <c r="L751" s="787"/>
      <c r="M751" s="829"/>
      <c r="N751" s="852"/>
      <c r="O751" s="851"/>
      <c r="P751" s="787"/>
      <c r="Q751" s="829"/>
      <c r="R751" s="852"/>
      <c r="S751" s="851"/>
      <c r="T751" s="787"/>
      <c r="U751" s="829"/>
      <c r="V751" s="852"/>
      <c r="W751" s="851"/>
      <c r="X751" s="787"/>
      <c r="Y751" s="829"/>
      <c r="Z751" s="852"/>
      <c r="AA751" s="851"/>
      <c r="AB751" s="787"/>
      <c r="AC751" s="829"/>
      <c r="AD751" s="852"/>
      <c r="AE751" s="851"/>
      <c r="AF751" s="787"/>
      <c r="AG751" s="355">
        <v>3360</v>
      </c>
      <c r="AL751" s="123"/>
    </row>
    <row r="752" spans="1:38" x14ac:dyDescent="0.4">
      <c r="A752" s="65"/>
      <c r="B752" s="356">
        <v>3365</v>
      </c>
      <c r="C752" s="851"/>
      <c r="D752" s="787"/>
      <c r="E752" s="829"/>
      <c r="F752" s="852"/>
      <c r="G752" s="851"/>
      <c r="H752" s="787"/>
      <c r="I752" s="829"/>
      <c r="J752" s="852"/>
      <c r="K752" s="851"/>
      <c r="L752" s="787"/>
      <c r="M752" s="829"/>
      <c r="N752" s="852"/>
      <c r="O752" s="851"/>
      <c r="P752" s="787"/>
      <c r="Q752" s="829"/>
      <c r="R752" s="852"/>
      <c r="S752" s="851"/>
      <c r="T752" s="787"/>
      <c r="U752" s="829"/>
      <c r="V752" s="852"/>
      <c r="W752" s="851"/>
      <c r="X752" s="787"/>
      <c r="Y752" s="829"/>
      <c r="Z752" s="852"/>
      <c r="AA752" s="851"/>
      <c r="AB752" s="787"/>
      <c r="AC752" s="829"/>
      <c r="AD752" s="852"/>
      <c r="AE752" s="851"/>
      <c r="AF752" s="787"/>
      <c r="AG752" s="355">
        <v>3365</v>
      </c>
      <c r="AL752" s="123"/>
    </row>
    <row r="753" spans="1:38" x14ac:dyDescent="0.4">
      <c r="A753" s="65"/>
      <c r="B753" s="356">
        <v>3370</v>
      </c>
      <c r="C753" s="851"/>
      <c r="D753" s="787"/>
      <c r="E753" s="829"/>
      <c r="F753" s="852"/>
      <c r="G753" s="851"/>
      <c r="H753" s="787"/>
      <c r="I753" s="829"/>
      <c r="J753" s="852"/>
      <c r="K753" s="851"/>
      <c r="L753" s="787"/>
      <c r="M753" s="829"/>
      <c r="N753" s="852"/>
      <c r="O753" s="851"/>
      <c r="P753" s="787"/>
      <c r="Q753" s="829"/>
      <c r="R753" s="852"/>
      <c r="S753" s="851"/>
      <c r="T753" s="787"/>
      <c r="U753" s="829"/>
      <c r="V753" s="852"/>
      <c r="W753" s="851"/>
      <c r="X753" s="787"/>
      <c r="Y753" s="829"/>
      <c r="Z753" s="852"/>
      <c r="AA753" s="851"/>
      <c r="AB753" s="787"/>
      <c r="AC753" s="829"/>
      <c r="AD753" s="852"/>
      <c r="AE753" s="851"/>
      <c r="AF753" s="787"/>
      <c r="AG753" s="355">
        <v>3370</v>
      </c>
      <c r="AL753" s="123"/>
    </row>
    <row r="754" spans="1:38" x14ac:dyDescent="0.4">
      <c r="A754" s="65"/>
      <c r="B754" s="356">
        <v>3375</v>
      </c>
      <c r="C754" s="851"/>
      <c r="D754" s="787"/>
      <c r="E754" s="829"/>
      <c r="F754" s="852"/>
      <c r="G754" s="851"/>
      <c r="H754" s="787"/>
      <c r="I754" s="829"/>
      <c r="J754" s="852"/>
      <c r="K754" s="851"/>
      <c r="L754" s="787"/>
      <c r="M754" s="829"/>
      <c r="N754" s="852"/>
      <c r="O754" s="851"/>
      <c r="P754" s="787"/>
      <c r="Q754" s="829"/>
      <c r="R754" s="852"/>
      <c r="S754" s="851"/>
      <c r="T754" s="787"/>
      <c r="U754" s="829"/>
      <c r="V754" s="852"/>
      <c r="W754" s="851"/>
      <c r="X754" s="787"/>
      <c r="Y754" s="829"/>
      <c r="Z754" s="852"/>
      <c r="AA754" s="851"/>
      <c r="AB754" s="787"/>
      <c r="AC754" s="829"/>
      <c r="AD754" s="852"/>
      <c r="AE754" s="851"/>
      <c r="AF754" s="787"/>
      <c r="AG754" s="355">
        <v>3375</v>
      </c>
      <c r="AL754" s="123"/>
    </row>
    <row r="755" spans="1:38" x14ac:dyDescent="0.4">
      <c r="A755" s="65"/>
      <c r="B755" s="356">
        <v>3380</v>
      </c>
      <c r="C755" s="851"/>
      <c r="D755" s="787"/>
      <c r="E755" s="829"/>
      <c r="F755" s="852"/>
      <c r="G755" s="851"/>
      <c r="H755" s="787"/>
      <c r="I755" s="829"/>
      <c r="J755" s="852"/>
      <c r="K755" s="851"/>
      <c r="L755" s="787"/>
      <c r="M755" s="829"/>
      <c r="N755" s="852"/>
      <c r="O755" s="851"/>
      <c r="P755" s="787"/>
      <c r="Q755" s="829"/>
      <c r="R755" s="852"/>
      <c r="S755" s="851"/>
      <c r="T755" s="787"/>
      <c r="U755" s="829"/>
      <c r="V755" s="852"/>
      <c r="W755" s="851"/>
      <c r="X755" s="787"/>
      <c r="Y755" s="829"/>
      <c r="Z755" s="852"/>
      <c r="AA755" s="851"/>
      <c r="AB755" s="787"/>
      <c r="AC755" s="829"/>
      <c r="AD755" s="852"/>
      <c r="AE755" s="851"/>
      <c r="AF755" s="787"/>
      <c r="AG755" s="355">
        <v>3380</v>
      </c>
      <c r="AL755" s="123"/>
    </row>
    <row r="756" spans="1:38" x14ac:dyDescent="0.4">
      <c r="A756" s="65"/>
      <c r="B756" s="356">
        <v>3385</v>
      </c>
      <c r="C756" s="851"/>
      <c r="D756" s="787"/>
      <c r="E756" s="829"/>
      <c r="F756" s="852"/>
      <c r="G756" s="851"/>
      <c r="H756" s="787"/>
      <c r="I756" s="829"/>
      <c r="J756" s="852"/>
      <c r="K756" s="851"/>
      <c r="L756" s="787"/>
      <c r="M756" s="829"/>
      <c r="N756" s="852"/>
      <c r="O756" s="851"/>
      <c r="P756" s="787"/>
      <c r="Q756" s="829"/>
      <c r="R756" s="852"/>
      <c r="S756" s="851"/>
      <c r="T756" s="787"/>
      <c r="U756" s="829"/>
      <c r="V756" s="852"/>
      <c r="W756" s="851"/>
      <c r="X756" s="787"/>
      <c r="Y756" s="829"/>
      <c r="Z756" s="852"/>
      <c r="AA756" s="851"/>
      <c r="AB756" s="787"/>
      <c r="AC756" s="829"/>
      <c r="AD756" s="852"/>
      <c r="AE756" s="851"/>
      <c r="AF756" s="787"/>
      <c r="AG756" s="355">
        <v>3385</v>
      </c>
      <c r="AL756" s="123"/>
    </row>
    <row r="757" spans="1:38" x14ac:dyDescent="0.4">
      <c r="A757" s="65"/>
      <c r="B757" s="356">
        <v>3390</v>
      </c>
      <c r="C757" s="851"/>
      <c r="D757" s="787"/>
      <c r="E757" s="829"/>
      <c r="F757" s="852"/>
      <c r="G757" s="851"/>
      <c r="H757" s="787"/>
      <c r="I757" s="829"/>
      <c r="J757" s="852"/>
      <c r="K757" s="851"/>
      <c r="L757" s="787"/>
      <c r="M757" s="829"/>
      <c r="N757" s="852"/>
      <c r="O757" s="851"/>
      <c r="P757" s="787"/>
      <c r="Q757" s="829"/>
      <c r="R757" s="852"/>
      <c r="S757" s="851"/>
      <c r="T757" s="787"/>
      <c r="U757" s="829"/>
      <c r="V757" s="852"/>
      <c r="W757" s="851"/>
      <c r="X757" s="787"/>
      <c r="Y757" s="829"/>
      <c r="Z757" s="852"/>
      <c r="AA757" s="851"/>
      <c r="AB757" s="787"/>
      <c r="AC757" s="829"/>
      <c r="AD757" s="852"/>
      <c r="AE757" s="851"/>
      <c r="AF757" s="787"/>
      <c r="AG757" s="355">
        <v>3390</v>
      </c>
      <c r="AL757" s="123"/>
    </row>
    <row r="758" spans="1:38" x14ac:dyDescent="0.4">
      <c r="A758" s="65"/>
      <c r="B758" s="356">
        <v>3395</v>
      </c>
      <c r="C758" s="851"/>
      <c r="D758" s="787"/>
      <c r="E758" s="829"/>
      <c r="F758" s="852"/>
      <c r="G758" s="851"/>
      <c r="H758" s="787"/>
      <c r="I758" s="829"/>
      <c r="J758" s="852"/>
      <c r="K758" s="851"/>
      <c r="L758" s="787"/>
      <c r="M758" s="829"/>
      <c r="N758" s="852"/>
      <c r="O758" s="851"/>
      <c r="P758" s="787"/>
      <c r="Q758" s="829"/>
      <c r="R758" s="852"/>
      <c r="S758" s="851"/>
      <c r="T758" s="787"/>
      <c r="U758" s="829"/>
      <c r="V758" s="852"/>
      <c r="W758" s="851"/>
      <c r="X758" s="787"/>
      <c r="Y758" s="829"/>
      <c r="Z758" s="852"/>
      <c r="AA758" s="851"/>
      <c r="AB758" s="787"/>
      <c r="AC758" s="829"/>
      <c r="AD758" s="852"/>
      <c r="AE758" s="851"/>
      <c r="AF758" s="787"/>
      <c r="AG758" s="355">
        <v>3395</v>
      </c>
      <c r="AL758" s="123"/>
    </row>
    <row r="759" spans="1:38" x14ac:dyDescent="0.4">
      <c r="A759" s="65"/>
      <c r="B759" s="356">
        <v>3400</v>
      </c>
      <c r="C759" s="851"/>
      <c r="D759" s="787"/>
      <c r="E759" s="829"/>
      <c r="F759" s="852"/>
      <c r="G759" s="851"/>
      <c r="H759" s="787"/>
      <c r="I759" s="829"/>
      <c r="J759" s="852"/>
      <c r="K759" s="851"/>
      <c r="L759" s="787"/>
      <c r="M759" s="829"/>
      <c r="N759" s="852"/>
      <c r="O759" s="851"/>
      <c r="P759" s="787"/>
      <c r="Q759" s="829"/>
      <c r="R759" s="852"/>
      <c r="S759" s="851"/>
      <c r="T759" s="787"/>
      <c r="U759" s="829"/>
      <c r="V759" s="852"/>
      <c r="W759" s="851"/>
      <c r="X759" s="787"/>
      <c r="Y759" s="829"/>
      <c r="Z759" s="852"/>
      <c r="AA759" s="851"/>
      <c r="AB759" s="787"/>
      <c r="AC759" s="829"/>
      <c r="AD759" s="852"/>
      <c r="AE759" s="851"/>
      <c r="AF759" s="787"/>
      <c r="AG759" s="355">
        <v>3400</v>
      </c>
      <c r="AL759" s="123"/>
    </row>
    <row r="760" spans="1:38" x14ac:dyDescent="0.4">
      <c r="A760" s="65"/>
      <c r="B760" s="356">
        <v>3405</v>
      </c>
      <c r="C760" s="851"/>
      <c r="D760" s="787"/>
      <c r="E760" s="829"/>
      <c r="F760" s="852"/>
      <c r="G760" s="851"/>
      <c r="H760" s="787"/>
      <c r="I760" s="829"/>
      <c r="J760" s="852"/>
      <c r="K760" s="851"/>
      <c r="L760" s="787"/>
      <c r="M760" s="829"/>
      <c r="N760" s="852"/>
      <c r="O760" s="851"/>
      <c r="P760" s="787"/>
      <c r="Q760" s="829"/>
      <c r="R760" s="852"/>
      <c r="S760" s="851"/>
      <c r="T760" s="787"/>
      <c r="U760" s="829"/>
      <c r="V760" s="852"/>
      <c r="W760" s="851"/>
      <c r="X760" s="787"/>
      <c r="Y760" s="829"/>
      <c r="Z760" s="852"/>
      <c r="AA760" s="851"/>
      <c r="AB760" s="787"/>
      <c r="AC760" s="829"/>
      <c r="AD760" s="852"/>
      <c r="AE760" s="851"/>
      <c r="AF760" s="787"/>
      <c r="AG760" s="355">
        <v>3405</v>
      </c>
      <c r="AL760" s="123"/>
    </row>
    <row r="761" spans="1:38" x14ac:dyDescent="0.4">
      <c r="A761" s="65"/>
      <c r="B761" s="356">
        <v>3410</v>
      </c>
      <c r="C761" s="851"/>
      <c r="D761" s="787"/>
      <c r="E761" s="829"/>
      <c r="F761" s="852"/>
      <c r="G761" s="851"/>
      <c r="H761" s="787"/>
      <c r="I761" s="829"/>
      <c r="J761" s="852"/>
      <c r="K761" s="851"/>
      <c r="L761" s="787"/>
      <c r="M761" s="829"/>
      <c r="N761" s="852"/>
      <c r="O761" s="851"/>
      <c r="P761" s="787"/>
      <c r="Q761" s="829"/>
      <c r="R761" s="852"/>
      <c r="S761" s="851"/>
      <c r="T761" s="787"/>
      <c r="U761" s="829"/>
      <c r="V761" s="852"/>
      <c r="W761" s="851"/>
      <c r="X761" s="787"/>
      <c r="Y761" s="829"/>
      <c r="Z761" s="852"/>
      <c r="AA761" s="851"/>
      <c r="AB761" s="787"/>
      <c r="AC761" s="829"/>
      <c r="AD761" s="852"/>
      <c r="AE761" s="851"/>
      <c r="AF761" s="787"/>
      <c r="AG761" s="355">
        <v>3410</v>
      </c>
      <c r="AL761" s="123"/>
    </row>
    <row r="762" spans="1:38" x14ac:dyDescent="0.4">
      <c r="A762" s="65"/>
      <c r="B762" s="356">
        <v>3415</v>
      </c>
      <c r="C762" s="851"/>
      <c r="D762" s="787"/>
      <c r="E762" s="829"/>
      <c r="F762" s="852"/>
      <c r="G762" s="851"/>
      <c r="H762" s="787"/>
      <c r="I762" s="829"/>
      <c r="J762" s="852"/>
      <c r="K762" s="851"/>
      <c r="L762" s="787"/>
      <c r="M762" s="829"/>
      <c r="N762" s="852"/>
      <c r="O762" s="851"/>
      <c r="P762" s="787"/>
      <c r="Q762" s="829"/>
      <c r="R762" s="852"/>
      <c r="S762" s="851"/>
      <c r="T762" s="787"/>
      <c r="U762" s="829"/>
      <c r="V762" s="852"/>
      <c r="W762" s="851"/>
      <c r="X762" s="787"/>
      <c r="Y762" s="829"/>
      <c r="Z762" s="852"/>
      <c r="AA762" s="851"/>
      <c r="AB762" s="787"/>
      <c r="AC762" s="829"/>
      <c r="AD762" s="852"/>
      <c r="AE762" s="851"/>
      <c r="AF762" s="787"/>
      <c r="AG762" s="355">
        <v>3415</v>
      </c>
      <c r="AL762" s="123"/>
    </row>
    <row r="763" spans="1:38" x14ac:dyDescent="0.4">
      <c r="A763" s="65"/>
      <c r="B763" s="356">
        <v>3420</v>
      </c>
      <c r="C763" s="851"/>
      <c r="D763" s="787"/>
      <c r="E763" s="829"/>
      <c r="F763" s="852"/>
      <c r="G763" s="851"/>
      <c r="H763" s="787"/>
      <c r="I763" s="829"/>
      <c r="J763" s="852"/>
      <c r="K763" s="851"/>
      <c r="L763" s="787"/>
      <c r="M763" s="829"/>
      <c r="N763" s="852"/>
      <c r="O763" s="851"/>
      <c r="P763" s="787"/>
      <c r="Q763" s="829"/>
      <c r="R763" s="852"/>
      <c r="S763" s="851"/>
      <c r="T763" s="787"/>
      <c r="U763" s="829"/>
      <c r="V763" s="852"/>
      <c r="W763" s="851"/>
      <c r="X763" s="787"/>
      <c r="Y763" s="829"/>
      <c r="Z763" s="852"/>
      <c r="AA763" s="851"/>
      <c r="AB763" s="787"/>
      <c r="AC763" s="829"/>
      <c r="AD763" s="852"/>
      <c r="AE763" s="851"/>
      <c r="AF763" s="787"/>
      <c r="AG763" s="355">
        <v>3420</v>
      </c>
      <c r="AL763" s="123"/>
    </row>
    <row r="764" spans="1:38" x14ac:dyDescent="0.4">
      <c r="A764" s="65"/>
      <c r="B764" s="356">
        <v>3425</v>
      </c>
      <c r="C764" s="851"/>
      <c r="D764" s="787"/>
      <c r="E764" s="829"/>
      <c r="F764" s="852"/>
      <c r="G764" s="851"/>
      <c r="H764" s="787"/>
      <c r="I764" s="829"/>
      <c r="J764" s="852"/>
      <c r="K764" s="851"/>
      <c r="L764" s="787"/>
      <c r="M764" s="829"/>
      <c r="N764" s="852"/>
      <c r="O764" s="851"/>
      <c r="P764" s="787"/>
      <c r="Q764" s="829"/>
      <c r="R764" s="852"/>
      <c r="S764" s="851"/>
      <c r="T764" s="787"/>
      <c r="U764" s="829"/>
      <c r="V764" s="852"/>
      <c r="W764" s="851"/>
      <c r="X764" s="787"/>
      <c r="Y764" s="829"/>
      <c r="Z764" s="852"/>
      <c r="AA764" s="851"/>
      <c r="AB764" s="787"/>
      <c r="AC764" s="829"/>
      <c r="AD764" s="852"/>
      <c r="AE764" s="851"/>
      <c r="AF764" s="787"/>
      <c r="AG764" s="355">
        <v>3425</v>
      </c>
      <c r="AL764" s="123"/>
    </row>
    <row r="765" spans="1:38" x14ac:dyDescent="0.4">
      <c r="A765" s="65"/>
      <c r="B765" s="356">
        <v>3430</v>
      </c>
      <c r="C765" s="851"/>
      <c r="D765" s="787"/>
      <c r="E765" s="829"/>
      <c r="F765" s="852"/>
      <c r="G765" s="851"/>
      <c r="H765" s="787"/>
      <c r="I765" s="829"/>
      <c r="J765" s="852"/>
      <c r="K765" s="851"/>
      <c r="L765" s="787"/>
      <c r="M765" s="829"/>
      <c r="N765" s="852"/>
      <c r="O765" s="851"/>
      <c r="P765" s="787"/>
      <c r="Q765" s="829"/>
      <c r="R765" s="852"/>
      <c r="S765" s="851"/>
      <c r="T765" s="787"/>
      <c r="U765" s="829"/>
      <c r="V765" s="852"/>
      <c r="W765" s="851"/>
      <c r="X765" s="787"/>
      <c r="Y765" s="829"/>
      <c r="Z765" s="852"/>
      <c r="AA765" s="851"/>
      <c r="AB765" s="787"/>
      <c r="AC765" s="829"/>
      <c r="AD765" s="852"/>
      <c r="AE765" s="851"/>
      <c r="AF765" s="787"/>
      <c r="AG765" s="355">
        <v>3430</v>
      </c>
      <c r="AL765" s="123"/>
    </row>
    <row r="766" spans="1:38" x14ac:dyDescent="0.4">
      <c r="A766" s="65"/>
      <c r="B766" s="356">
        <v>3435</v>
      </c>
      <c r="C766" s="851"/>
      <c r="D766" s="787"/>
      <c r="E766" s="829"/>
      <c r="F766" s="852"/>
      <c r="G766" s="851"/>
      <c r="H766" s="787"/>
      <c r="I766" s="829"/>
      <c r="J766" s="852"/>
      <c r="K766" s="851"/>
      <c r="L766" s="787"/>
      <c r="M766" s="829"/>
      <c r="N766" s="852"/>
      <c r="O766" s="851"/>
      <c r="P766" s="787"/>
      <c r="Q766" s="829"/>
      <c r="R766" s="852"/>
      <c r="S766" s="851"/>
      <c r="T766" s="787"/>
      <c r="U766" s="829"/>
      <c r="V766" s="852"/>
      <c r="W766" s="851"/>
      <c r="X766" s="787"/>
      <c r="Y766" s="829"/>
      <c r="Z766" s="852"/>
      <c r="AA766" s="851"/>
      <c r="AB766" s="787"/>
      <c r="AC766" s="829"/>
      <c r="AD766" s="852"/>
      <c r="AE766" s="851"/>
      <c r="AF766" s="787"/>
      <c r="AG766" s="355">
        <v>3435</v>
      </c>
      <c r="AL766" s="123"/>
    </row>
    <row r="767" spans="1:38" x14ac:dyDescent="0.4">
      <c r="A767" s="65"/>
      <c r="B767" s="356">
        <v>3440</v>
      </c>
      <c r="C767" s="851"/>
      <c r="D767" s="787"/>
      <c r="E767" s="829"/>
      <c r="F767" s="852"/>
      <c r="G767" s="851"/>
      <c r="H767" s="787"/>
      <c r="I767" s="829"/>
      <c r="J767" s="852"/>
      <c r="K767" s="851"/>
      <c r="L767" s="787"/>
      <c r="M767" s="829"/>
      <c r="N767" s="852"/>
      <c r="O767" s="851"/>
      <c r="P767" s="787"/>
      <c r="Q767" s="829"/>
      <c r="R767" s="852"/>
      <c r="S767" s="851"/>
      <c r="T767" s="787"/>
      <c r="U767" s="829"/>
      <c r="V767" s="852"/>
      <c r="W767" s="851"/>
      <c r="X767" s="787"/>
      <c r="Y767" s="829"/>
      <c r="Z767" s="852"/>
      <c r="AA767" s="851"/>
      <c r="AB767" s="787"/>
      <c r="AC767" s="829"/>
      <c r="AD767" s="852"/>
      <c r="AE767" s="851"/>
      <c r="AF767" s="787"/>
      <c r="AG767" s="355">
        <v>3440</v>
      </c>
      <c r="AL767" s="123"/>
    </row>
    <row r="768" spans="1:38" x14ac:dyDescent="0.4">
      <c r="A768" s="65"/>
      <c r="B768" s="356">
        <v>3445</v>
      </c>
      <c r="C768" s="851"/>
      <c r="D768" s="787"/>
      <c r="E768" s="829"/>
      <c r="F768" s="852"/>
      <c r="G768" s="851"/>
      <c r="H768" s="787"/>
      <c r="I768" s="829"/>
      <c r="J768" s="852"/>
      <c r="K768" s="851"/>
      <c r="L768" s="787"/>
      <c r="M768" s="829"/>
      <c r="N768" s="852"/>
      <c r="O768" s="851"/>
      <c r="P768" s="787"/>
      <c r="Q768" s="829"/>
      <c r="R768" s="852"/>
      <c r="S768" s="851"/>
      <c r="T768" s="787"/>
      <c r="U768" s="829"/>
      <c r="V768" s="852"/>
      <c r="W768" s="851"/>
      <c r="X768" s="787"/>
      <c r="Y768" s="829"/>
      <c r="Z768" s="852"/>
      <c r="AA768" s="851"/>
      <c r="AB768" s="787"/>
      <c r="AC768" s="829"/>
      <c r="AD768" s="852"/>
      <c r="AE768" s="851"/>
      <c r="AF768" s="787"/>
      <c r="AG768" s="355">
        <v>3445</v>
      </c>
      <c r="AL768" s="123"/>
    </row>
    <row r="769" spans="1:38" x14ac:dyDescent="0.4">
      <c r="A769" s="65"/>
      <c r="B769" s="356">
        <v>3450</v>
      </c>
      <c r="C769" s="851"/>
      <c r="D769" s="787"/>
      <c r="E769" s="829"/>
      <c r="F769" s="852"/>
      <c r="G769" s="851"/>
      <c r="H769" s="787"/>
      <c r="I769" s="829"/>
      <c r="J769" s="852"/>
      <c r="K769" s="851"/>
      <c r="L769" s="787"/>
      <c r="M769" s="829"/>
      <c r="N769" s="852"/>
      <c r="O769" s="851"/>
      <c r="P769" s="787"/>
      <c r="Q769" s="829"/>
      <c r="R769" s="852"/>
      <c r="S769" s="851"/>
      <c r="T769" s="787"/>
      <c r="U769" s="829"/>
      <c r="V769" s="852"/>
      <c r="W769" s="851"/>
      <c r="X769" s="787"/>
      <c r="Y769" s="829"/>
      <c r="Z769" s="852"/>
      <c r="AA769" s="851"/>
      <c r="AB769" s="787"/>
      <c r="AC769" s="829"/>
      <c r="AD769" s="852"/>
      <c r="AE769" s="851"/>
      <c r="AF769" s="787"/>
      <c r="AG769" s="355">
        <v>3450</v>
      </c>
      <c r="AL769" s="123"/>
    </row>
    <row r="770" spans="1:38" x14ac:dyDescent="0.4">
      <c r="A770" s="65"/>
      <c r="B770" s="356">
        <v>3455</v>
      </c>
      <c r="C770" s="851"/>
      <c r="D770" s="787"/>
      <c r="E770" s="829"/>
      <c r="F770" s="852"/>
      <c r="G770" s="851"/>
      <c r="H770" s="787"/>
      <c r="I770" s="829"/>
      <c r="J770" s="852"/>
      <c r="K770" s="851"/>
      <c r="L770" s="787"/>
      <c r="M770" s="829"/>
      <c r="N770" s="852"/>
      <c r="O770" s="851"/>
      <c r="P770" s="787"/>
      <c r="Q770" s="829"/>
      <c r="R770" s="852"/>
      <c r="S770" s="851"/>
      <c r="T770" s="787"/>
      <c r="U770" s="829"/>
      <c r="V770" s="852"/>
      <c r="W770" s="851"/>
      <c r="X770" s="787"/>
      <c r="Y770" s="829"/>
      <c r="Z770" s="852"/>
      <c r="AA770" s="851"/>
      <c r="AB770" s="787"/>
      <c r="AC770" s="829"/>
      <c r="AD770" s="852"/>
      <c r="AE770" s="851"/>
      <c r="AF770" s="787"/>
      <c r="AG770" s="355">
        <v>3455</v>
      </c>
      <c r="AL770" s="123"/>
    </row>
    <row r="771" spans="1:38" x14ac:dyDescent="0.4">
      <c r="A771" s="65"/>
      <c r="B771" s="356">
        <v>3460</v>
      </c>
      <c r="C771" s="851"/>
      <c r="D771" s="787"/>
      <c r="E771" s="829"/>
      <c r="F771" s="852"/>
      <c r="G771" s="851"/>
      <c r="H771" s="787"/>
      <c r="I771" s="829"/>
      <c r="J771" s="852"/>
      <c r="K771" s="851"/>
      <c r="L771" s="787"/>
      <c r="M771" s="829"/>
      <c r="N771" s="852"/>
      <c r="O771" s="851"/>
      <c r="P771" s="787"/>
      <c r="Q771" s="829"/>
      <c r="R771" s="852"/>
      <c r="S771" s="851"/>
      <c r="T771" s="787"/>
      <c r="U771" s="829"/>
      <c r="V771" s="852"/>
      <c r="W771" s="851"/>
      <c r="X771" s="787"/>
      <c r="Y771" s="829"/>
      <c r="Z771" s="852"/>
      <c r="AA771" s="851"/>
      <c r="AB771" s="787"/>
      <c r="AC771" s="829"/>
      <c r="AD771" s="852"/>
      <c r="AE771" s="851"/>
      <c r="AF771" s="787"/>
      <c r="AG771" s="355">
        <v>3460</v>
      </c>
      <c r="AL771" s="123"/>
    </row>
    <row r="772" spans="1:38" x14ac:dyDescent="0.4">
      <c r="A772" s="65"/>
      <c r="B772" s="356">
        <v>3465</v>
      </c>
      <c r="C772" s="851"/>
      <c r="D772" s="787"/>
      <c r="E772" s="829"/>
      <c r="F772" s="852"/>
      <c r="G772" s="851"/>
      <c r="H772" s="787"/>
      <c r="I772" s="829"/>
      <c r="J772" s="852"/>
      <c r="K772" s="851"/>
      <c r="L772" s="787"/>
      <c r="M772" s="829"/>
      <c r="N772" s="852"/>
      <c r="O772" s="851"/>
      <c r="P772" s="787"/>
      <c r="Q772" s="829"/>
      <c r="R772" s="852"/>
      <c r="S772" s="851"/>
      <c r="T772" s="787"/>
      <c r="U772" s="829"/>
      <c r="V772" s="852"/>
      <c r="W772" s="851"/>
      <c r="X772" s="787"/>
      <c r="Y772" s="829"/>
      <c r="Z772" s="852"/>
      <c r="AA772" s="851"/>
      <c r="AB772" s="787"/>
      <c r="AC772" s="829"/>
      <c r="AD772" s="852"/>
      <c r="AE772" s="851"/>
      <c r="AF772" s="787"/>
      <c r="AG772" s="355">
        <v>3465</v>
      </c>
      <c r="AL772" s="123"/>
    </row>
    <row r="773" spans="1:38" x14ac:dyDescent="0.4">
      <c r="A773" s="65"/>
      <c r="B773" s="356">
        <v>3470</v>
      </c>
      <c r="C773" s="851"/>
      <c r="D773" s="787"/>
      <c r="E773" s="829"/>
      <c r="F773" s="852"/>
      <c r="G773" s="851"/>
      <c r="H773" s="787"/>
      <c r="I773" s="829"/>
      <c r="J773" s="852"/>
      <c r="K773" s="851"/>
      <c r="L773" s="787"/>
      <c r="M773" s="829"/>
      <c r="N773" s="852"/>
      <c r="O773" s="851"/>
      <c r="P773" s="787"/>
      <c r="Q773" s="829"/>
      <c r="R773" s="852"/>
      <c r="S773" s="851"/>
      <c r="T773" s="787"/>
      <c r="U773" s="829"/>
      <c r="V773" s="852"/>
      <c r="W773" s="851"/>
      <c r="X773" s="787"/>
      <c r="Y773" s="829"/>
      <c r="Z773" s="852"/>
      <c r="AA773" s="851"/>
      <c r="AB773" s="787"/>
      <c r="AC773" s="829"/>
      <c r="AD773" s="852"/>
      <c r="AE773" s="851"/>
      <c r="AF773" s="787"/>
      <c r="AG773" s="355">
        <v>3470</v>
      </c>
      <c r="AL773" s="123"/>
    </row>
    <row r="774" spans="1:38" x14ac:dyDescent="0.4">
      <c r="A774" s="65"/>
      <c r="B774" s="356">
        <v>3475</v>
      </c>
      <c r="C774" s="851"/>
      <c r="D774" s="787"/>
      <c r="E774" s="829"/>
      <c r="F774" s="852"/>
      <c r="G774" s="851"/>
      <c r="H774" s="787"/>
      <c r="I774" s="829"/>
      <c r="J774" s="852"/>
      <c r="K774" s="851"/>
      <c r="L774" s="787"/>
      <c r="M774" s="829"/>
      <c r="N774" s="852"/>
      <c r="O774" s="851"/>
      <c r="P774" s="787"/>
      <c r="Q774" s="829"/>
      <c r="R774" s="852"/>
      <c r="S774" s="851"/>
      <c r="T774" s="787"/>
      <c r="U774" s="829"/>
      <c r="V774" s="852"/>
      <c r="W774" s="851"/>
      <c r="X774" s="787"/>
      <c r="Y774" s="829"/>
      <c r="Z774" s="852"/>
      <c r="AA774" s="851"/>
      <c r="AB774" s="787"/>
      <c r="AC774" s="829"/>
      <c r="AD774" s="852"/>
      <c r="AE774" s="851"/>
      <c r="AF774" s="787"/>
      <c r="AG774" s="355">
        <v>3475</v>
      </c>
      <c r="AL774" s="123"/>
    </row>
    <row r="775" spans="1:38" x14ac:dyDescent="0.4">
      <c r="A775" s="65"/>
      <c r="B775" s="356">
        <v>3480</v>
      </c>
      <c r="C775" s="851"/>
      <c r="D775" s="787"/>
      <c r="E775" s="829"/>
      <c r="F775" s="852"/>
      <c r="G775" s="851"/>
      <c r="H775" s="787"/>
      <c r="I775" s="829"/>
      <c r="J775" s="852"/>
      <c r="K775" s="851"/>
      <c r="L775" s="787"/>
      <c r="M775" s="829"/>
      <c r="N775" s="852"/>
      <c r="O775" s="851"/>
      <c r="P775" s="787"/>
      <c r="Q775" s="829"/>
      <c r="R775" s="852"/>
      <c r="S775" s="851"/>
      <c r="T775" s="787"/>
      <c r="U775" s="829"/>
      <c r="V775" s="852"/>
      <c r="W775" s="851"/>
      <c r="X775" s="787"/>
      <c r="Y775" s="829"/>
      <c r="Z775" s="852"/>
      <c r="AA775" s="851"/>
      <c r="AB775" s="787"/>
      <c r="AC775" s="829"/>
      <c r="AD775" s="852"/>
      <c r="AE775" s="851"/>
      <c r="AF775" s="787"/>
      <c r="AG775" s="355">
        <v>3480</v>
      </c>
      <c r="AL775" s="123"/>
    </row>
    <row r="776" spans="1:38" x14ac:dyDescent="0.4">
      <c r="A776" s="65"/>
      <c r="B776" s="356">
        <v>3485</v>
      </c>
      <c r="C776" s="851"/>
      <c r="D776" s="787"/>
      <c r="E776" s="829"/>
      <c r="F776" s="852"/>
      <c r="G776" s="851"/>
      <c r="H776" s="787"/>
      <c r="I776" s="829"/>
      <c r="J776" s="852"/>
      <c r="K776" s="851"/>
      <c r="L776" s="787"/>
      <c r="M776" s="829"/>
      <c r="N776" s="852"/>
      <c r="O776" s="851"/>
      <c r="P776" s="787"/>
      <c r="Q776" s="829"/>
      <c r="R776" s="852"/>
      <c r="S776" s="851"/>
      <c r="T776" s="787"/>
      <c r="U776" s="829"/>
      <c r="V776" s="852"/>
      <c r="W776" s="851"/>
      <c r="X776" s="787"/>
      <c r="Y776" s="829"/>
      <c r="Z776" s="852"/>
      <c r="AA776" s="851"/>
      <c r="AB776" s="787"/>
      <c r="AC776" s="829"/>
      <c r="AD776" s="852"/>
      <c r="AE776" s="851"/>
      <c r="AF776" s="787"/>
      <c r="AG776" s="355">
        <v>3485</v>
      </c>
      <c r="AL776" s="123"/>
    </row>
    <row r="777" spans="1:38" x14ac:dyDescent="0.4">
      <c r="A777" s="65"/>
      <c r="B777" s="356">
        <v>3490</v>
      </c>
      <c r="C777" s="851"/>
      <c r="D777" s="787"/>
      <c r="E777" s="829"/>
      <c r="F777" s="852"/>
      <c r="G777" s="851"/>
      <c r="H777" s="787"/>
      <c r="I777" s="829"/>
      <c r="J777" s="852"/>
      <c r="K777" s="851"/>
      <c r="L777" s="787"/>
      <c r="M777" s="829"/>
      <c r="N777" s="852"/>
      <c r="O777" s="851"/>
      <c r="P777" s="787"/>
      <c r="Q777" s="829"/>
      <c r="R777" s="852"/>
      <c r="S777" s="851"/>
      <c r="T777" s="787"/>
      <c r="U777" s="829"/>
      <c r="V777" s="852"/>
      <c r="W777" s="851"/>
      <c r="X777" s="787"/>
      <c r="Y777" s="829"/>
      <c r="Z777" s="852"/>
      <c r="AA777" s="851"/>
      <c r="AB777" s="787"/>
      <c r="AC777" s="829"/>
      <c r="AD777" s="852"/>
      <c r="AE777" s="851"/>
      <c r="AF777" s="787"/>
      <c r="AG777" s="355">
        <v>3490</v>
      </c>
      <c r="AL777" s="123"/>
    </row>
    <row r="778" spans="1:38" x14ac:dyDescent="0.4">
      <c r="A778" s="65"/>
      <c r="B778" s="356">
        <v>3495</v>
      </c>
      <c r="C778" s="851"/>
      <c r="D778" s="787"/>
      <c r="E778" s="829"/>
      <c r="F778" s="852"/>
      <c r="G778" s="851"/>
      <c r="H778" s="787"/>
      <c r="I778" s="829"/>
      <c r="J778" s="852"/>
      <c r="K778" s="851"/>
      <c r="L778" s="787"/>
      <c r="M778" s="829"/>
      <c r="N778" s="852"/>
      <c r="O778" s="851"/>
      <c r="P778" s="787"/>
      <c r="Q778" s="829"/>
      <c r="R778" s="852"/>
      <c r="S778" s="851"/>
      <c r="T778" s="787"/>
      <c r="U778" s="829"/>
      <c r="V778" s="852"/>
      <c r="W778" s="851"/>
      <c r="X778" s="787"/>
      <c r="Y778" s="829"/>
      <c r="Z778" s="852"/>
      <c r="AA778" s="851"/>
      <c r="AB778" s="787"/>
      <c r="AC778" s="829"/>
      <c r="AD778" s="852"/>
      <c r="AE778" s="851"/>
      <c r="AF778" s="787"/>
      <c r="AG778" s="355">
        <v>3495</v>
      </c>
      <c r="AL778" s="123"/>
    </row>
    <row r="779" spans="1:38" x14ac:dyDescent="0.4">
      <c r="A779" s="65"/>
      <c r="B779" s="356">
        <v>3500</v>
      </c>
      <c r="C779" s="851"/>
      <c r="D779" s="787"/>
      <c r="E779" s="829"/>
      <c r="F779" s="852"/>
      <c r="G779" s="851"/>
      <c r="H779" s="787"/>
      <c r="I779" s="829"/>
      <c r="J779" s="852"/>
      <c r="K779" s="851"/>
      <c r="L779" s="787"/>
      <c r="M779" s="829"/>
      <c r="N779" s="852"/>
      <c r="O779" s="851"/>
      <c r="P779" s="787"/>
      <c r="Q779" s="829"/>
      <c r="R779" s="852"/>
      <c r="S779" s="851"/>
      <c r="T779" s="787"/>
      <c r="U779" s="829"/>
      <c r="V779" s="852"/>
      <c r="W779" s="851"/>
      <c r="X779" s="787"/>
      <c r="Y779" s="829"/>
      <c r="Z779" s="852"/>
      <c r="AA779" s="851"/>
      <c r="AB779" s="787"/>
      <c r="AC779" s="829"/>
      <c r="AD779" s="852"/>
      <c r="AE779" s="851"/>
      <c r="AF779" s="787"/>
      <c r="AG779" s="355">
        <v>3500</v>
      </c>
      <c r="AL779" s="123"/>
    </row>
    <row r="780" spans="1:38" x14ac:dyDescent="0.4">
      <c r="A780" s="65"/>
      <c r="B780" s="356">
        <v>3505</v>
      </c>
      <c r="C780" s="851"/>
      <c r="D780" s="787"/>
      <c r="E780" s="829"/>
      <c r="F780" s="852"/>
      <c r="G780" s="851"/>
      <c r="H780" s="787"/>
      <c r="I780" s="829"/>
      <c r="J780" s="852"/>
      <c r="K780" s="851"/>
      <c r="L780" s="787"/>
      <c r="M780" s="829"/>
      <c r="N780" s="852"/>
      <c r="O780" s="851"/>
      <c r="P780" s="787"/>
      <c r="Q780" s="829"/>
      <c r="R780" s="852"/>
      <c r="S780" s="851"/>
      <c r="T780" s="787"/>
      <c r="U780" s="829"/>
      <c r="V780" s="852"/>
      <c r="W780" s="851"/>
      <c r="X780" s="787"/>
      <c r="Y780" s="829"/>
      <c r="Z780" s="852"/>
      <c r="AA780" s="851"/>
      <c r="AB780" s="787"/>
      <c r="AC780" s="829"/>
      <c r="AD780" s="852"/>
      <c r="AE780" s="851"/>
      <c r="AF780" s="787"/>
      <c r="AG780" s="355">
        <v>3505</v>
      </c>
      <c r="AL780" s="123"/>
    </row>
    <row r="781" spans="1:38" x14ac:dyDescent="0.4">
      <c r="A781" s="65"/>
      <c r="B781" s="356">
        <v>3510</v>
      </c>
      <c r="C781" s="851"/>
      <c r="D781" s="787"/>
      <c r="E781" s="829"/>
      <c r="F781" s="852"/>
      <c r="G781" s="851"/>
      <c r="H781" s="787"/>
      <c r="I781" s="829"/>
      <c r="J781" s="852"/>
      <c r="K781" s="851"/>
      <c r="L781" s="787"/>
      <c r="M781" s="829"/>
      <c r="N781" s="852"/>
      <c r="O781" s="851"/>
      <c r="P781" s="787"/>
      <c r="Q781" s="829"/>
      <c r="R781" s="852"/>
      <c r="S781" s="851"/>
      <c r="T781" s="787"/>
      <c r="U781" s="829"/>
      <c r="V781" s="852"/>
      <c r="W781" s="851"/>
      <c r="X781" s="787"/>
      <c r="Y781" s="829"/>
      <c r="Z781" s="852"/>
      <c r="AA781" s="851"/>
      <c r="AB781" s="787"/>
      <c r="AC781" s="829"/>
      <c r="AD781" s="852"/>
      <c r="AE781" s="851"/>
      <c r="AF781" s="787"/>
      <c r="AG781" s="355">
        <v>3510</v>
      </c>
      <c r="AL781" s="123"/>
    </row>
    <row r="782" spans="1:38" x14ac:dyDescent="0.4">
      <c r="A782" s="65"/>
      <c r="B782" s="356">
        <v>3515</v>
      </c>
      <c r="C782" s="851"/>
      <c r="D782" s="787"/>
      <c r="E782" s="829"/>
      <c r="F782" s="852"/>
      <c r="G782" s="851"/>
      <c r="H782" s="787"/>
      <c r="I782" s="829"/>
      <c r="J782" s="852"/>
      <c r="K782" s="851"/>
      <c r="L782" s="787"/>
      <c r="M782" s="829"/>
      <c r="N782" s="852"/>
      <c r="O782" s="851"/>
      <c r="P782" s="787"/>
      <c r="Q782" s="829"/>
      <c r="R782" s="852"/>
      <c r="S782" s="851"/>
      <c r="T782" s="787"/>
      <c r="U782" s="829"/>
      <c r="V782" s="852"/>
      <c r="W782" s="851"/>
      <c r="X782" s="787"/>
      <c r="Y782" s="829"/>
      <c r="Z782" s="852"/>
      <c r="AA782" s="851"/>
      <c r="AB782" s="787"/>
      <c r="AC782" s="829"/>
      <c r="AD782" s="852"/>
      <c r="AE782" s="851"/>
      <c r="AF782" s="787"/>
      <c r="AG782" s="355">
        <v>3515</v>
      </c>
      <c r="AL782" s="123"/>
    </row>
    <row r="783" spans="1:38" x14ac:dyDescent="0.4">
      <c r="A783" s="65"/>
      <c r="B783" s="356">
        <v>3520</v>
      </c>
      <c r="C783" s="851"/>
      <c r="D783" s="787"/>
      <c r="E783" s="829"/>
      <c r="F783" s="852"/>
      <c r="G783" s="851"/>
      <c r="H783" s="787"/>
      <c r="I783" s="829"/>
      <c r="J783" s="852"/>
      <c r="K783" s="851"/>
      <c r="L783" s="787"/>
      <c r="M783" s="829"/>
      <c r="N783" s="852"/>
      <c r="O783" s="851"/>
      <c r="P783" s="787"/>
      <c r="Q783" s="829"/>
      <c r="R783" s="852"/>
      <c r="S783" s="851"/>
      <c r="T783" s="787"/>
      <c r="U783" s="829"/>
      <c r="V783" s="852"/>
      <c r="W783" s="851"/>
      <c r="X783" s="787"/>
      <c r="Y783" s="829"/>
      <c r="Z783" s="852"/>
      <c r="AA783" s="851"/>
      <c r="AB783" s="787"/>
      <c r="AC783" s="829"/>
      <c r="AD783" s="852"/>
      <c r="AE783" s="851"/>
      <c r="AF783" s="787"/>
      <c r="AG783" s="355">
        <v>3520</v>
      </c>
      <c r="AL783" s="123"/>
    </row>
    <row r="784" spans="1:38" x14ac:dyDescent="0.4">
      <c r="A784" s="65"/>
      <c r="B784" s="356">
        <v>3525</v>
      </c>
      <c r="C784" s="851"/>
      <c r="D784" s="787"/>
      <c r="E784" s="829"/>
      <c r="F784" s="852"/>
      <c r="G784" s="851"/>
      <c r="H784" s="787"/>
      <c r="I784" s="829"/>
      <c r="J784" s="852"/>
      <c r="K784" s="851"/>
      <c r="L784" s="787"/>
      <c r="M784" s="829"/>
      <c r="N784" s="852"/>
      <c r="O784" s="851"/>
      <c r="P784" s="787"/>
      <c r="Q784" s="829"/>
      <c r="R784" s="852"/>
      <c r="S784" s="851"/>
      <c r="T784" s="787"/>
      <c r="U784" s="829"/>
      <c r="V784" s="852"/>
      <c r="W784" s="851"/>
      <c r="X784" s="787"/>
      <c r="Y784" s="829"/>
      <c r="Z784" s="852"/>
      <c r="AA784" s="851"/>
      <c r="AB784" s="787"/>
      <c r="AC784" s="829"/>
      <c r="AD784" s="852"/>
      <c r="AE784" s="851"/>
      <c r="AF784" s="787"/>
      <c r="AG784" s="355">
        <v>3525</v>
      </c>
      <c r="AL784" s="123"/>
    </row>
    <row r="785" spans="1:38" x14ac:dyDescent="0.4">
      <c r="A785" s="65"/>
      <c r="B785" s="356">
        <v>3530</v>
      </c>
      <c r="C785" s="851"/>
      <c r="D785" s="787"/>
      <c r="E785" s="829"/>
      <c r="F785" s="852"/>
      <c r="G785" s="851"/>
      <c r="H785" s="787"/>
      <c r="I785" s="829"/>
      <c r="J785" s="852"/>
      <c r="K785" s="851"/>
      <c r="L785" s="787"/>
      <c r="M785" s="829"/>
      <c r="N785" s="852"/>
      <c r="O785" s="851"/>
      <c r="P785" s="787"/>
      <c r="Q785" s="829"/>
      <c r="R785" s="852"/>
      <c r="S785" s="851"/>
      <c r="T785" s="787"/>
      <c r="U785" s="829"/>
      <c r="V785" s="852"/>
      <c r="W785" s="851"/>
      <c r="X785" s="787"/>
      <c r="Y785" s="829"/>
      <c r="Z785" s="852"/>
      <c r="AA785" s="851"/>
      <c r="AB785" s="787"/>
      <c r="AC785" s="829"/>
      <c r="AD785" s="852"/>
      <c r="AE785" s="851"/>
      <c r="AF785" s="787"/>
      <c r="AG785" s="355">
        <v>3530</v>
      </c>
      <c r="AL785" s="123"/>
    </row>
    <row r="786" spans="1:38" x14ac:dyDescent="0.4">
      <c r="A786" s="65"/>
      <c r="B786" s="356">
        <v>3535</v>
      </c>
      <c r="C786" s="851"/>
      <c r="D786" s="787"/>
      <c r="E786" s="829"/>
      <c r="F786" s="852"/>
      <c r="G786" s="851"/>
      <c r="H786" s="787"/>
      <c r="I786" s="829"/>
      <c r="J786" s="852"/>
      <c r="K786" s="851"/>
      <c r="L786" s="787"/>
      <c r="M786" s="829"/>
      <c r="N786" s="852"/>
      <c r="O786" s="851"/>
      <c r="P786" s="787"/>
      <c r="Q786" s="829"/>
      <c r="R786" s="852"/>
      <c r="S786" s="851"/>
      <c r="T786" s="787"/>
      <c r="U786" s="829"/>
      <c r="V786" s="852"/>
      <c r="W786" s="851"/>
      <c r="X786" s="787"/>
      <c r="Y786" s="829"/>
      <c r="Z786" s="852"/>
      <c r="AA786" s="851"/>
      <c r="AB786" s="787"/>
      <c r="AC786" s="829"/>
      <c r="AD786" s="852"/>
      <c r="AE786" s="851"/>
      <c r="AF786" s="787"/>
      <c r="AG786" s="355">
        <v>3535</v>
      </c>
      <c r="AL786" s="123"/>
    </row>
    <row r="787" spans="1:38" x14ac:dyDescent="0.4">
      <c r="A787" s="65"/>
      <c r="B787" s="356">
        <v>3540</v>
      </c>
      <c r="C787" s="851"/>
      <c r="D787" s="787"/>
      <c r="E787" s="829"/>
      <c r="F787" s="852"/>
      <c r="G787" s="851"/>
      <c r="H787" s="787"/>
      <c r="I787" s="829"/>
      <c r="J787" s="852"/>
      <c r="K787" s="851"/>
      <c r="L787" s="787"/>
      <c r="M787" s="829"/>
      <c r="N787" s="852"/>
      <c r="O787" s="851"/>
      <c r="P787" s="787"/>
      <c r="Q787" s="829"/>
      <c r="R787" s="852"/>
      <c r="S787" s="851"/>
      <c r="T787" s="787"/>
      <c r="U787" s="829"/>
      <c r="V787" s="852"/>
      <c r="W787" s="851"/>
      <c r="X787" s="787"/>
      <c r="Y787" s="829"/>
      <c r="Z787" s="852"/>
      <c r="AA787" s="851"/>
      <c r="AB787" s="787"/>
      <c r="AC787" s="829"/>
      <c r="AD787" s="852"/>
      <c r="AE787" s="851"/>
      <c r="AF787" s="787"/>
      <c r="AG787" s="355">
        <v>3540</v>
      </c>
      <c r="AL787" s="123"/>
    </row>
    <row r="788" spans="1:38" x14ac:dyDescent="0.4">
      <c r="A788" s="65"/>
      <c r="B788" s="356">
        <v>3545</v>
      </c>
      <c r="C788" s="851"/>
      <c r="D788" s="787"/>
      <c r="E788" s="829"/>
      <c r="F788" s="852"/>
      <c r="G788" s="851"/>
      <c r="H788" s="787"/>
      <c r="I788" s="829"/>
      <c r="J788" s="852"/>
      <c r="K788" s="851"/>
      <c r="L788" s="787"/>
      <c r="M788" s="829"/>
      <c r="N788" s="852"/>
      <c r="O788" s="851"/>
      <c r="P788" s="787"/>
      <c r="Q788" s="829"/>
      <c r="R788" s="852"/>
      <c r="S788" s="851"/>
      <c r="T788" s="787"/>
      <c r="U788" s="829"/>
      <c r="V788" s="852"/>
      <c r="W788" s="851"/>
      <c r="X788" s="787"/>
      <c r="Y788" s="829"/>
      <c r="Z788" s="852"/>
      <c r="AA788" s="851"/>
      <c r="AB788" s="787"/>
      <c r="AC788" s="829"/>
      <c r="AD788" s="852"/>
      <c r="AE788" s="851"/>
      <c r="AF788" s="787"/>
      <c r="AG788" s="355">
        <v>3545</v>
      </c>
      <c r="AL788" s="123"/>
    </row>
    <row r="789" spans="1:38" x14ac:dyDescent="0.4">
      <c r="A789" s="65"/>
      <c r="B789" s="356">
        <v>3550</v>
      </c>
      <c r="C789" s="851"/>
      <c r="D789" s="787"/>
      <c r="E789" s="829"/>
      <c r="F789" s="852"/>
      <c r="G789" s="851"/>
      <c r="H789" s="787"/>
      <c r="I789" s="829"/>
      <c r="J789" s="852"/>
      <c r="K789" s="851"/>
      <c r="L789" s="787"/>
      <c r="M789" s="829"/>
      <c r="N789" s="852"/>
      <c r="O789" s="851"/>
      <c r="P789" s="787"/>
      <c r="Q789" s="829"/>
      <c r="R789" s="852"/>
      <c r="S789" s="851"/>
      <c r="T789" s="787"/>
      <c r="U789" s="829"/>
      <c r="V789" s="852"/>
      <c r="W789" s="851"/>
      <c r="X789" s="787"/>
      <c r="Y789" s="829"/>
      <c r="Z789" s="852"/>
      <c r="AA789" s="851"/>
      <c r="AB789" s="787"/>
      <c r="AC789" s="829"/>
      <c r="AD789" s="852"/>
      <c r="AE789" s="851"/>
      <c r="AF789" s="787"/>
      <c r="AG789" s="355">
        <v>3550</v>
      </c>
      <c r="AL789" s="123"/>
    </row>
    <row r="790" spans="1:38" x14ac:dyDescent="0.4">
      <c r="A790" s="65"/>
      <c r="B790" s="356">
        <v>3555</v>
      </c>
      <c r="C790" s="851"/>
      <c r="D790" s="787"/>
      <c r="E790" s="829"/>
      <c r="F790" s="852"/>
      <c r="G790" s="851"/>
      <c r="H790" s="787"/>
      <c r="I790" s="829"/>
      <c r="J790" s="852"/>
      <c r="K790" s="851"/>
      <c r="L790" s="787"/>
      <c r="M790" s="829"/>
      <c r="N790" s="852"/>
      <c r="O790" s="851"/>
      <c r="P790" s="787"/>
      <c r="Q790" s="829"/>
      <c r="R790" s="852"/>
      <c r="S790" s="851"/>
      <c r="T790" s="787"/>
      <c r="U790" s="829"/>
      <c r="V790" s="852"/>
      <c r="W790" s="851"/>
      <c r="X790" s="787"/>
      <c r="Y790" s="829"/>
      <c r="Z790" s="852"/>
      <c r="AA790" s="851"/>
      <c r="AB790" s="787"/>
      <c r="AC790" s="829"/>
      <c r="AD790" s="852"/>
      <c r="AE790" s="851"/>
      <c r="AF790" s="787"/>
      <c r="AG790" s="355">
        <v>3555</v>
      </c>
      <c r="AL790" s="123"/>
    </row>
    <row r="791" spans="1:38" x14ac:dyDescent="0.4">
      <c r="A791" s="65"/>
      <c r="B791" s="356">
        <v>3560</v>
      </c>
      <c r="C791" s="851"/>
      <c r="D791" s="787"/>
      <c r="E791" s="829"/>
      <c r="F791" s="852"/>
      <c r="G791" s="851"/>
      <c r="H791" s="787"/>
      <c r="I791" s="829"/>
      <c r="J791" s="852"/>
      <c r="K791" s="851"/>
      <c r="L791" s="787"/>
      <c r="M791" s="829"/>
      <c r="N791" s="852"/>
      <c r="O791" s="851"/>
      <c r="P791" s="787"/>
      <c r="Q791" s="829"/>
      <c r="R791" s="852"/>
      <c r="S791" s="851"/>
      <c r="T791" s="787"/>
      <c r="U791" s="829"/>
      <c r="V791" s="852"/>
      <c r="W791" s="851"/>
      <c r="X791" s="787"/>
      <c r="Y791" s="829"/>
      <c r="Z791" s="852"/>
      <c r="AA791" s="851"/>
      <c r="AB791" s="787"/>
      <c r="AC791" s="829"/>
      <c r="AD791" s="852"/>
      <c r="AE791" s="851"/>
      <c r="AF791" s="787"/>
      <c r="AG791" s="355">
        <v>3560</v>
      </c>
      <c r="AL791" s="123"/>
    </row>
    <row r="792" spans="1:38" x14ac:dyDescent="0.4">
      <c r="A792" s="65"/>
      <c r="B792" s="356">
        <v>3565</v>
      </c>
      <c r="C792" s="851"/>
      <c r="D792" s="787"/>
      <c r="E792" s="829"/>
      <c r="F792" s="852"/>
      <c r="G792" s="851"/>
      <c r="H792" s="787"/>
      <c r="I792" s="829"/>
      <c r="J792" s="852"/>
      <c r="K792" s="851"/>
      <c r="L792" s="787"/>
      <c r="M792" s="829"/>
      <c r="N792" s="852"/>
      <c r="O792" s="851"/>
      <c r="P792" s="787"/>
      <c r="Q792" s="829"/>
      <c r="R792" s="852"/>
      <c r="S792" s="851"/>
      <c r="T792" s="787"/>
      <c r="U792" s="829"/>
      <c r="V792" s="852"/>
      <c r="W792" s="851"/>
      <c r="X792" s="787"/>
      <c r="Y792" s="829"/>
      <c r="Z792" s="852"/>
      <c r="AA792" s="851"/>
      <c r="AB792" s="787"/>
      <c r="AC792" s="829"/>
      <c r="AD792" s="852"/>
      <c r="AE792" s="851"/>
      <c r="AF792" s="787"/>
      <c r="AG792" s="355">
        <v>3565</v>
      </c>
      <c r="AL792" s="123"/>
    </row>
    <row r="793" spans="1:38" x14ac:dyDescent="0.4">
      <c r="A793" s="65"/>
      <c r="B793" s="356">
        <v>3570</v>
      </c>
      <c r="C793" s="851"/>
      <c r="D793" s="787"/>
      <c r="E793" s="829"/>
      <c r="F793" s="852"/>
      <c r="G793" s="851"/>
      <c r="H793" s="787"/>
      <c r="I793" s="829"/>
      <c r="J793" s="852"/>
      <c r="K793" s="851"/>
      <c r="L793" s="787"/>
      <c r="M793" s="829"/>
      <c r="N793" s="852"/>
      <c r="O793" s="851"/>
      <c r="P793" s="787"/>
      <c r="Q793" s="829"/>
      <c r="R793" s="852"/>
      <c r="S793" s="851"/>
      <c r="T793" s="787"/>
      <c r="U793" s="829"/>
      <c r="V793" s="852"/>
      <c r="W793" s="851"/>
      <c r="X793" s="787"/>
      <c r="Y793" s="829"/>
      <c r="Z793" s="852"/>
      <c r="AA793" s="851"/>
      <c r="AB793" s="787"/>
      <c r="AC793" s="829"/>
      <c r="AD793" s="852"/>
      <c r="AE793" s="851"/>
      <c r="AF793" s="787"/>
      <c r="AG793" s="355">
        <v>3570</v>
      </c>
      <c r="AL793" s="123"/>
    </row>
    <row r="794" spans="1:38" x14ac:dyDescent="0.4">
      <c r="A794" s="65"/>
      <c r="B794" s="356">
        <v>3575</v>
      </c>
      <c r="C794" s="851"/>
      <c r="D794" s="787"/>
      <c r="E794" s="829"/>
      <c r="F794" s="852"/>
      <c r="G794" s="851"/>
      <c r="H794" s="787"/>
      <c r="I794" s="829"/>
      <c r="J794" s="852"/>
      <c r="K794" s="851"/>
      <c r="L794" s="787"/>
      <c r="M794" s="829"/>
      <c r="N794" s="852"/>
      <c r="O794" s="851"/>
      <c r="P794" s="787"/>
      <c r="Q794" s="829"/>
      <c r="R794" s="852"/>
      <c r="S794" s="851"/>
      <c r="T794" s="787"/>
      <c r="U794" s="829"/>
      <c r="V794" s="852"/>
      <c r="W794" s="851"/>
      <c r="X794" s="787"/>
      <c r="Y794" s="829"/>
      <c r="Z794" s="852"/>
      <c r="AA794" s="851"/>
      <c r="AB794" s="787"/>
      <c r="AC794" s="829"/>
      <c r="AD794" s="852"/>
      <c r="AE794" s="851"/>
      <c r="AF794" s="787"/>
      <c r="AG794" s="355">
        <v>3575</v>
      </c>
      <c r="AL794" s="123"/>
    </row>
    <row r="795" spans="1:38" x14ac:dyDescent="0.4">
      <c r="A795" s="65"/>
      <c r="B795" s="356">
        <v>3580</v>
      </c>
      <c r="C795" s="851"/>
      <c r="D795" s="787"/>
      <c r="E795" s="829"/>
      <c r="F795" s="852"/>
      <c r="G795" s="851"/>
      <c r="H795" s="787"/>
      <c r="I795" s="829"/>
      <c r="J795" s="852"/>
      <c r="K795" s="851"/>
      <c r="L795" s="787"/>
      <c r="M795" s="829"/>
      <c r="N795" s="852"/>
      <c r="O795" s="851"/>
      <c r="P795" s="787"/>
      <c r="Q795" s="829"/>
      <c r="R795" s="852"/>
      <c r="S795" s="851"/>
      <c r="T795" s="787"/>
      <c r="U795" s="829"/>
      <c r="V795" s="852"/>
      <c r="W795" s="851"/>
      <c r="X795" s="787"/>
      <c r="Y795" s="829"/>
      <c r="Z795" s="852"/>
      <c r="AA795" s="851"/>
      <c r="AB795" s="787"/>
      <c r="AC795" s="829"/>
      <c r="AD795" s="852"/>
      <c r="AE795" s="851"/>
      <c r="AF795" s="787"/>
      <c r="AG795" s="355">
        <v>3580</v>
      </c>
      <c r="AL795" s="123"/>
    </row>
    <row r="796" spans="1:38" x14ac:dyDescent="0.4">
      <c r="A796" s="65"/>
      <c r="B796" s="356">
        <v>3585</v>
      </c>
      <c r="C796" s="851"/>
      <c r="D796" s="787"/>
      <c r="E796" s="829"/>
      <c r="F796" s="852"/>
      <c r="G796" s="851"/>
      <c r="H796" s="787"/>
      <c r="I796" s="829"/>
      <c r="J796" s="852"/>
      <c r="K796" s="851"/>
      <c r="L796" s="787"/>
      <c r="M796" s="829"/>
      <c r="N796" s="852"/>
      <c r="O796" s="851"/>
      <c r="P796" s="787"/>
      <c r="Q796" s="829"/>
      <c r="R796" s="852"/>
      <c r="S796" s="851"/>
      <c r="T796" s="787"/>
      <c r="U796" s="829"/>
      <c r="V796" s="852"/>
      <c r="W796" s="851"/>
      <c r="X796" s="787"/>
      <c r="Y796" s="829"/>
      <c r="Z796" s="852"/>
      <c r="AA796" s="851"/>
      <c r="AB796" s="787"/>
      <c r="AC796" s="829"/>
      <c r="AD796" s="852"/>
      <c r="AE796" s="851"/>
      <c r="AF796" s="787"/>
      <c r="AG796" s="355">
        <v>3585</v>
      </c>
      <c r="AL796" s="123"/>
    </row>
    <row r="797" spans="1:38" x14ac:dyDescent="0.4">
      <c r="A797" s="65"/>
      <c r="B797" s="356">
        <v>3590</v>
      </c>
      <c r="C797" s="851"/>
      <c r="D797" s="787"/>
      <c r="E797" s="829"/>
      <c r="F797" s="852"/>
      <c r="G797" s="851"/>
      <c r="H797" s="787"/>
      <c r="I797" s="829"/>
      <c r="J797" s="852"/>
      <c r="K797" s="851"/>
      <c r="L797" s="787"/>
      <c r="M797" s="829"/>
      <c r="N797" s="852"/>
      <c r="O797" s="851"/>
      <c r="P797" s="787"/>
      <c r="Q797" s="829"/>
      <c r="R797" s="852"/>
      <c r="S797" s="851"/>
      <c r="T797" s="787"/>
      <c r="U797" s="829"/>
      <c r="V797" s="852"/>
      <c r="W797" s="851"/>
      <c r="X797" s="787"/>
      <c r="Y797" s="829"/>
      <c r="Z797" s="852"/>
      <c r="AA797" s="851"/>
      <c r="AB797" s="787"/>
      <c r="AC797" s="829"/>
      <c r="AD797" s="852"/>
      <c r="AE797" s="851"/>
      <c r="AF797" s="787"/>
      <c r="AG797" s="355">
        <v>3590</v>
      </c>
      <c r="AL797" s="123"/>
    </row>
    <row r="798" spans="1:38" x14ac:dyDescent="0.4">
      <c r="A798" s="65"/>
      <c r="B798" s="356">
        <v>3595</v>
      </c>
      <c r="C798" s="851"/>
      <c r="D798" s="787"/>
      <c r="E798" s="829"/>
      <c r="F798" s="852"/>
      <c r="G798" s="851"/>
      <c r="H798" s="787"/>
      <c r="I798" s="829"/>
      <c r="J798" s="852"/>
      <c r="K798" s="851"/>
      <c r="L798" s="787"/>
      <c r="M798" s="829"/>
      <c r="N798" s="852"/>
      <c r="O798" s="851"/>
      <c r="P798" s="787"/>
      <c r="Q798" s="829"/>
      <c r="R798" s="852"/>
      <c r="S798" s="851"/>
      <c r="T798" s="787"/>
      <c r="U798" s="829"/>
      <c r="V798" s="852"/>
      <c r="W798" s="851"/>
      <c r="X798" s="787"/>
      <c r="Y798" s="829"/>
      <c r="Z798" s="852"/>
      <c r="AA798" s="851"/>
      <c r="AB798" s="787"/>
      <c r="AC798" s="829"/>
      <c r="AD798" s="852"/>
      <c r="AE798" s="851"/>
      <c r="AF798" s="787"/>
      <c r="AG798" s="355">
        <v>3595</v>
      </c>
      <c r="AL798" s="123"/>
    </row>
    <row r="799" spans="1:38" x14ac:dyDescent="0.4">
      <c r="A799" s="65"/>
      <c r="B799" s="356">
        <v>3600</v>
      </c>
      <c r="C799" s="851"/>
      <c r="D799" s="787"/>
      <c r="E799" s="829"/>
      <c r="F799" s="852"/>
      <c r="G799" s="851"/>
      <c r="H799" s="787"/>
      <c r="I799" s="829"/>
      <c r="J799" s="852"/>
      <c r="K799" s="851"/>
      <c r="L799" s="787"/>
      <c r="M799" s="829"/>
      <c r="N799" s="852"/>
      <c r="O799" s="851"/>
      <c r="P799" s="787"/>
      <c r="Q799" s="829"/>
      <c r="R799" s="852"/>
      <c r="S799" s="851"/>
      <c r="T799" s="787"/>
      <c r="U799" s="829"/>
      <c r="V799" s="852"/>
      <c r="W799" s="851"/>
      <c r="X799" s="787"/>
      <c r="Y799" s="829"/>
      <c r="Z799" s="852"/>
      <c r="AA799" s="851"/>
      <c r="AB799" s="787"/>
      <c r="AC799" s="829"/>
      <c r="AD799" s="852"/>
      <c r="AE799" s="851"/>
      <c r="AF799" s="787"/>
      <c r="AG799" s="355">
        <v>3600</v>
      </c>
      <c r="AL799" s="123"/>
    </row>
    <row r="800" spans="1:38" x14ac:dyDescent="0.4">
      <c r="A800" s="65"/>
      <c r="B800" s="356">
        <v>3605</v>
      </c>
      <c r="C800" s="851"/>
      <c r="D800" s="787"/>
      <c r="E800" s="829"/>
      <c r="F800" s="852"/>
      <c r="G800" s="851"/>
      <c r="H800" s="787"/>
      <c r="I800" s="829"/>
      <c r="J800" s="852"/>
      <c r="K800" s="851"/>
      <c r="L800" s="787"/>
      <c r="M800" s="829"/>
      <c r="N800" s="852"/>
      <c r="O800" s="851"/>
      <c r="P800" s="787"/>
      <c r="Q800" s="829"/>
      <c r="R800" s="852"/>
      <c r="S800" s="851"/>
      <c r="T800" s="787"/>
      <c r="U800" s="829"/>
      <c r="V800" s="852"/>
      <c r="W800" s="851"/>
      <c r="X800" s="787"/>
      <c r="Y800" s="829"/>
      <c r="Z800" s="852"/>
      <c r="AA800" s="851"/>
      <c r="AB800" s="787"/>
      <c r="AC800" s="829"/>
      <c r="AD800" s="852"/>
      <c r="AE800" s="851"/>
      <c r="AF800" s="787"/>
      <c r="AG800" s="355">
        <v>3605</v>
      </c>
      <c r="AL800" s="123"/>
    </row>
    <row r="801" spans="1:38" x14ac:dyDescent="0.4">
      <c r="A801" s="65"/>
      <c r="B801" s="356">
        <v>3610</v>
      </c>
      <c r="C801" s="851"/>
      <c r="D801" s="787"/>
      <c r="E801" s="829"/>
      <c r="F801" s="852"/>
      <c r="G801" s="851"/>
      <c r="H801" s="787"/>
      <c r="I801" s="829"/>
      <c r="J801" s="852"/>
      <c r="K801" s="851"/>
      <c r="L801" s="787"/>
      <c r="M801" s="829"/>
      <c r="N801" s="852"/>
      <c r="O801" s="851"/>
      <c r="P801" s="787"/>
      <c r="Q801" s="829"/>
      <c r="R801" s="852"/>
      <c r="S801" s="851"/>
      <c r="T801" s="787"/>
      <c r="U801" s="829"/>
      <c r="V801" s="852"/>
      <c r="W801" s="851"/>
      <c r="X801" s="787"/>
      <c r="Y801" s="829"/>
      <c r="Z801" s="852"/>
      <c r="AA801" s="851"/>
      <c r="AB801" s="787"/>
      <c r="AC801" s="829"/>
      <c r="AD801" s="852"/>
      <c r="AE801" s="851"/>
      <c r="AF801" s="787"/>
      <c r="AG801" s="355">
        <v>3610</v>
      </c>
      <c r="AL801" s="123"/>
    </row>
    <row r="802" spans="1:38" x14ac:dyDescent="0.4">
      <c r="A802" s="65"/>
      <c r="B802" s="356">
        <v>3615</v>
      </c>
      <c r="C802" s="851"/>
      <c r="D802" s="787"/>
      <c r="E802" s="829"/>
      <c r="F802" s="852"/>
      <c r="G802" s="851"/>
      <c r="H802" s="787"/>
      <c r="I802" s="829"/>
      <c r="J802" s="852"/>
      <c r="K802" s="851"/>
      <c r="L802" s="787"/>
      <c r="M802" s="829"/>
      <c r="N802" s="852"/>
      <c r="O802" s="851"/>
      <c r="P802" s="787"/>
      <c r="Q802" s="829"/>
      <c r="R802" s="852"/>
      <c r="S802" s="851"/>
      <c r="T802" s="787"/>
      <c r="U802" s="829"/>
      <c r="V802" s="852"/>
      <c r="W802" s="851"/>
      <c r="X802" s="787"/>
      <c r="Y802" s="829"/>
      <c r="Z802" s="852"/>
      <c r="AA802" s="851"/>
      <c r="AB802" s="787"/>
      <c r="AC802" s="829"/>
      <c r="AD802" s="852"/>
      <c r="AE802" s="851"/>
      <c r="AF802" s="787"/>
      <c r="AG802" s="355">
        <v>3615</v>
      </c>
      <c r="AL802" s="123"/>
    </row>
    <row r="803" spans="1:38" x14ac:dyDescent="0.4">
      <c r="A803" s="65"/>
      <c r="B803" s="356">
        <v>3620</v>
      </c>
      <c r="C803" s="851"/>
      <c r="D803" s="787"/>
      <c r="E803" s="829"/>
      <c r="F803" s="852"/>
      <c r="G803" s="851"/>
      <c r="H803" s="787"/>
      <c r="I803" s="829"/>
      <c r="J803" s="852"/>
      <c r="K803" s="851"/>
      <c r="L803" s="787"/>
      <c r="M803" s="829"/>
      <c r="N803" s="852"/>
      <c r="O803" s="851"/>
      <c r="P803" s="787"/>
      <c r="Q803" s="829"/>
      <c r="R803" s="852"/>
      <c r="S803" s="851"/>
      <c r="T803" s="787"/>
      <c r="U803" s="829"/>
      <c r="V803" s="852"/>
      <c r="W803" s="851"/>
      <c r="X803" s="787"/>
      <c r="Y803" s="829"/>
      <c r="Z803" s="852"/>
      <c r="AA803" s="851"/>
      <c r="AB803" s="787"/>
      <c r="AC803" s="829"/>
      <c r="AD803" s="852"/>
      <c r="AE803" s="851"/>
      <c r="AF803" s="787"/>
      <c r="AG803" s="355">
        <v>3620</v>
      </c>
      <c r="AL803" s="123"/>
    </row>
    <row r="804" spans="1:38" x14ac:dyDescent="0.4">
      <c r="A804" s="65"/>
      <c r="B804" s="356">
        <v>3625</v>
      </c>
      <c r="C804" s="851"/>
      <c r="D804" s="787"/>
      <c r="E804" s="829"/>
      <c r="F804" s="852"/>
      <c r="G804" s="851"/>
      <c r="H804" s="787"/>
      <c r="I804" s="829"/>
      <c r="J804" s="852"/>
      <c r="K804" s="851"/>
      <c r="L804" s="787"/>
      <c r="M804" s="829"/>
      <c r="N804" s="852"/>
      <c r="O804" s="851"/>
      <c r="P804" s="787"/>
      <c r="Q804" s="829"/>
      <c r="R804" s="852"/>
      <c r="S804" s="851"/>
      <c r="T804" s="787"/>
      <c r="U804" s="829"/>
      <c r="V804" s="852"/>
      <c r="W804" s="851"/>
      <c r="X804" s="787"/>
      <c r="Y804" s="829"/>
      <c r="Z804" s="852"/>
      <c r="AA804" s="851"/>
      <c r="AB804" s="787"/>
      <c r="AC804" s="829"/>
      <c r="AD804" s="852"/>
      <c r="AE804" s="851"/>
      <c r="AF804" s="787"/>
      <c r="AG804" s="355">
        <v>3625</v>
      </c>
      <c r="AL804" s="123"/>
    </row>
    <row r="805" spans="1:38" x14ac:dyDescent="0.4">
      <c r="A805" s="65"/>
      <c r="B805" s="356">
        <v>3630</v>
      </c>
      <c r="C805" s="851"/>
      <c r="D805" s="787"/>
      <c r="E805" s="829"/>
      <c r="F805" s="852"/>
      <c r="G805" s="851"/>
      <c r="H805" s="787"/>
      <c r="I805" s="829"/>
      <c r="J805" s="852"/>
      <c r="K805" s="851"/>
      <c r="L805" s="787"/>
      <c r="M805" s="829"/>
      <c r="N805" s="852"/>
      <c r="O805" s="851"/>
      <c r="P805" s="787"/>
      <c r="Q805" s="829"/>
      <c r="R805" s="852"/>
      <c r="S805" s="851"/>
      <c r="T805" s="787"/>
      <c r="U805" s="829"/>
      <c r="V805" s="852"/>
      <c r="W805" s="851"/>
      <c r="X805" s="787"/>
      <c r="Y805" s="829"/>
      <c r="Z805" s="852"/>
      <c r="AA805" s="851"/>
      <c r="AB805" s="787"/>
      <c r="AC805" s="829"/>
      <c r="AD805" s="852"/>
      <c r="AE805" s="851"/>
      <c r="AF805" s="787"/>
      <c r="AG805" s="355">
        <v>3630</v>
      </c>
      <c r="AL805" s="123"/>
    </row>
    <row r="806" spans="1:38" x14ac:dyDescent="0.4">
      <c r="A806" s="65"/>
      <c r="B806" s="356">
        <v>3635</v>
      </c>
      <c r="C806" s="851"/>
      <c r="D806" s="787"/>
      <c r="E806" s="829"/>
      <c r="F806" s="852"/>
      <c r="G806" s="851"/>
      <c r="H806" s="787"/>
      <c r="I806" s="829"/>
      <c r="J806" s="852"/>
      <c r="K806" s="851"/>
      <c r="L806" s="787"/>
      <c r="M806" s="829"/>
      <c r="N806" s="852"/>
      <c r="O806" s="851"/>
      <c r="P806" s="787"/>
      <c r="Q806" s="829"/>
      <c r="R806" s="852"/>
      <c r="S806" s="851"/>
      <c r="T806" s="787"/>
      <c r="U806" s="829"/>
      <c r="V806" s="852"/>
      <c r="W806" s="851"/>
      <c r="X806" s="787"/>
      <c r="Y806" s="829"/>
      <c r="Z806" s="852"/>
      <c r="AA806" s="851"/>
      <c r="AB806" s="787"/>
      <c r="AC806" s="829"/>
      <c r="AD806" s="852"/>
      <c r="AE806" s="851"/>
      <c r="AF806" s="787"/>
      <c r="AG806" s="355">
        <v>3635</v>
      </c>
      <c r="AL806" s="123"/>
    </row>
    <row r="807" spans="1:38" x14ac:dyDescent="0.4">
      <c r="A807" s="65"/>
      <c r="B807" s="356">
        <v>3640</v>
      </c>
      <c r="C807" s="851"/>
      <c r="D807" s="787"/>
      <c r="E807" s="829"/>
      <c r="F807" s="852"/>
      <c r="G807" s="851"/>
      <c r="H807" s="787"/>
      <c r="I807" s="829"/>
      <c r="J807" s="852"/>
      <c r="K807" s="851"/>
      <c r="L807" s="787"/>
      <c r="M807" s="829"/>
      <c r="N807" s="852"/>
      <c r="O807" s="851"/>
      <c r="P807" s="787"/>
      <c r="Q807" s="829"/>
      <c r="R807" s="852"/>
      <c r="S807" s="851"/>
      <c r="T807" s="787"/>
      <c r="U807" s="829"/>
      <c r="V807" s="852"/>
      <c r="W807" s="851"/>
      <c r="X807" s="787"/>
      <c r="Y807" s="829"/>
      <c r="Z807" s="852"/>
      <c r="AA807" s="851"/>
      <c r="AB807" s="787"/>
      <c r="AC807" s="829"/>
      <c r="AD807" s="852"/>
      <c r="AE807" s="851"/>
      <c r="AF807" s="787"/>
      <c r="AG807" s="355">
        <v>3640</v>
      </c>
      <c r="AL807" s="123"/>
    </row>
    <row r="808" spans="1:38" x14ac:dyDescent="0.4">
      <c r="A808" s="65"/>
      <c r="B808" s="356">
        <v>3645</v>
      </c>
      <c r="C808" s="851"/>
      <c r="D808" s="787"/>
      <c r="E808" s="829"/>
      <c r="F808" s="852"/>
      <c r="G808" s="851"/>
      <c r="H808" s="787"/>
      <c r="I808" s="829"/>
      <c r="J808" s="852"/>
      <c r="K808" s="851"/>
      <c r="L808" s="787"/>
      <c r="M808" s="829"/>
      <c r="N808" s="852"/>
      <c r="O808" s="851"/>
      <c r="P808" s="787"/>
      <c r="Q808" s="829"/>
      <c r="R808" s="852"/>
      <c r="S808" s="851"/>
      <c r="T808" s="787"/>
      <c r="U808" s="829"/>
      <c r="V808" s="852"/>
      <c r="W808" s="851"/>
      <c r="X808" s="787"/>
      <c r="Y808" s="829"/>
      <c r="Z808" s="852"/>
      <c r="AA808" s="851"/>
      <c r="AB808" s="787"/>
      <c r="AC808" s="829"/>
      <c r="AD808" s="852"/>
      <c r="AE808" s="851"/>
      <c r="AF808" s="787"/>
      <c r="AG808" s="355">
        <v>3645</v>
      </c>
      <c r="AL808" s="123"/>
    </row>
    <row r="809" spans="1:38" x14ac:dyDescent="0.4">
      <c r="A809" s="65"/>
      <c r="B809" s="356">
        <v>3650</v>
      </c>
      <c r="C809" s="851"/>
      <c r="D809" s="787"/>
      <c r="E809" s="829"/>
      <c r="F809" s="852"/>
      <c r="G809" s="851"/>
      <c r="H809" s="787"/>
      <c r="I809" s="829"/>
      <c r="J809" s="852"/>
      <c r="K809" s="851"/>
      <c r="L809" s="787"/>
      <c r="M809" s="829"/>
      <c r="N809" s="852"/>
      <c r="O809" s="851"/>
      <c r="P809" s="787"/>
      <c r="Q809" s="829"/>
      <c r="R809" s="852"/>
      <c r="S809" s="851"/>
      <c r="T809" s="787"/>
      <c r="U809" s="829"/>
      <c r="V809" s="852"/>
      <c r="W809" s="851"/>
      <c r="X809" s="787"/>
      <c r="Y809" s="829"/>
      <c r="Z809" s="852"/>
      <c r="AA809" s="851"/>
      <c r="AB809" s="787"/>
      <c r="AC809" s="829"/>
      <c r="AD809" s="852"/>
      <c r="AE809" s="851"/>
      <c r="AF809" s="787"/>
      <c r="AG809" s="355">
        <v>3650</v>
      </c>
      <c r="AL809" s="123"/>
    </row>
    <row r="810" spans="1:38" x14ac:dyDescent="0.4">
      <c r="A810" s="65"/>
      <c r="B810" s="356">
        <v>3655</v>
      </c>
      <c r="C810" s="851"/>
      <c r="D810" s="787"/>
      <c r="E810" s="829"/>
      <c r="F810" s="852"/>
      <c r="G810" s="851"/>
      <c r="H810" s="787"/>
      <c r="I810" s="829"/>
      <c r="J810" s="852"/>
      <c r="K810" s="851"/>
      <c r="L810" s="787"/>
      <c r="M810" s="829"/>
      <c r="N810" s="852"/>
      <c r="O810" s="851"/>
      <c r="P810" s="787"/>
      <c r="Q810" s="829"/>
      <c r="R810" s="852"/>
      <c r="S810" s="851"/>
      <c r="T810" s="787"/>
      <c r="U810" s="829"/>
      <c r="V810" s="852"/>
      <c r="W810" s="851"/>
      <c r="X810" s="787"/>
      <c r="Y810" s="829"/>
      <c r="Z810" s="852"/>
      <c r="AA810" s="851"/>
      <c r="AB810" s="787"/>
      <c r="AC810" s="829"/>
      <c r="AD810" s="852"/>
      <c r="AE810" s="851"/>
      <c r="AF810" s="787"/>
      <c r="AG810" s="355">
        <v>3655</v>
      </c>
      <c r="AL810" s="123"/>
    </row>
    <row r="811" spans="1:38" x14ac:dyDescent="0.4">
      <c r="A811" s="65"/>
      <c r="B811" s="356">
        <v>3660</v>
      </c>
      <c r="C811" s="851"/>
      <c r="D811" s="787"/>
      <c r="E811" s="829"/>
      <c r="F811" s="852"/>
      <c r="G811" s="851"/>
      <c r="H811" s="787"/>
      <c r="I811" s="829"/>
      <c r="J811" s="852"/>
      <c r="K811" s="851"/>
      <c r="L811" s="787"/>
      <c r="M811" s="829"/>
      <c r="N811" s="852"/>
      <c r="O811" s="851"/>
      <c r="P811" s="787"/>
      <c r="Q811" s="829"/>
      <c r="R811" s="852"/>
      <c r="S811" s="851"/>
      <c r="T811" s="787"/>
      <c r="U811" s="829"/>
      <c r="V811" s="852"/>
      <c r="W811" s="851"/>
      <c r="X811" s="787"/>
      <c r="Y811" s="829"/>
      <c r="Z811" s="852"/>
      <c r="AA811" s="851"/>
      <c r="AB811" s="787"/>
      <c r="AC811" s="829"/>
      <c r="AD811" s="852"/>
      <c r="AE811" s="851"/>
      <c r="AF811" s="787"/>
      <c r="AG811" s="355">
        <v>3660</v>
      </c>
      <c r="AL811" s="123"/>
    </row>
    <row r="812" spans="1:38" x14ac:dyDescent="0.4">
      <c r="A812" s="65"/>
      <c r="B812" s="356">
        <v>3665</v>
      </c>
      <c r="C812" s="851"/>
      <c r="D812" s="787"/>
      <c r="E812" s="829"/>
      <c r="F812" s="852"/>
      <c r="G812" s="851"/>
      <c r="H812" s="787"/>
      <c r="I812" s="829"/>
      <c r="J812" s="852"/>
      <c r="K812" s="851"/>
      <c r="L812" s="787"/>
      <c r="M812" s="829"/>
      <c r="N812" s="852"/>
      <c r="O812" s="851"/>
      <c r="P812" s="787"/>
      <c r="Q812" s="829"/>
      <c r="R812" s="852"/>
      <c r="S812" s="851"/>
      <c r="T812" s="787"/>
      <c r="U812" s="829"/>
      <c r="V812" s="852"/>
      <c r="W812" s="851"/>
      <c r="X812" s="787"/>
      <c r="Y812" s="829"/>
      <c r="Z812" s="852"/>
      <c r="AA812" s="851"/>
      <c r="AB812" s="787"/>
      <c r="AC812" s="829"/>
      <c r="AD812" s="852"/>
      <c r="AE812" s="851"/>
      <c r="AF812" s="787"/>
      <c r="AG812" s="355">
        <v>3665</v>
      </c>
      <c r="AL812" s="123"/>
    </row>
    <row r="813" spans="1:38" x14ac:dyDescent="0.4">
      <c r="A813" s="65"/>
      <c r="B813" s="356">
        <v>3670</v>
      </c>
      <c r="C813" s="851"/>
      <c r="D813" s="787"/>
      <c r="E813" s="829"/>
      <c r="F813" s="852"/>
      <c r="G813" s="851"/>
      <c r="H813" s="787"/>
      <c r="I813" s="829"/>
      <c r="J813" s="852"/>
      <c r="K813" s="851"/>
      <c r="L813" s="787"/>
      <c r="M813" s="829"/>
      <c r="N813" s="852"/>
      <c r="O813" s="851"/>
      <c r="P813" s="787"/>
      <c r="Q813" s="829"/>
      <c r="R813" s="852"/>
      <c r="S813" s="851"/>
      <c r="T813" s="787"/>
      <c r="U813" s="829"/>
      <c r="V813" s="852"/>
      <c r="W813" s="851"/>
      <c r="X813" s="787"/>
      <c r="Y813" s="829"/>
      <c r="Z813" s="852"/>
      <c r="AA813" s="851"/>
      <c r="AB813" s="787"/>
      <c r="AC813" s="829"/>
      <c r="AD813" s="852"/>
      <c r="AE813" s="851"/>
      <c r="AF813" s="787"/>
      <c r="AG813" s="355">
        <v>3670</v>
      </c>
      <c r="AL813" s="123"/>
    </row>
    <row r="814" spans="1:38" x14ac:dyDescent="0.4">
      <c r="A814" s="65"/>
      <c r="B814" s="356">
        <v>3675</v>
      </c>
      <c r="C814" s="851"/>
      <c r="D814" s="787"/>
      <c r="E814" s="829"/>
      <c r="F814" s="852"/>
      <c r="G814" s="851"/>
      <c r="H814" s="787"/>
      <c r="I814" s="829"/>
      <c r="J814" s="852"/>
      <c r="K814" s="851"/>
      <c r="L814" s="787"/>
      <c r="M814" s="829"/>
      <c r="N814" s="852"/>
      <c r="O814" s="851"/>
      <c r="P814" s="787"/>
      <c r="Q814" s="829"/>
      <c r="R814" s="852"/>
      <c r="S814" s="851"/>
      <c r="T814" s="787"/>
      <c r="U814" s="829"/>
      <c r="V814" s="852"/>
      <c r="W814" s="851"/>
      <c r="X814" s="787"/>
      <c r="Y814" s="829"/>
      <c r="Z814" s="852"/>
      <c r="AA814" s="851"/>
      <c r="AB814" s="787"/>
      <c r="AC814" s="829"/>
      <c r="AD814" s="852"/>
      <c r="AE814" s="851"/>
      <c r="AF814" s="787"/>
      <c r="AG814" s="355">
        <v>3675</v>
      </c>
      <c r="AL814" s="123"/>
    </row>
    <row r="815" spans="1:38" x14ac:dyDescent="0.4">
      <c r="A815" s="65"/>
      <c r="B815" s="356">
        <v>3680</v>
      </c>
      <c r="C815" s="851"/>
      <c r="D815" s="787"/>
      <c r="E815" s="829"/>
      <c r="F815" s="852"/>
      <c r="G815" s="851"/>
      <c r="H815" s="787"/>
      <c r="I815" s="829"/>
      <c r="J815" s="852"/>
      <c r="K815" s="851"/>
      <c r="L815" s="787"/>
      <c r="M815" s="829"/>
      <c r="N815" s="852"/>
      <c r="O815" s="851"/>
      <c r="P815" s="787"/>
      <c r="Q815" s="829"/>
      <c r="R815" s="852"/>
      <c r="S815" s="851"/>
      <c r="T815" s="787"/>
      <c r="U815" s="829"/>
      <c r="V815" s="852"/>
      <c r="W815" s="851"/>
      <c r="X815" s="787"/>
      <c r="Y815" s="829"/>
      <c r="Z815" s="852"/>
      <c r="AA815" s="851"/>
      <c r="AB815" s="787"/>
      <c r="AC815" s="829"/>
      <c r="AD815" s="852"/>
      <c r="AE815" s="851"/>
      <c r="AF815" s="787"/>
      <c r="AG815" s="355">
        <v>3680</v>
      </c>
      <c r="AL815" s="123"/>
    </row>
    <row r="816" spans="1:38" x14ac:dyDescent="0.4">
      <c r="A816" s="65"/>
      <c r="B816" s="356">
        <v>3685</v>
      </c>
      <c r="C816" s="851"/>
      <c r="D816" s="787"/>
      <c r="E816" s="829"/>
      <c r="F816" s="852"/>
      <c r="G816" s="851"/>
      <c r="H816" s="787"/>
      <c r="I816" s="829"/>
      <c r="J816" s="852"/>
      <c r="K816" s="851"/>
      <c r="L816" s="787"/>
      <c r="M816" s="829"/>
      <c r="N816" s="852"/>
      <c r="O816" s="851"/>
      <c r="P816" s="787"/>
      <c r="Q816" s="829"/>
      <c r="R816" s="852"/>
      <c r="S816" s="851"/>
      <c r="T816" s="787"/>
      <c r="U816" s="829"/>
      <c r="V816" s="852"/>
      <c r="W816" s="851"/>
      <c r="X816" s="787"/>
      <c r="Y816" s="829"/>
      <c r="Z816" s="852"/>
      <c r="AA816" s="851"/>
      <c r="AB816" s="787"/>
      <c r="AC816" s="829"/>
      <c r="AD816" s="852"/>
      <c r="AE816" s="851"/>
      <c r="AF816" s="787"/>
      <c r="AG816" s="355">
        <v>3685</v>
      </c>
      <c r="AL816" s="123"/>
    </row>
    <row r="817" spans="1:38" x14ac:dyDescent="0.4">
      <c r="A817" s="65"/>
      <c r="B817" s="356">
        <v>3690</v>
      </c>
      <c r="C817" s="851"/>
      <c r="D817" s="787"/>
      <c r="E817" s="829"/>
      <c r="F817" s="852"/>
      <c r="G817" s="851"/>
      <c r="H817" s="787"/>
      <c r="I817" s="829"/>
      <c r="J817" s="852"/>
      <c r="K817" s="851"/>
      <c r="L817" s="787"/>
      <c r="M817" s="829"/>
      <c r="N817" s="852"/>
      <c r="O817" s="851"/>
      <c r="P817" s="787"/>
      <c r="Q817" s="829"/>
      <c r="R817" s="852"/>
      <c r="S817" s="851"/>
      <c r="T817" s="787"/>
      <c r="U817" s="829"/>
      <c r="V817" s="852"/>
      <c r="W817" s="851"/>
      <c r="X817" s="787"/>
      <c r="Y817" s="829"/>
      <c r="Z817" s="852"/>
      <c r="AA817" s="851"/>
      <c r="AB817" s="787"/>
      <c r="AC817" s="829"/>
      <c r="AD817" s="852"/>
      <c r="AE817" s="851"/>
      <c r="AF817" s="787"/>
      <c r="AG817" s="355">
        <v>3690</v>
      </c>
      <c r="AL817" s="123"/>
    </row>
    <row r="818" spans="1:38" x14ac:dyDescent="0.4">
      <c r="A818" s="65"/>
      <c r="B818" s="356">
        <v>3695</v>
      </c>
      <c r="C818" s="851"/>
      <c r="D818" s="787"/>
      <c r="E818" s="829"/>
      <c r="F818" s="852"/>
      <c r="G818" s="851"/>
      <c r="H818" s="787"/>
      <c r="I818" s="829"/>
      <c r="J818" s="852"/>
      <c r="K818" s="851"/>
      <c r="L818" s="787"/>
      <c r="M818" s="829"/>
      <c r="N818" s="852"/>
      <c r="O818" s="851"/>
      <c r="P818" s="787"/>
      <c r="Q818" s="829"/>
      <c r="R818" s="852"/>
      <c r="S818" s="851"/>
      <c r="T818" s="787"/>
      <c r="U818" s="829"/>
      <c r="V818" s="852"/>
      <c r="W818" s="851"/>
      <c r="X818" s="787"/>
      <c r="Y818" s="829"/>
      <c r="Z818" s="852"/>
      <c r="AA818" s="851"/>
      <c r="AB818" s="787"/>
      <c r="AC818" s="829"/>
      <c r="AD818" s="852"/>
      <c r="AE818" s="851"/>
      <c r="AF818" s="787"/>
      <c r="AG818" s="355">
        <v>3695</v>
      </c>
      <c r="AL818" s="123"/>
    </row>
    <row r="819" spans="1:38" x14ac:dyDescent="0.4">
      <c r="A819" s="65"/>
      <c r="B819" s="356">
        <v>3700</v>
      </c>
      <c r="C819" s="851"/>
      <c r="D819" s="787"/>
      <c r="E819" s="829"/>
      <c r="F819" s="852"/>
      <c r="G819" s="851"/>
      <c r="H819" s="787"/>
      <c r="I819" s="829"/>
      <c r="J819" s="852"/>
      <c r="K819" s="851"/>
      <c r="L819" s="787"/>
      <c r="M819" s="829"/>
      <c r="N819" s="852"/>
      <c r="O819" s="851"/>
      <c r="P819" s="787"/>
      <c r="Q819" s="829"/>
      <c r="R819" s="852"/>
      <c r="S819" s="851"/>
      <c r="T819" s="787"/>
      <c r="U819" s="829"/>
      <c r="V819" s="852"/>
      <c r="W819" s="851"/>
      <c r="X819" s="787"/>
      <c r="Y819" s="829"/>
      <c r="Z819" s="852"/>
      <c r="AA819" s="851"/>
      <c r="AB819" s="787"/>
      <c r="AC819" s="829"/>
      <c r="AD819" s="852"/>
      <c r="AE819" s="851"/>
      <c r="AF819" s="787"/>
      <c r="AG819" s="355">
        <v>3700</v>
      </c>
      <c r="AL819" s="123"/>
    </row>
    <row r="820" spans="1:38" x14ac:dyDescent="0.4">
      <c r="A820" s="65"/>
      <c r="B820" s="356">
        <v>3705</v>
      </c>
      <c r="C820" s="851"/>
      <c r="D820" s="787"/>
      <c r="E820" s="829"/>
      <c r="F820" s="852"/>
      <c r="G820" s="851"/>
      <c r="H820" s="787"/>
      <c r="I820" s="829"/>
      <c r="J820" s="852"/>
      <c r="K820" s="851"/>
      <c r="L820" s="787"/>
      <c r="M820" s="829"/>
      <c r="N820" s="852"/>
      <c r="O820" s="851"/>
      <c r="P820" s="787"/>
      <c r="Q820" s="829"/>
      <c r="R820" s="852"/>
      <c r="S820" s="851"/>
      <c r="T820" s="787"/>
      <c r="U820" s="829"/>
      <c r="V820" s="852"/>
      <c r="W820" s="851"/>
      <c r="X820" s="787"/>
      <c r="Y820" s="829"/>
      <c r="Z820" s="852"/>
      <c r="AA820" s="851"/>
      <c r="AB820" s="787"/>
      <c r="AC820" s="829"/>
      <c r="AD820" s="852"/>
      <c r="AE820" s="851"/>
      <c r="AF820" s="787"/>
      <c r="AG820" s="355">
        <v>3705</v>
      </c>
      <c r="AL820" s="123"/>
    </row>
    <row r="821" spans="1:38" x14ac:dyDescent="0.4">
      <c r="A821" s="65"/>
      <c r="B821" s="356">
        <v>3710</v>
      </c>
      <c r="C821" s="851"/>
      <c r="D821" s="787"/>
      <c r="E821" s="829"/>
      <c r="F821" s="852"/>
      <c r="G821" s="851"/>
      <c r="H821" s="787"/>
      <c r="I821" s="829"/>
      <c r="J821" s="852"/>
      <c r="K821" s="851"/>
      <c r="L821" s="787"/>
      <c r="M821" s="829"/>
      <c r="N821" s="852"/>
      <c r="O821" s="851"/>
      <c r="P821" s="787"/>
      <c r="Q821" s="829"/>
      <c r="R821" s="852"/>
      <c r="S821" s="851"/>
      <c r="T821" s="787"/>
      <c r="U821" s="829"/>
      <c r="V821" s="852"/>
      <c r="W821" s="851"/>
      <c r="X821" s="787"/>
      <c r="Y821" s="829"/>
      <c r="Z821" s="852"/>
      <c r="AA821" s="851"/>
      <c r="AB821" s="787"/>
      <c r="AC821" s="829"/>
      <c r="AD821" s="852"/>
      <c r="AE821" s="851"/>
      <c r="AF821" s="787"/>
      <c r="AG821" s="355">
        <v>3710</v>
      </c>
      <c r="AL821" s="123"/>
    </row>
    <row r="822" spans="1:38" x14ac:dyDescent="0.4">
      <c r="A822" s="65"/>
      <c r="B822" s="356">
        <v>3715</v>
      </c>
      <c r="C822" s="851"/>
      <c r="D822" s="787"/>
      <c r="E822" s="829"/>
      <c r="F822" s="852"/>
      <c r="G822" s="851"/>
      <c r="H822" s="787"/>
      <c r="I822" s="829"/>
      <c r="J822" s="852"/>
      <c r="K822" s="851"/>
      <c r="L822" s="787"/>
      <c r="M822" s="829"/>
      <c r="N822" s="852"/>
      <c r="O822" s="851"/>
      <c r="P822" s="787"/>
      <c r="Q822" s="829"/>
      <c r="R822" s="852"/>
      <c r="S822" s="851"/>
      <c r="T822" s="787"/>
      <c r="U822" s="829"/>
      <c r="V822" s="852"/>
      <c r="W822" s="851"/>
      <c r="X822" s="787"/>
      <c r="Y822" s="829"/>
      <c r="Z822" s="852"/>
      <c r="AA822" s="851"/>
      <c r="AB822" s="787"/>
      <c r="AC822" s="829"/>
      <c r="AD822" s="852"/>
      <c r="AE822" s="851"/>
      <c r="AF822" s="787"/>
      <c r="AG822" s="355">
        <v>3715</v>
      </c>
      <c r="AL822" s="123"/>
    </row>
    <row r="823" spans="1:38" x14ac:dyDescent="0.4">
      <c r="A823" s="65"/>
      <c r="B823" s="356">
        <v>3720</v>
      </c>
      <c r="C823" s="851"/>
      <c r="D823" s="787"/>
      <c r="E823" s="829"/>
      <c r="F823" s="852"/>
      <c r="G823" s="851"/>
      <c r="H823" s="787"/>
      <c r="I823" s="829"/>
      <c r="J823" s="852"/>
      <c r="K823" s="851"/>
      <c r="L823" s="787"/>
      <c r="M823" s="829"/>
      <c r="N823" s="852"/>
      <c r="O823" s="851"/>
      <c r="P823" s="787"/>
      <c r="Q823" s="829"/>
      <c r="R823" s="852"/>
      <c r="S823" s="851"/>
      <c r="T823" s="787"/>
      <c r="U823" s="829"/>
      <c r="V823" s="852"/>
      <c r="W823" s="851"/>
      <c r="X823" s="787"/>
      <c r="Y823" s="829"/>
      <c r="Z823" s="852"/>
      <c r="AA823" s="851"/>
      <c r="AB823" s="787"/>
      <c r="AC823" s="829"/>
      <c r="AD823" s="852"/>
      <c r="AE823" s="851"/>
      <c r="AF823" s="787"/>
      <c r="AG823" s="355">
        <v>3720</v>
      </c>
      <c r="AL823" s="123"/>
    </row>
    <row r="824" spans="1:38" x14ac:dyDescent="0.4">
      <c r="A824" s="65"/>
      <c r="B824" s="356">
        <v>3725</v>
      </c>
      <c r="C824" s="851"/>
      <c r="D824" s="787"/>
      <c r="E824" s="829"/>
      <c r="F824" s="852"/>
      <c r="G824" s="851"/>
      <c r="H824" s="787"/>
      <c r="I824" s="829"/>
      <c r="J824" s="852"/>
      <c r="K824" s="851"/>
      <c r="L824" s="787"/>
      <c r="M824" s="829"/>
      <c r="N824" s="852"/>
      <c r="O824" s="851"/>
      <c r="P824" s="787"/>
      <c r="Q824" s="829"/>
      <c r="R824" s="852"/>
      <c r="S824" s="851"/>
      <c r="T824" s="787"/>
      <c r="U824" s="829"/>
      <c r="V824" s="852"/>
      <c r="W824" s="851"/>
      <c r="X824" s="787"/>
      <c r="Y824" s="829"/>
      <c r="Z824" s="852"/>
      <c r="AA824" s="851"/>
      <c r="AB824" s="787"/>
      <c r="AC824" s="829"/>
      <c r="AD824" s="852"/>
      <c r="AE824" s="851"/>
      <c r="AF824" s="787"/>
      <c r="AG824" s="355">
        <v>3725</v>
      </c>
      <c r="AL824" s="123"/>
    </row>
    <row r="825" spans="1:38" x14ac:dyDescent="0.4">
      <c r="A825" s="65"/>
      <c r="B825" s="356">
        <v>3730</v>
      </c>
      <c r="C825" s="851"/>
      <c r="D825" s="787"/>
      <c r="E825" s="829"/>
      <c r="F825" s="852"/>
      <c r="G825" s="851"/>
      <c r="H825" s="787"/>
      <c r="I825" s="829"/>
      <c r="J825" s="852"/>
      <c r="K825" s="851"/>
      <c r="L825" s="787"/>
      <c r="M825" s="829"/>
      <c r="N825" s="852"/>
      <c r="O825" s="851"/>
      <c r="P825" s="787"/>
      <c r="Q825" s="829"/>
      <c r="R825" s="852"/>
      <c r="S825" s="851"/>
      <c r="T825" s="787"/>
      <c r="U825" s="829"/>
      <c r="V825" s="852"/>
      <c r="W825" s="851"/>
      <c r="X825" s="787"/>
      <c r="Y825" s="829"/>
      <c r="Z825" s="852"/>
      <c r="AA825" s="851"/>
      <c r="AB825" s="787"/>
      <c r="AC825" s="829"/>
      <c r="AD825" s="852"/>
      <c r="AE825" s="851"/>
      <c r="AF825" s="787"/>
      <c r="AG825" s="355">
        <v>3730</v>
      </c>
      <c r="AL825" s="123"/>
    </row>
    <row r="826" spans="1:38" x14ac:dyDescent="0.4">
      <c r="A826" s="65"/>
      <c r="B826" s="356">
        <v>3735</v>
      </c>
      <c r="C826" s="851"/>
      <c r="D826" s="787"/>
      <c r="E826" s="829"/>
      <c r="F826" s="852"/>
      <c r="G826" s="851"/>
      <c r="H826" s="787"/>
      <c r="I826" s="829"/>
      <c r="J826" s="852"/>
      <c r="K826" s="851"/>
      <c r="L826" s="787"/>
      <c r="M826" s="829"/>
      <c r="N826" s="852"/>
      <c r="O826" s="851"/>
      <c r="P826" s="787"/>
      <c r="Q826" s="829"/>
      <c r="R826" s="852"/>
      <c r="S826" s="851"/>
      <c r="T826" s="787"/>
      <c r="U826" s="829"/>
      <c r="V826" s="852"/>
      <c r="W826" s="851"/>
      <c r="X826" s="787"/>
      <c r="Y826" s="829"/>
      <c r="Z826" s="852"/>
      <c r="AA826" s="851"/>
      <c r="AB826" s="787"/>
      <c r="AC826" s="829"/>
      <c r="AD826" s="852"/>
      <c r="AE826" s="851"/>
      <c r="AF826" s="787"/>
      <c r="AG826" s="355">
        <v>3735</v>
      </c>
      <c r="AL826" s="123"/>
    </row>
    <row r="827" spans="1:38" x14ac:dyDescent="0.4">
      <c r="A827" s="65"/>
      <c r="B827" s="356">
        <v>3740</v>
      </c>
      <c r="C827" s="851"/>
      <c r="D827" s="787"/>
      <c r="E827" s="829"/>
      <c r="F827" s="852"/>
      <c r="G827" s="851"/>
      <c r="H827" s="787"/>
      <c r="I827" s="829"/>
      <c r="J827" s="852"/>
      <c r="K827" s="851"/>
      <c r="L827" s="787"/>
      <c r="M827" s="829"/>
      <c r="N827" s="852"/>
      <c r="O827" s="851"/>
      <c r="P827" s="787"/>
      <c r="Q827" s="829"/>
      <c r="R827" s="852"/>
      <c r="S827" s="851"/>
      <c r="T827" s="787"/>
      <c r="U827" s="829"/>
      <c r="V827" s="852"/>
      <c r="W827" s="851"/>
      <c r="X827" s="787"/>
      <c r="Y827" s="829"/>
      <c r="Z827" s="852"/>
      <c r="AA827" s="851"/>
      <c r="AB827" s="787"/>
      <c r="AC827" s="829"/>
      <c r="AD827" s="852"/>
      <c r="AE827" s="851"/>
      <c r="AF827" s="787"/>
      <c r="AG827" s="355">
        <v>3740</v>
      </c>
      <c r="AL827" s="123"/>
    </row>
    <row r="828" spans="1:38" x14ac:dyDescent="0.4">
      <c r="A828" s="65"/>
      <c r="B828" s="356">
        <v>3745</v>
      </c>
      <c r="C828" s="851"/>
      <c r="D828" s="787"/>
      <c r="E828" s="829"/>
      <c r="F828" s="852"/>
      <c r="G828" s="851"/>
      <c r="H828" s="787"/>
      <c r="I828" s="829"/>
      <c r="J828" s="852"/>
      <c r="K828" s="851"/>
      <c r="L828" s="787"/>
      <c r="M828" s="829"/>
      <c r="N828" s="852"/>
      <c r="O828" s="851"/>
      <c r="P828" s="787"/>
      <c r="Q828" s="829"/>
      <c r="R828" s="852"/>
      <c r="S828" s="851"/>
      <c r="T828" s="787"/>
      <c r="U828" s="829"/>
      <c r="V828" s="852"/>
      <c r="W828" s="851"/>
      <c r="X828" s="787"/>
      <c r="Y828" s="829"/>
      <c r="Z828" s="852"/>
      <c r="AA828" s="851"/>
      <c r="AB828" s="787"/>
      <c r="AC828" s="829"/>
      <c r="AD828" s="852"/>
      <c r="AE828" s="851"/>
      <c r="AF828" s="787"/>
      <c r="AG828" s="355">
        <v>3745</v>
      </c>
      <c r="AL828" s="123"/>
    </row>
    <row r="829" spans="1:38" x14ac:dyDescent="0.4">
      <c r="A829" s="65"/>
      <c r="B829" s="356">
        <v>3750</v>
      </c>
      <c r="C829" s="851"/>
      <c r="D829" s="787"/>
      <c r="E829" s="829"/>
      <c r="F829" s="852"/>
      <c r="G829" s="851"/>
      <c r="H829" s="787"/>
      <c r="I829" s="829"/>
      <c r="J829" s="852"/>
      <c r="K829" s="851"/>
      <c r="L829" s="787"/>
      <c r="M829" s="829"/>
      <c r="N829" s="852"/>
      <c r="O829" s="851"/>
      <c r="P829" s="787"/>
      <c r="Q829" s="829"/>
      <c r="R829" s="852"/>
      <c r="S829" s="851"/>
      <c r="T829" s="787"/>
      <c r="U829" s="829"/>
      <c r="V829" s="852"/>
      <c r="W829" s="851"/>
      <c r="X829" s="787"/>
      <c r="Y829" s="829"/>
      <c r="Z829" s="852"/>
      <c r="AA829" s="851"/>
      <c r="AB829" s="787"/>
      <c r="AC829" s="829"/>
      <c r="AD829" s="852"/>
      <c r="AE829" s="851"/>
      <c r="AF829" s="787"/>
      <c r="AG829" s="355">
        <v>3750</v>
      </c>
      <c r="AL829" s="123"/>
    </row>
    <row r="830" spans="1:38" x14ac:dyDescent="0.4">
      <c r="A830" s="65"/>
      <c r="B830" s="356">
        <v>3755</v>
      </c>
      <c r="C830" s="851"/>
      <c r="D830" s="787"/>
      <c r="E830" s="829"/>
      <c r="F830" s="852"/>
      <c r="G830" s="851"/>
      <c r="H830" s="787"/>
      <c r="I830" s="829"/>
      <c r="J830" s="852"/>
      <c r="K830" s="851"/>
      <c r="L830" s="787"/>
      <c r="M830" s="829"/>
      <c r="N830" s="852"/>
      <c r="O830" s="851"/>
      <c r="P830" s="787"/>
      <c r="Q830" s="829"/>
      <c r="R830" s="852"/>
      <c r="S830" s="851"/>
      <c r="T830" s="787"/>
      <c r="U830" s="829"/>
      <c r="V830" s="852"/>
      <c r="W830" s="851"/>
      <c r="X830" s="787"/>
      <c r="Y830" s="829"/>
      <c r="Z830" s="852"/>
      <c r="AA830" s="851"/>
      <c r="AB830" s="787"/>
      <c r="AC830" s="829"/>
      <c r="AD830" s="852"/>
      <c r="AE830" s="851"/>
      <c r="AF830" s="787"/>
      <c r="AG830" s="355">
        <v>3755</v>
      </c>
      <c r="AL830" s="123"/>
    </row>
    <row r="831" spans="1:38" x14ac:dyDescent="0.4">
      <c r="A831" s="65"/>
      <c r="B831" s="356">
        <v>3760</v>
      </c>
      <c r="C831" s="851"/>
      <c r="D831" s="787"/>
      <c r="E831" s="829"/>
      <c r="F831" s="852"/>
      <c r="G831" s="851"/>
      <c r="H831" s="787"/>
      <c r="I831" s="829"/>
      <c r="J831" s="852"/>
      <c r="K831" s="851"/>
      <c r="L831" s="787"/>
      <c r="M831" s="829"/>
      <c r="N831" s="852"/>
      <c r="O831" s="851"/>
      <c r="P831" s="787"/>
      <c r="Q831" s="829"/>
      <c r="R831" s="852"/>
      <c r="S831" s="851"/>
      <c r="T831" s="787"/>
      <c r="U831" s="829"/>
      <c r="V831" s="852"/>
      <c r="W831" s="851"/>
      <c r="X831" s="787"/>
      <c r="Y831" s="829"/>
      <c r="Z831" s="852"/>
      <c r="AA831" s="851"/>
      <c r="AB831" s="787"/>
      <c r="AC831" s="829"/>
      <c r="AD831" s="852"/>
      <c r="AE831" s="851"/>
      <c r="AF831" s="787"/>
      <c r="AG831" s="355">
        <v>3760</v>
      </c>
      <c r="AL831" s="123"/>
    </row>
    <row r="832" spans="1:38" x14ac:dyDescent="0.4">
      <c r="A832" s="65"/>
      <c r="B832" s="356">
        <v>3765</v>
      </c>
      <c r="C832" s="851"/>
      <c r="D832" s="787"/>
      <c r="E832" s="829"/>
      <c r="F832" s="852"/>
      <c r="G832" s="851"/>
      <c r="H832" s="787"/>
      <c r="I832" s="829"/>
      <c r="J832" s="852"/>
      <c r="K832" s="851"/>
      <c r="L832" s="787"/>
      <c r="M832" s="829"/>
      <c r="N832" s="852"/>
      <c r="O832" s="851"/>
      <c r="P832" s="787"/>
      <c r="Q832" s="829"/>
      <c r="R832" s="852"/>
      <c r="S832" s="851"/>
      <c r="T832" s="787"/>
      <c r="U832" s="829"/>
      <c r="V832" s="852"/>
      <c r="W832" s="851"/>
      <c r="X832" s="787"/>
      <c r="Y832" s="829"/>
      <c r="Z832" s="852"/>
      <c r="AA832" s="851"/>
      <c r="AB832" s="787"/>
      <c r="AC832" s="829"/>
      <c r="AD832" s="852"/>
      <c r="AE832" s="851"/>
      <c r="AF832" s="787"/>
      <c r="AG832" s="355">
        <v>3765</v>
      </c>
      <c r="AL832" s="123"/>
    </row>
    <row r="833" spans="1:38" x14ac:dyDescent="0.4">
      <c r="A833" s="65"/>
      <c r="B833" s="356">
        <v>3770</v>
      </c>
      <c r="C833" s="851"/>
      <c r="D833" s="787"/>
      <c r="E833" s="829"/>
      <c r="F833" s="852"/>
      <c r="G833" s="851"/>
      <c r="H833" s="787"/>
      <c r="I833" s="829"/>
      <c r="J833" s="852"/>
      <c r="K833" s="851"/>
      <c r="L833" s="787"/>
      <c r="M833" s="829"/>
      <c r="N833" s="852"/>
      <c r="O833" s="851"/>
      <c r="P833" s="787"/>
      <c r="Q833" s="829"/>
      <c r="R833" s="852"/>
      <c r="S833" s="851"/>
      <c r="T833" s="787"/>
      <c r="U833" s="829"/>
      <c r="V833" s="852"/>
      <c r="W833" s="851"/>
      <c r="X833" s="787"/>
      <c r="Y833" s="829"/>
      <c r="Z833" s="852"/>
      <c r="AA833" s="851"/>
      <c r="AB833" s="787"/>
      <c r="AC833" s="829"/>
      <c r="AD833" s="852"/>
      <c r="AE833" s="851"/>
      <c r="AF833" s="787"/>
      <c r="AG833" s="355">
        <v>3770</v>
      </c>
      <c r="AL833" s="123"/>
    </row>
    <row r="834" spans="1:38" x14ac:dyDescent="0.4">
      <c r="A834" s="65"/>
      <c r="B834" s="356">
        <v>3775</v>
      </c>
      <c r="C834" s="851"/>
      <c r="D834" s="787"/>
      <c r="E834" s="829"/>
      <c r="F834" s="852"/>
      <c r="G834" s="851"/>
      <c r="H834" s="787"/>
      <c r="I834" s="829"/>
      <c r="J834" s="852"/>
      <c r="K834" s="851"/>
      <c r="L834" s="787"/>
      <c r="M834" s="829"/>
      <c r="N834" s="852"/>
      <c r="O834" s="851"/>
      <c r="P834" s="787"/>
      <c r="Q834" s="829"/>
      <c r="R834" s="852"/>
      <c r="S834" s="851"/>
      <c r="T834" s="787"/>
      <c r="U834" s="829"/>
      <c r="V834" s="852"/>
      <c r="W834" s="851"/>
      <c r="X834" s="787"/>
      <c r="Y834" s="829"/>
      <c r="Z834" s="852"/>
      <c r="AA834" s="851"/>
      <c r="AB834" s="787"/>
      <c r="AC834" s="829"/>
      <c r="AD834" s="852"/>
      <c r="AE834" s="851"/>
      <c r="AF834" s="787"/>
      <c r="AG834" s="355">
        <v>3775</v>
      </c>
      <c r="AL834" s="123"/>
    </row>
    <row r="835" spans="1:38" x14ac:dyDescent="0.4">
      <c r="A835" s="65"/>
      <c r="B835" s="356">
        <v>3780</v>
      </c>
      <c r="C835" s="851"/>
      <c r="D835" s="787"/>
      <c r="E835" s="829"/>
      <c r="F835" s="852"/>
      <c r="G835" s="851"/>
      <c r="H835" s="787"/>
      <c r="I835" s="829"/>
      <c r="J835" s="852"/>
      <c r="K835" s="851"/>
      <c r="L835" s="787"/>
      <c r="M835" s="829"/>
      <c r="N835" s="852"/>
      <c r="O835" s="851"/>
      <c r="P835" s="787"/>
      <c r="Q835" s="829"/>
      <c r="R835" s="852"/>
      <c r="S835" s="851"/>
      <c r="T835" s="787"/>
      <c r="U835" s="829"/>
      <c r="V835" s="852"/>
      <c r="W835" s="851"/>
      <c r="X835" s="787"/>
      <c r="Y835" s="829"/>
      <c r="Z835" s="852"/>
      <c r="AA835" s="851"/>
      <c r="AB835" s="787"/>
      <c r="AC835" s="829"/>
      <c r="AD835" s="852"/>
      <c r="AE835" s="851"/>
      <c r="AF835" s="787"/>
      <c r="AG835" s="355">
        <v>3780</v>
      </c>
      <c r="AL835" s="123"/>
    </row>
    <row r="836" spans="1:38" x14ac:dyDescent="0.4">
      <c r="A836" s="65"/>
      <c r="B836" s="356">
        <v>3785</v>
      </c>
      <c r="C836" s="851"/>
      <c r="D836" s="787"/>
      <c r="E836" s="829"/>
      <c r="F836" s="852"/>
      <c r="G836" s="851"/>
      <c r="H836" s="787"/>
      <c r="I836" s="829"/>
      <c r="J836" s="852"/>
      <c r="K836" s="851"/>
      <c r="L836" s="787"/>
      <c r="M836" s="829"/>
      <c r="N836" s="852"/>
      <c r="O836" s="851"/>
      <c r="P836" s="787"/>
      <c r="Q836" s="829"/>
      <c r="R836" s="852"/>
      <c r="S836" s="851"/>
      <c r="T836" s="787"/>
      <c r="U836" s="829"/>
      <c r="V836" s="852"/>
      <c r="W836" s="851"/>
      <c r="X836" s="787"/>
      <c r="Y836" s="829"/>
      <c r="Z836" s="852"/>
      <c r="AA836" s="851"/>
      <c r="AB836" s="787"/>
      <c r="AC836" s="829"/>
      <c r="AD836" s="852"/>
      <c r="AE836" s="851"/>
      <c r="AF836" s="787"/>
      <c r="AG836" s="355">
        <v>3785</v>
      </c>
      <c r="AL836" s="123"/>
    </row>
    <row r="837" spans="1:38" x14ac:dyDescent="0.4">
      <c r="A837" s="65"/>
      <c r="B837" s="356">
        <v>3790</v>
      </c>
      <c r="C837" s="851"/>
      <c r="D837" s="787"/>
      <c r="E837" s="829"/>
      <c r="F837" s="852"/>
      <c r="G837" s="851"/>
      <c r="H837" s="787"/>
      <c r="I837" s="829"/>
      <c r="J837" s="852"/>
      <c r="K837" s="851"/>
      <c r="L837" s="787"/>
      <c r="M837" s="829"/>
      <c r="N837" s="852"/>
      <c r="O837" s="851"/>
      <c r="P837" s="787"/>
      <c r="Q837" s="829"/>
      <c r="R837" s="852"/>
      <c r="S837" s="851"/>
      <c r="T837" s="787"/>
      <c r="U837" s="829"/>
      <c r="V837" s="852"/>
      <c r="W837" s="851"/>
      <c r="X837" s="787"/>
      <c r="Y837" s="829"/>
      <c r="Z837" s="852"/>
      <c r="AA837" s="851"/>
      <c r="AB837" s="787"/>
      <c r="AC837" s="829"/>
      <c r="AD837" s="852"/>
      <c r="AE837" s="851"/>
      <c r="AF837" s="787"/>
      <c r="AG837" s="355">
        <v>3790</v>
      </c>
      <c r="AL837" s="123"/>
    </row>
    <row r="838" spans="1:38" x14ac:dyDescent="0.4">
      <c r="A838" s="65"/>
      <c r="B838" s="356">
        <v>3795</v>
      </c>
      <c r="C838" s="851"/>
      <c r="D838" s="787"/>
      <c r="E838" s="829"/>
      <c r="F838" s="852"/>
      <c r="G838" s="851"/>
      <c r="H838" s="787"/>
      <c r="I838" s="829"/>
      <c r="J838" s="852"/>
      <c r="K838" s="851"/>
      <c r="L838" s="787"/>
      <c r="M838" s="829"/>
      <c r="N838" s="852"/>
      <c r="O838" s="851"/>
      <c r="P838" s="787"/>
      <c r="Q838" s="829"/>
      <c r="R838" s="852"/>
      <c r="S838" s="851"/>
      <c r="T838" s="787"/>
      <c r="U838" s="829"/>
      <c r="V838" s="852"/>
      <c r="W838" s="851"/>
      <c r="X838" s="787"/>
      <c r="Y838" s="829"/>
      <c r="Z838" s="852"/>
      <c r="AA838" s="851"/>
      <c r="AB838" s="787"/>
      <c r="AC838" s="829"/>
      <c r="AD838" s="852"/>
      <c r="AE838" s="851"/>
      <c r="AF838" s="787"/>
      <c r="AG838" s="355">
        <v>3795</v>
      </c>
      <c r="AL838" s="123"/>
    </row>
    <row r="839" spans="1:38" x14ac:dyDescent="0.4">
      <c r="A839" s="65"/>
      <c r="B839" s="356">
        <v>3800</v>
      </c>
      <c r="C839" s="851"/>
      <c r="D839" s="787"/>
      <c r="E839" s="829"/>
      <c r="F839" s="852"/>
      <c r="G839" s="851"/>
      <c r="H839" s="787"/>
      <c r="I839" s="829"/>
      <c r="J839" s="852"/>
      <c r="K839" s="851"/>
      <c r="L839" s="787"/>
      <c r="M839" s="829"/>
      <c r="N839" s="852"/>
      <c r="O839" s="851"/>
      <c r="P839" s="787"/>
      <c r="Q839" s="829"/>
      <c r="R839" s="852"/>
      <c r="S839" s="851"/>
      <c r="T839" s="787"/>
      <c r="U839" s="829"/>
      <c r="V839" s="852"/>
      <c r="W839" s="851"/>
      <c r="X839" s="787"/>
      <c r="Y839" s="829"/>
      <c r="Z839" s="852"/>
      <c r="AA839" s="851"/>
      <c r="AB839" s="787"/>
      <c r="AC839" s="829"/>
      <c r="AD839" s="852"/>
      <c r="AE839" s="851"/>
      <c r="AF839" s="787"/>
      <c r="AG839" s="355">
        <v>3800</v>
      </c>
      <c r="AL839" s="123"/>
    </row>
    <row r="840" spans="1:38" x14ac:dyDescent="0.4">
      <c r="A840" s="65"/>
      <c r="B840" s="356">
        <v>3805</v>
      </c>
      <c r="C840" s="851"/>
      <c r="D840" s="787"/>
      <c r="E840" s="829"/>
      <c r="F840" s="852"/>
      <c r="G840" s="851"/>
      <c r="H840" s="787"/>
      <c r="I840" s="829"/>
      <c r="J840" s="852"/>
      <c r="K840" s="851"/>
      <c r="L840" s="787"/>
      <c r="M840" s="829"/>
      <c r="N840" s="852"/>
      <c r="O840" s="851"/>
      <c r="P840" s="787"/>
      <c r="Q840" s="829"/>
      <c r="R840" s="852"/>
      <c r="S840" s="851"/>
      <c r="T840" s="787"/>
      <c r="U840" s="829"/>
      <c r="V840" s="852"/>
      <c r="W840" s="851"/>
      <c r="X840" s="787"/>
      <c r="Y840" s="829"/>
      <c r="Z840" s="852"/>
      <c r="AA840" s="851"/>
      <c r="AB840" s="787"/>
      <c r="AC840" s="829"/>
      <c r="AD840" s="852"/>
      <c r="AE840" s="851"/>
      <c r="AF840" s="787"/>
      <c r="AG840" s="355">
        <v>3805</v>
      </c>
      <c r="AL840" s="123"/>
    </row>
    <row r="841" spans="1:38" x14ac:dyDescent="0.4">
      <c r="A841" s="65"/>
      <c r="B841" s="356">
        <v>3810</v>
      </c>
      <c r="C841" s="851"/>
      <c r="D841" s="787"/>
      <c r="E841" s="829"/>
      <c r="F841" s="852"/>
      <c r="G841" s="851"/>
      <c r="H841" s="787"/>
      <c r="I841" s="829"/>
      <c r="J841" s="852"/>
      <c r="K841" s="851"/>
      <c r="L841" s="787"/>
      <c r="M841" s="829"/>
      <c r="N841" s="852"/>
      <c r="O841" s="851"/>
      <c r="P841" s="787"/>
      <c r="Q841" s="829"/>
      <c r="R841" s="852"/>
      <c r="S841" s="851"/>
      <c r="T841" s="787"/>
      <c r="U841" s="829"/>
      <c r="V841" s="852"/>
      <c r="W841" s="851"/>
      <c r="X841" s="787"/>
      <c r="Y841" s="829"/>
      <c r="Z841" s="852"/>
      <c r="AA841" s="851"/>
      <c r="AB841" s="787"/>
      <c r="AC841" s="829"/>
      <c r="AD841" s="852"/>
      <c r="AE841" s="851"/>
      <c r="AF841" s="787"/>
      <c r="AG841" s="355">
        <v>3810</v>
      </c>
      <c r="AL841" s="123"/>
    </row>
    <row r="842" spans="1:38" x14ac:dyDescent="0.4">
      <c r="A842" s="65"/>
      <c r="B842" s="356">
        <v>3815</v>
      </c>
      <c r="C842" s="851"/>
      <c r="D842" s="787"/>
      <c r="E842" s="829"/>
      <c r="F842" s="852"/>
      <c r="G842" s="851"/>
      <c r="H842" s="787"/>
      <c r="I842" s="829"/>
      <c r="J842" s="852"/>
      <c r="K842" s="851"/>
      <c r="L842" s="787"/>
      <c r="M842" s="829"/>
      <c r="N842" s="852"/>
      <c r="O842" s="851"/>
      <c r="P842" s="787"/>
      <c r="Q842" s="829"/>
      <c r="R842" s="852"/>
      <c r="S842" s="851"/>
      <c r="T842" s="787"/>
      <c r="U842" s="829"/>
      <c r="V842" s="852"/>
      <c r="W842" s="851"/>
      <c r="X842" s="787"/>
      <c r="Y842" s="829"/>
      <c r="Z842" s="852"/>
      <c r="AA842" s="851"/>
      <c r="AB842" s="787"/>
      <c r="AC842" s="829"/>
      <c r="AD842" s="852"/>
      <c r="AE842" s="851"/>
      <c r="AF842" s="787"/>
      <c r="AG842" s="355">
        <v>3815</v>
      </c>
      <c r="AL842" s="123"/>
    </row>
    <row r="843" spans="1:38" x14ac:dyDescent="0.4">
      <c r="A843" s="65"/>
      <c r="B843" s="356">
        <v>3820</v>
      </c>
      <c r="C843" s="851"/>
      <c r="D843" s="787"/>
      <c r="E843" s="829"/>
      <c r="F843" s="852"/>
      <c r="G843" s="851"/>
      <c r="H843" s="787"/>
      <c r="I843" s="829"/>
      <c r="J843" s="852"/>
      <c r="K843" s="851"/>
      <c r="L843" s="787"/>
      <c r="M843" s="829"/>
      <c r="N843" s="852"/>
      <c r="O843" s="851"/>
      <c r="P843" s="787"/>
      <c r="Q843" s="829"/>
      <c r="R843" s="852"/>
      <c r="S843" s="851"/>
      <c r="T843" s="787"/>
      <c r="U843" s="829"/>
      <c r="V843" s="852"/>
      <c r="W843" s="851"/>
      <c r="X843" s="787"/>
      <c r="Y843" s="829"/>
      <c r="Z843" s="852"/>
      <c r="AA843" s="851"/>
      <c r="AB843" s="787"/>
      <c r="AC843" s="829"/>
      <c r="AD843" s="852"/>
      <c r="AE843" s="851"/>
      <c r="AF843" s="787"/>
      <c r="AG843" s="355">
        <v>3820</v>
      </c>
      <c r="AL843" s="123"/>
    </row>
    <row r="844" spans="1:38" x14ac:dyDescent="0.4">
      <c r="A844" s="65"/>
      <c r="B844" s="356">
        <v>3825</v>
      </c>
      <c r="C844" s="851"/>
      <c r="D844" s="787"/>
      <c r="E844" s="829"/>
      <c r="F844" s="852"/>
      <c r="G844" s="851"/>
      <c r="H844" s="787"/>
      <c r="I844" s="829"/>
      <c r="J844" s="852"/>
      <c r="K844" s="851"/>
      <c r="L844" s="787"/>
      <c r="M844" s="829"/>
      <c r="N844" s="852"/>
      <c r="O844" s="851"/>
      <c r="P844" s="787"/>
      <c r="Q844" s="829"/>
      <c r="R844" s="852"/>
      <c r="S844" s="851"/>
      <c r="T844" s="787"/>
      <c r="U844" s="829"/>
      <c r="V844" s="852"/>
      <c r="W844" s="851"/>
      <c r="X844" s="787"/>
      <c r="Y844" s="829"/>
      <c r="Z844" s="852"/>
      <c r="AA844" s="851"/>
      <c r="AB844" s="787"/>
      <c r="AC844" s="829"/>
      <c r="AD844" s="852"/>
      <c r="AE844" s="851"/>
      <c r="AF844" s="787"/>
      <c r="AG844" s="355">
        <v>3825</v>
      </c>
      <c r="AL844" s="123"/>
    </row>
    <row r="845" spans="1:38" x14ac:dyDescent="0.4">
      <c r="A845" s="65"/>
      <c r="B845" s="356">
        <v>3830</v>
      </c>
      <c r="C845" s="851"/>
      <c r="D845" s="787"/>
      <c r="E845" s="829"/>
      <c r="F845" s="852"/>
      <c r="G845" s="851"/>
      <c r="H845" s="787"/>
      <c r="I845" s="829"/>
      <c r="J845" s="852"/>
      <c r="K845" s="851"/>
      <c r="L845" s="787"/>
      <c r="M845" s="829"/>
      <c r="N845" s="852"/>
      <c r="O845" s="851"/>
      <c r="P845" s="787"/>
      <c r="Q845" s="829"/>
      <c r="R845" s="852"/>
      <c r="S845" s="851"/>
      <c r="T845" s="787"/>
      <c r="U845" s="829"/>
      <c r="V845" s="852"/>
      <c r="W845" s="851"/>
      <c r="X845" s="787"/>
      <c r="Y845" s="829"/>
      <c r="Z845" s="852"/>
      <c r="AA845" s="851"/>
      <c r="AB845" s="787"/>
      <c r="AC845" s="829"/>
      <c r="AD845" s="852"/>
      <c r="AE845" s="851"/>
      <c r="AF845" s="787"/>
      <c r="AG845" s="355">
        <v>3830</v>
      </c>
      <c r="AL845" s="123"/>
    </row>
    <row r="846" spans="1:38" x14ac:dyDescent="0.4">
      <c r="A846" s="65"/>
      <c r="B846" s="356">
        <v>3835</v>
      </c>
      <c r="C846" s="851"/>
      <c r="D846" s="787"/>
      <c r="E846" s="829"/>
      <c r="F846" s="852"/>
      <c r="G846" s="851"/>
      <c r="H846" s="787"/>
      <c r="I846" s="829"/>
      <c r="J846" s="852"/>
      <c r="K846" s="851"/>
      <c r="L846" s="787"/>
      <c r="M846" s="829"/>
      <c r="N846" s="852"/>
      <c r="O846" s="851"/>
      <c r="P846" s="787"/>
      <c r="Q846" s="829"/>
      <c r="R846" s="852"/>
      <c r="S846" s="851"/>
      <c r="T846" s="787"/>
      <c r="U846" s="829"/>
      <c r="V846" s="852"/>
      <c r="W846" s="851"/>
      <c r="X846" s="787"/>
      <c r="Y846" s="829"/>
      <c r="Z846" s="852"/>
      <c r="AA846" s="851"/>
      <c r="AB846" s="787"/>
      <c r="AC846" s="829"/>
      <c r="AD846" s="852"/>
      <c r="AE846" s="851"/>
      <c r="AF846" s="787"/>
      <c r="AG846" s="355">
        <v>3835</v>
      </c>
      <c r="AL846" s="123"/>
    </row>
    <row r="847" spans="1:38" x14ac:dyDescent="0.4">
      <c r="A847" s="65"/>
      <c r="B847" s="356">
        <v>3840</v>
      </c>
      <c r="C847" s="851"/>
      <c r="D847" s="787"/>
      <c r="E847" s="829"/>
      <c r="F847" s="852"/>
      <c r="G847" s="851"/>
      <c r="H847" s="787"/>
      <c r="I847" s="829"/>
      <c r="J847" s="852"/>
      <c r="K847" s="851"/>
      <c r="L847" s="787"/>
      <c r="M847" s="829"/>
      <c r="N847" s="852"/>
      <c r="O847" s="851"/>
      <c r="P847" s="787"/>
      <c r="Q847" s="829"/>
      <c r="R847" s="852"/>
      <c r="S847" s="851"/>
      <c r="T847" s="787"/>
      <c r="U847" s="829"/>
      <c r="V847" s="852"/>
      <c r="W847" s="851"/>
      <c r="X847" s="787"/>
      <c r="Y847" s="829"/>
      <c r="Z847" s="852"/>
      <c r="AA847" s="851"/>
      <c r="AB847" s="787"/>
      <c r="AC847" s="829"/>
      <c r="AD847" s="852"/>
      <c r="AE847" s="851"/>
      <c r="AF847" s="787"/>
      <c r="AG847" s="355">
        <v>3840</v>
      </c>
      <c r="AL847" s="123"/>
    </row>
    <row r="848" spans="1:38" x14ac:dyDescent="0.4">
      <c r="A848" s="65"/>
      <c r="B848" s="356">
        <v>3845</v>
      </c>
      <c r="C848" s="851"/>
      <c r="D848" s="787"/>
      <c r="E848" s="829"/>
      <c r="F848" s="852"/>
      <c r="G848" s="851"/>
      <c r="H848" s="787"/>
      <c r="I848" s="829"/>
      <c r="J848" s="852"/>
      <c r="K848" s="851"/>
      <c r="L848" s="787"/>
      <c r="M848" s="829"/>
      <c r="N848" s="852"/>
      <c r="O848" s="851"/>
      <c r="P848" s="787"/>
      <c r="Q848" s="829"/>
      <c r="R848" s="852"/>
      <c r="S848" s="851"/>
      <c r="T848" s="787"/>
      <c r="U848" s="829"/>
      <c r="V848" s="852"/>
      <c r="W848" s="851"/>
      <c r="X848" s="787"/>
      <c r="Y848" s="829"/>
      <c r="Z848" s="852"/>
      <c r="AA848" s="851"/>
      <c r="AB848" s="787"/>
      <c r="AC848" s="829"/>
      <c r="AD848" s="852"/>
      <c r="AE848" s="851"/>
      <c r="AF848" s="787"/>
      <c r="AG848" s="355">
        <v>3845</v>
      </c>
      <c r="AL848" s="123"/>
    </row>
    <row r="849" spans="1:38" x14ac:dyDescent="0.4">
      <c r="A849" s="65"/>
      <c r="B849" s="356">
        <v>3850</v>
      </c>
      <c r="C849" s="851"/>
      <c r="D849" s="787"/>
      <c r="E849" s="829"/>
      <c r="F849" s="852"/>
      <c r="G849" s="851"/>
      <c r="H849" s="787"/>
      <c r="I849" s="829"/>
      <c r="J849" s="852"/>
      <c r="K849" s="851"/>
      <c r="L849" s="787"/>
      <c r="M849" s="829"/>
      <c r="N849" s="852"/>
      <c r="O849" s="851"/>
      <c r="P849" s="787"/>
      <c r="Q849" s="829"/>
      <c r="R849" s="852"/>
      <c r="S849" s="851"/>
      <c r="T849" s="787"/>
      <c r="U849" s="829"/>
      <c r="V849" s="852"/>
      <c r="W849" s="851"/>
      <c r="X849" s="787"/>
      <c r="Y849" s="829"/>
      <c r="Z849" s="852"/>
      <c r="AA849" s="851"/>
      <c r="AB849" s="787"/>
      <c r="AC849" s="829"/>
      <c r="AD849" s="852"/>
      <c r="AE849" s="851"/>
      <c r="AF849" s="787"/>
      <c r="AG849" s="355">
        <v>3850</v>
      </c>
      <c r="AL849" s="123"/>
    </row>
    <row r="850" spans="1:38" x14ac:dyDescent="0.4">
      <c r="A850" s="65"/>
      <c r="B850" s="356">
        <v>3855</v>
      </c>
      <c r="C850" s="851"/>
      <c r="D850" s="787"/>
      <c r="E850" s="829"/>
      <c r="F850" s="852"/>
      <c r="G850" s="851"/>
      <c r="H850" s="787"/>
      <c r="I850" s="829"/>
      <c r="J850" s="852"/>
      <c r="K850" s="851"/>
      <c r="L850" s="787"/>
      <c r="M850" s="829"/>
      <c r="N850" s="852"/>
      <c r="O850" s="851"/>
      <c r="P850" s="787"/>
      <c r="Q850" s="829"/>
      <c r="R850" s="852"/>
      <c r="S850" s="851"/>
      <c r="T850" s="787"/>
      <c r="U850" s="829"/>
      <c r="V850" s="852"/>
      <c r="W850" s="851"/>
      <c r="X850" s="787"/>
      <c r="Y850" s="829"/>
      <c r="Z850" s="852"/>
      <c r="AA850" s="851"/>
      <c r="AB850" s="787"/>
      <c r="AC850" s="829"/>
      <c r="AD850" s="852"/>
      <c r="AE850" s="851"/>
      <c r="AF850" s="787"/>
      <c r="AG850" s="355">
        <v>3855</v>
      </c>
      <c r="AL850" s="123"/>
    </row>
    <row r="851" spans="1:38" x14ac:dyDescent="0.4">
      <c r="A851" s="65"/>
      <c r="B851" s="356">
        <v>3860</v>
      </c>
      <c r="C851" s="851"/>
      <c r="D851" s="787"/>
      <c r="E851" s="829"/>
      <c r="F851" s="852"/>
      <c r="G851" s="851"/>
      <c r="H851" s="787"/>
      <c r="I851" s="829"/>
      <c r="J851" s="852"/>
      <c r="K851" s="851"/>
      <c r="L851" s="787"/>
      <c r="M851" s="829"/>
      <c r="N851" s="852"/>
      <c r="O851" s="851"/>
      <c r="P851" s="787"/>
      <c r="Q851" s="829"/>
      <c r="R851" s="852"/>
      <c r="S851" s="851"/>
      <c r="T851" s="787"/>
      <c r="U851" s="829"/>
      <c r="V851" s="852"/>
      <c r="W851" s="851"/>
      <c r="X851" s="787"/>
      <c r="Y851" s="829"/>
      <c r="Z851" s="852"/>
      <c r="AA851" s="851"/>
      <c r="AB851" s="787"/>
      <c r="AC851" s="829"/>
      <c r="AD851" s="852"/>
      <c r="AE851" s="851"/>
      <c r="AF851" s="787"/>
      <c r="AG851" s="355">
        <v>3860</v>
      </c>
      <c r="AL851" s="123"/>
    </row>
    <row r="852" spans="1:38" x14ac:dyDescent="0.4">
      <c r="A852" s="65"/>
      <c r="B852" s="356">
        <v>3865</v>
      </c>
      <c r="C852" s="851"/>
      <c r="D852" s="787"/>
      <c r="E852" s="829"/>
      <c r="F852" s="852"/>
      <c r="G852" s="851"/>
      <c r="H852" s="787"/>
      <c r="I852" s="829"/>
      <c r="J852" s="852"/>
      <c r="K852" s="851"/>
      <c r="L852" s="787"/>
      <c r="M852" s="829"/>
      <c r="N852" s="852"/>
      <c r="O852" s="851"/>
      <c r="P852" s="787"/>
      <c r="Q852" s="829"/>
      <c r="R852" s="852"/>
      <c r="S852" s="851"/>
      <c r="T852" s="787"/>
      <c r="U852" s="829"/>
      <c r="V852" s="852"/>
      <c r="W852" s="851"/>
      <c r="X852" s="787"/>
      <c r="Y852" s="829"/>
      <c r="Z852" s="852"/>
      <c r="AA852" s="851"/>
      <c r="AB852" s="787"/>
      <c r="AC852" s="829"/>
      <c r="AD852" s="852"/>
      <c r="AE852" s="851"/>
      <c r="AF852" s="787"/>
      <c r="AG852" s="355">
        <v>3865</v>
      </c>
      <c r="AL852" s="123"/>
    </row>
    <row r="853" spans="1:38" x14ac:dyDescent="0.4">
      <c r="A853" s="65"/>
      <c r="B853" s="356">
        <v>3870</v>
      </c>
      <c r="C853" s="851"/>
      <c r="D853" s="787"/>
      <c r="E853" s="829"/>
      <c r="F853" s="852"/>
      <c r="G853" s="851"/>
      <c r="H853" s="787"/>
      <c r="I853" s="829"/>
      <c r="J853" s="852"/>
      <c r="K853" s="851"/>
      <c r="L853" s="787"/>
      <c r="M853" s="829"/>
      <c r="N853" s="852"/>
      <c r="O853" s="851"/>
      <c r="P853" s="787"/>
      <c r="Q853" s="829"/>
      <c r="R853" s="852"/>
      <c r="S853" s="851"/>
      <c r="T853" s="787"/>
      <c r="U853" s="829"/>
      <c r="V853" s="852"/>
      <c r="W853" s="851"/>
      <c r="X853" s="787"/>
      <c r="Y853" s="829"/>
      <c r="Z853" s="852"/>
      <c r="AA853" s="851"/>
      <c r="AB853" s="787"/>
      <c r="AC853" s="829"/>
      <c r="AD853" s="852"/>
      <c r="AE853" s="851"/>
      <c r="AF853" s="787"/>
      <c r="AG853" s="355">
        <v>3870</v>
      </c>
      <c r="AL853" s="123"/>
    </row>
    <row r="854" spans="1:38" x14ac:dyDescent="0.4">
      <c r="A854" s="65"/>
      <c r="B854" s="356">
        <v>3875</v>
      </c>
      <c r="C854" s="851"/>
      <c r="D854" s="787"/>
      <c r="E854" s="829"/>
      <c r="F854" s="852"/>
      <c r="G854" s="851"/>
      <c r="H854" s="787"/>
      <c r="I854" s="829"/>
      <c r="J854" s="852"/>
      <c r="K854" s="851"/>
      <c r="L854" s="787"/>
      <c r="M854" s="829"/>
      <c r="N854" s="852"/>
      <c r="O854" s="851"/>
      <c r="P854" s="787"/>
      <c r="Q854" s="829"/>
      <c r="R854" s="852"/>
      <c r="S854" s="851"/>
      <c r="T854" s="787"/>
      <c r="U854" s="829"/>
      <c r="V854" s="852"/>
      <c r="W854" s="851"/>
      <c r="X854" s="787"/>
      <c r="Y854" s="829"/>
      <c r="Z854" s="852"/>
      <c r="AA854" s="851"/>
      <c r="AB854" s="787"/>
      <c r="AC854" s="829"/>
      <c r="AD854" s="852"/>
      <c r="AE854" s="851"/>
      <c r="AF854" s="787"/>
      <c r="AG854" s="355">
        <v>3875</v>
      </c>
      <c r="AL854" s="123"/>
    </row>
    <row r="855" spans="1:38" x14ac:dyDescent="0.4">
      <c r="A855" s="65"/>
      <c r="B855" s="356">
        <v>3880</v>
      </c>
      <c r="C855" s="851"/>
      <c r="D855" s="787"/>
      <c r="E855" s="829"/>
      <c r="F855" s="852"/>
      <c r="G855" s="851"/>
      <c r="H855" s="787"/>
      <c r="I855" s="829"/>
      <c r="J855" s="852"/>
      <c r="K855" s="851"/>
      <c r="L855" s="787"/>
      <c r="M855" s="829"/>
      <c r="N855" s="852"/>
      <c r="O855" s="851"/>
      <c r="P855" s="787"/>
      <c r="Q855" s="829"/>
      <c r="R855" s="852"/>
      <c r="S855" s="851"/>
      <c r="T855" s="787"/>
      <c r="U855" s="829"/>
      <c r="V855" s="852"/>
      <c r="W855" s="851"/>
      <c r="X855" s="787"/>
      <c r="Y855" s="829"/>
      <c r="Z855" s="852"/>
      <c r="AA855" s="851"/>
      <c r="AB855" s="787"/>
      <c r="AC855" s="829"/>
      <c r="AD855" s="852"/>
      <c r="AE855" s="851"/>
      <c r="AF855" s="787"/>
      <c r="AG855" s="355">
        <v>3880</v>
      </c>
      <c r="AL855" s="123"/>
    </row>
    <row r="856" spans="1:38" x14ac:dyDescent="0.4">
      <c r="A856" s="65"/>
      <c r="B856" s="356">
        <v>3885</v>
      </c>
      <c r="C856" s="851"/>
      <c r="D856" s="787"/>
      <c r="E856" s="829"/>
      <c r="F856" s="852"/>
      <c r="G856" s="851"/>
      <c r="H856" s="787"/>
      <c r="I856" s="829"/>
      <c r="J856" s="852"/>
      <c r="K856" s="851"/>
      <c r="L856" s="787"/>
      <c r="M856" s="829"/>
      <c r="N856" s="852"/>
      <c r="O856" s="851"/>
      <c r="P856" s="787"/>
      <c r="Q856" s="829"/>
      <c r="R856" s="852"/>
      <c r="S856" s="851"/>
      <c r="T856" s="787"/>
      <c r="U856" s="829"/>
      <c r="V856" s="852"/>
      <c r="W856" s="851"/>
      <c r="X856" s="787"/>
      <c r="Y856" s="829"/>
      <c r="Z856" s="852"/>
      <c r="AA856" s="851"/>
      <c r="AB856" s="787"/>
      <c r="AC856" s="829"/>
      <c r="AD856" s="852"/>
      <c r="AE856" s="851"/>
      <c r="AF856" s="787"/>
      <c r="AG856" s="355">
        <v>3885</v>
      </c>
      <c r="AL856" s="123"/>
    </row>
    <row r="857" spans="1:38" x14ac:dyDescent="0.4">
      <c r="A857" s="65"/>
      <c r="B857" s="356">
        <v>3890</v>
      </c>
      <c r="C857" s="851"/>
      <c r="D857" s="787"/>
      <c r="E857" s="829"/>
      <c r="F857" s="852"/>
      <c r="G857" s="851"/>
      <c r="H857" s="787"/>
      <c r="I857" s="829"/>
      <c r="J857" s="852"/>
      <c r="K857" s="851"/>
      <c r="L857" s="787"/>
      <c r="M857" s="829"/>
      <c r="N857" s="852"/>
      <c r="O857" s="851"/>
      <c r="P857" s="787"/>
      <c r="Q857" s="829"/>
      <c r="R857" s="852"/>
      <c r="S857" s="851"/>
      <c r="T857" s="787"/>
      <c r="U857" s="829"/>
      <c r="V857" s="852"/>
      <c r="W857" s="851"/>
      <c r="X857" s="787"/>
      <c r="Y857" s="829"/>
      <c r="Z857" s="852"/>
      <c r="AA857" s="851"/>
      <c r="AB857" s="787"/>
      <c r="AC857" s="829"/>
      <c r="AD857" s="852"/>
      <c r="AE857" s="851"/>
      <c r="AF857" s="787"/>
      <c r="AG857" s="355">
        <v>3890</v>
      </c>
      <c r="AL857" s="123"/>
    </row>
    <row r="858" spans="1:38" x14ac:dyDescent="0.4">
      <c r="A858" s="65"/>
      <c r="B858" s="356">
        <v>3895</v>
      </c>
      <c r="C858" s="851"/>
      <c r="D858" s="787"/>
      <c r="E858" s="829"/>
      <c r="F858" s="852"/>
      <c r="G858" s="851"/>
      <c r="H858" s="787"/>
      <c r="I858" s="829"/>
      <c r="J858" s="852"/>
      <c r="K858" s="851"/>
      <c r="L858" s="787"/>
      <c r="M858" s="829"/>
      <c r="N858" s="852"/>
      <c r="O858" s="851"/>
      <c r="P858" s="787"/>
      <c r="Q858" s="829"/>
      <c r="R858" s="852"/>
      <c r="S858" s="851"/>
      <c r="T858" s="787"/>
      <c r="U858" s="829"/>
      <c r="V858" s="852"/>
      <c r="W858" s="851"/>
      <c r="X858" s="787"/>
      <c r="Y858" s="829"/>
      <c r="Z858" s="852"/>
      <c r="AA858" s="851"/>
      <c r="AB858" s="787"/>
      <c r="AC858" s="829"/>
      <c r="AD858" s="852"/>
      <c r="AE858" s="851"/>
      <c r="AF858" s="787"/>
      <c r="AG858" s="355">
        <v>3895</v>
      </c>
      <c r="AL858" s="123"/>
    </row>
    <row r="859" spans="1:38" x14ac:dyDescent="0.4">
      <c r="A859" s="65"/>
      <c r="B859" s="356">
        <v>3900</v>
      </c>
      <c r="C859" s="851"/>
      <c r="D859" s="787"/>
      <c r="E859" s="829"/>
      <c r="F859" s="852"/>
      <c r="G859" s="851"/>
      <c r="H859" s="787"/>
      <c r="I859" s="829"/>
      <c r="J859" s="852"/>
      <c r="K859" s="851"/>
      <c r="L859" s="787"/>
      <c r="M859" s="829"/>
      <c r="N859" s="852"/>
      <c r="O859" s="851"/>
      <c r="P859" s="787"/>
      <c r="Q859" s="829"/>
      <c r="R859" s="852"/>
      <c r="S859" s="851"/>
      <c r="T859" s="787"/>
      <c r="U859" s="829"/>
      <c r="V859" s="852"/>
      <c r="W859" s="851"/>
      <c r="X859" s="787"/>
      <c r="Y859" s="829"/>
      <c r="Z859" s="852"/>
      <c r="AA859" s="851"/>
      <c r="AB859" s="787"/>
      <c r="AC859" s="829"/>
      <c r="AD859" s="852"/>
      <c r="AE859" s="851"/>
      <c r="AF859" s="787"/>
      <c r="AG859" s="355">
        <v>3900</v>
      </c>
      <c r="AL859" s="123"/>
    </row>
    <row r="860" spans="1:38" x14ac:dyDescent="0.4">
      <c r="A860" s="65"/>
      <c r="B860" s="356">
        <v>3905</v>
      </c>
      <c r="C860" s="851"/>
      <c r="D860" s="787"/>
      <c r="E860" s="829"/>
      <c r="F860" s="852"/>
      <c r="G860" s="851"/>
      <c r="H860" s="787"/>
      <c r="I860" s="829"/>
      <c r="J860" s="852"/>
      <c r="K860" s="851"/>
      <c r="L860" s="787"/>
      <c r="M860" s="829"/>
      <c r="N860" s="852"/>
      <c r="O860" s="851"/>
      <c r="P860" s="787"/>
      <c r="Q860" s="829"/>
      <c r="R860" s="852"/>
      <c r="S860" s="851"/>
      <c r="T860" s="787"/>
      <c r="U860" s="829"/>
      <c r="V860" s="852"/>
      <c r="W860" s="851"/>
      <c r="X860" s="787"/>
      <c r="Y860" s="829"/>
      <c r="Z860" s="852"/>
      <c r="AA860" s="851"/>
      <c r="AB860" s="787"/>
      <c r="AC860" s="829"/>
      <c r="AD860" s="852"/>
      <c r="AE860" s="851"/>
      <c r="AF860" s="787"/>
      <c r="AG860" s="355">
        <v>3905</v>
      </c>
      <c r="AL860" s="123"/>
    </row>
    <row r="861" spans="1:38" x14ac:dyDescent="0.4">
      <c r="A861" s="65"/>
      <c r="B861" s="356">
        <v>3910</v>
      </c>
      <c r="C861" s="851"/>
      <c r="D861" s="787"/>
      <c r="E861" s="829"/>
      <c r="F861" s="852"/>
      <c r="G861" s="851"/>
      <c r="H861" s="787"/>
      <c r="I861" s="829"/>
      <c r="J861" s="852"/>
      <c r="K861" s="851"/>
      <c r="L861" s="787"/>
      <c r="M861" s="829"/>
      <c r="N861" s="852"/>
      <c r="O861" s="851"/>
      <c r="P861" s="787"/>
      <c r="Q861" s="829"/>
      <c r="R861" s="852"/>
      <c r="S861" s="851"/>
      <c r="T861" s="787"/>
      <c r="U861" s="829"/>
      <c r="V861" s="852"/>
      <c r="W861" s="851"/>
      <c r="X861" s="787"/>
      <c r="Y861" s="829"/>
      <c r="Z861" s="852"/>
      <c r="AA861" s="851"/>
      <c r="AB861" s="787"/>
      <c r="AC861" s="829"/>
      <c r="AD861" s="852"/>
      <c r="AE861" s="851"/>
      <c r="AF861" s="787"/>
      <c r="AG861" s="355">
        <v>3910</v>
      </c>
      <c r="AL861" s="123"/>
    </row>
    <row r="862" spans="1:38" x14ac:dyDescent="0.4">
      <c r="A862" s="65"/>
      <c r="B862" s="356">
        <v>3915</v>
      </c>
      <c r="C862" s="851"/>
      <c r="D862" s="787"/>
      <c r="E862" s="829"/>
      <c r="F862" s="852"/>
      <c r="G862" s="851"/>
      <c r="H862" s="787"/>
      <c r="I862" s="829"/>
      <c r="J862" s="852"/>
      <c r="K862" s="851"/>
      <c r="L862" s="787"/>
      <c r="M862" s="829"/>
      <c r="N862" s="852"/>
      <c r="O862" s="851"/>
      <c r="P862" s="787"/>
      <c r="Q862" s="829"/>
      <c r="R862" s="852"/>
      <c r="S862" s="851"/>
      <c r="T862" s="787"/>
      <c r="U862" s="829"/>
      <c r="V862" s="852"/>
      <c r="W862" s="851"/>
      <c r="X862" s="787"/>
      <c r="Y862" s="829"/>
      <c r="Z862" s="852"/>
      <c r="AA862" s="851"/>
      <c r="AB862" s="787"/>
      <c r="AC862" s="829"/>
      <c r="AD862" s="852"/>
      <c r="AE862" s="851"/>
      <c r="AF862" s="787"/>
      <c r="AG862" s="355">
        <v>3915</v>
      </c>
      <c r="AL862" s="123"/>
    </row>
    <row r="863" spans="1:38" x14ac:dyDescent="0.4">
      <c r="A863" s="65"/>
      <c r="B863" s="356">
        <v>3920</v>
      </c>
      <c r="C863" s="851"/>
      <c r="D863" s="787"/>
      <c r="E863" s="829"/>
      <c r="F863" s="852"/>
      <c r="G863" s="851"/>
      <c r="H863" s="787"/>
      <c r="I863" s="829"/>
      <c r="J863" s="852"/>
      <c r="K863" s="851"/>
      <c r="L863" s="787"/>
      <c r="M863" s="829"/>
      <c r="N863" s="852"/>
      <c r="O863" s="851"/>
      <c r="P863" s="787"/>
      <c r="Q863" s="829"/>
      <c r="R863" s="852"/>
      <c r="S863" s="851"/>
      <c r="T863" s="787"/>
      <c r="U863" s="829"/>
      <c r="V863" s="852"/>
      <c r="W863" s="851"/>
      <c r="X863" s="787"/>
      <c r="Y863" s="829"/>
      <c r="Z863" s="852"/>
      <c r="AA863" s="851"/>
      <c r="AB863" s="787"/>
      <c r="AC863" s="829"/>
      <c r="AD863" s="852"/>
      <c r="AE863" s="851"/>
      <c r="AF863" s="787"/>
      <c r="AG863" s="355">
        <v>3920</v>
      </c>
      <c r="AL863" s="123"/>
    </row>
    <row r="864" spans="1:38" x14ac:dyDescent="0.4">
      <c r="A864" s="65"/>
      <c r="B864" s="356">
        <v>3925</v>
      </c>
      <c r="C864" s="851"/>
      <c r="D864" s="787"/>
      <c r="E864" s="829"/>
      <c r="F864" s="852"/>
      <c r="G864" s="851"/>
      <c r="H864" s="787"/>
      <c r="I864" s="829"/>
      <c r="J864" s="852"/>
      <c r="K864" s="851"/>
      <c r="L864" s="787"/>
      <c r="M864" s="829"/>
      <c r="N864" s="852"/>
      <c r="O864" s="851"/>
      <c r="P864" s="787"/>
      <c r="Q864" s="829"/>
      <c r="R864" s="852"/>
      <c r="S864" s="851"/>
      <c r="T864" s="787"/>
      <c r="U864" s="829"/>
      <c r="V864" s="852"/>
      <c r="W864" s="851"/>
      <c r="X864" s="787"/>
      <c r="Y864" s="829"/>
      <c r="Z864" s="852"/>
      <c r="AA864" s="851"/>
      <c r="AB864" s="787"/>
      <c r="AC864" s="829"/>
      <c r="AD864" s="852"/>
      <c r="AE864" s="851"/>
      <c r="AF864" s="787"/>
      <c r="AG864" s="355">
        <v>3925</v>
      </c>
      <c r="AL864" s="123"/>
    </row>
    <row r="865" spans="1:38" x14ac:dyDescent="0.4">
      <c r="A865" s="65"/>
      <c r="B865" s="356">
        <v>3930</v>
      </c>
      <c r="C865" s="851"/>
      <c r="D865" s="787"/>
      <c r="E865" s="829"/>
      <c r="F865" s="852"/>
      <c r="G865" s="851"/>
      <c r="H865" s="787"/>
      <c r="I865" s="829"/>
      <c r="J865" s="852"/>
      <c r="K865" s="851"/>
      <c r="L865" s="787"/>
      <c r="M865" s="829"/>
      <c r="N865" s="852"/>
      <c r="O865" s="851"/>
      <c r="P865" s="787"/>
      <c r="Q865" s="829"/>
      <c r="R865" s="852"/>
      <c r="S865" s="851"/>
      <c r="T865" s="787"/>
      <c r="U865" s="829"/>
      <c r="V865" s="852"/>
      <c r="W865" s="851"/>
      <c r="X865" s="787"/>
      <c r="Y865" s="829"/>
      <c r="Z865" s="852"/>
      <c r="AA865" s="851"/>
      <c r="AB865" s="787"/>
      <c r="AC865" s="829"/>
      <c r="AD865" s="852"/>
      <c r="AE865" s="851"/>
      <c r="AF865" s="787"/>
      <c r="AG865" s="355">
        <v>3930</v>
      </c>
      <c r="AL865" s="123"/>
    </row>
    <row r="866" spans="1:38" x14ac:dyDescent="0.4">
      <c r="A866" s="65"/>
      <c r="B866" s="356">
        <v>3935</v>
      </c>
      <c r="C866" s="851"/>
      <c r="D866" s="787"/>
      <c r="E866" s="829"/>
      <c r="F866" s="852"/>
      <c r="G866" s="851"/>
      <c r="H866" s="787"/>
      <c r="I866" s="829"/>
      <c r="J866" s="852"/>
      <c r="K866" s="851"/>
      <c r="L866" s="787"/>
      <c r="M866" s="829"/>
      <c r="N866" s="852"/>
      <c r="O866" s="851"/>
      <c r="P866" s="787"/>
      <c r="Q866" s="829"/>
      <c r="R866" s="852"/>
      <c r="S866" s="851"/>
      <c r="T866" s="787"/>
      <c r="U866" s="829"/>
      <c r="V866" s="852"/>
      <c r="W866" s="851"/>
      <c r="X866" s="787"/>
      <c r="Y866" s="829"/>
      <c r="Z866" s="852"/>
      <c r="AA866" s="851"/>
      <c r="AB866" s="787"/>
      <c r="AC866" s="829"/>
      <c r="AD866" s="852"/>
      <c r="AE866" s="851"/>
      <c r="AF866" s="787"/>
      <c r="AG866" s="355">
        <v>3935</v>
      </c>
      <c r="AL866" s="123"/>
    </row>
    <row r="867" spans="1:38" x14ac:dyDescent="0.4">
      <c r="A867" s="65"/>
      <c r="B867" s="356">
        <v>3940</v>
      </c>
      <c r="C867" s="851"/>
      <c r="D867" s="787"/>
      <c r="E867" s="829"/>
      <c r="F867" s="852"/>
      <c r="G867" s="851"/>
      <c r="H867" s="787"/>
      <c r="I867" s="829"/>
      <c r="J867" s="852"/>
      <c r="K867" s="851"/>
      <c r="L867" s="787"/>
      <c r="M867" s="829"/>
      <c r="N867" s="852"/>
      <c r="O867" s="851"/>
      <c r="P867" s="787"/>
      <c r="Q867" s="829"/>
      <c r="R867" s="852"/>
      <c r="S867" s="851"/>
      <c r="T867" s="787"/>
      <c r="U867" s="829"/>
      <c r="V867" s="852"/>
      <c r="W867" s="851"/>
      <c r="X867" s="787"/>
      <c r="Y867" s="829"/>
      <c r="Z867" s="852"/>
      <c r="AA867" s="851"/>
      <c r="AB867" s="787"/>
      <c r="AC867" s="829"/>
      <c r="AD867" s="852"/>
      <c r="AE867" s="851"/>
      <c r="AF867" s="787"/>
      <c r="AG867" s="355">
        <v>3940</v>
      </c>
      <c r="AL867" s="123"/>
    </row>
    <row r="868" spans="1:38" x14ac:dyDescent="0.4">
      <c r="A868" s="65"/>
      <c r="B868" s="356">
        <v>3945</v>
      </c>
      <c r="C868" s="851"/>
      <c r="D868" s="787"/>
      <c r="E868" s="829"/>
      <c r="F868" s="852"/>
      <c r="G868" s="851"/>
      <c r="H868" s="787"/>
      <c r="I868" s="829"/>
      <c r="J868" s="852"/>
      <c r="K868" s="851"/>
      <c r="L868" s="787"/>
      <c r="M868" s="829"/>
      <c r="N868" s="852"/>
      <c r="O868" s="851"/>
      <c r="P868" s="787"/>
      <c r="Q868" s="829"/>
      <c r="R868" s="852"/>
      <c r="S868" s="851"/>
      <c r="T868" s="787"/>
      <c r="U868" s="829"/>
      <c r="V868" s="852"/>
      <c r="W868" s="851"/>
      <c r="X868" s="787"/>
      <c r="Y868" s="829"/>
      <c r="Z868" s="852"/>
      <c r="AA868" s="851"/>
      <c r="AB868" s="787"/>
      <c r="AC868" s="829"/>
      <c r="AD868" s="852"/>
      <c r="AE868" s="851"/>
      <c r="AF868" s="787"/>
      <c r="AG868" s="355">
        <v>3945</v>
      </c>
      <c r="AL868" s="123"/>
    </row>
    <row r="869" spans="1:38" x14ac:dyDescent="0.4">
      <c r="A869" s="65"/>
      <c r="B869" s="356">
        <v>3950</v>
      </c>
      <c r="C869" s="851"/>
      <c r="D869" s="787"/>
      <c r="E869" s="829"/>
      <c r="F869" s="852"/>
      <c r="G869" s="851"/>
      <c r="H869" s="787"/>
      <c r="I869" s="829"/>
      <c r="J869" s="852"/>
      <c r="K869" s="851"/>
      <c r="L869" s="787"/>
      <c r="M869" s="829"/>
      <c r="N869" s="852"/>
      <c r="O869" s="851"/>
      <c r="P869" s="787"/>
      <c r="Q869" s="829"/>
      <c r="R869" s="852"/>
      <c r="S869" s="851"/>
      <c r="T869" s="787"/>
      <c r="U869" s="829"/>
      <c r="V869" s="852"/>
      <c r="W869" s="851"/>
      <c r="X869" s="787"/>
      <c r="Y869" s="829"/>
      <c r="Z869" s="852"/>
      <c r="AA869" s="851"/>
      <c r="AB869" s="787"/>
      <c r="AC869" s="829"/>
      <c r="AD869" s="852"/>
      <c r="AE869" s="851"/>
      <c r="AF869" s="787"/>
      <c r="AG869" s="355">
        <v>3950</v>
      </c>
      <c r="AL869" s="123"/>
    </row>
    <row r="870" spans="1:38" x14ac:dyDescent="0.4">
      <c r="A870" s="65"/>
      <c r="B870" s="356">
        <v>3955</v>
      </c>
      <c r="C870" s="851"/>
      <c r="D870" s="787"/>
      <c r="E870" s="829"/>
      <c r="F870" s="852"/>
      <c r="G870" s="851"/>
      <c r="H870" s="787"/>
      <c r="I870" s="829"/>
      <c r="J870" s="852"/>
      <c r="K870" s="851"/>
      <c r="L870" s="787"/>
      <c r="M870" s="829"/>
      <c r="N870" s="852"/>
      <c r="O870" s="851"/>
      <c r="P870" s="787"/>
      <c r="Q870" s="829"/>
      <c r="R870" s="852"/>
      <c r="S870" s="851"/>
      <c r="T870" s="787"/>
      <c r="U870" s="829"/>
      <c r="V870" s="852"/>
      <c r="W870" s="851"/>
      <c r="X870" s="787"/>
      <c r="Y870" s="829"/>
      <c r="Z870" s="852"/>
      <c r="AA870" s="851"/>
      <c r="AB870" s="787"/>
      <c r="AC870" s="829"/>
      <c r="AD870" s="852"/>
      <c r="AE870" s="851"/>
      <c r="AF870" s="787"/>
      <c r="AG870" s="355">
        <v>3955</v>
      </c>
      <c r="AL870" s="123"/>
    </row>
    <row r="871" spans="1:38" x14ac:dyDescent="0.4">
      <c r="A871" s="65"/>
      <c r="B871" s="356">
        <v>3960</v>
      </c>
      <c r="C871" s="851"/>
      <c r="D871" s="787"/>
      <c r="E871" s="829"/>
      <c r="F871" s="852"/>
      <c r="G871" s="851"/>
      <c r="H871" s="787"/>
      <c r="I871" s="829"/>
      <c r="J871" s="852"/>
      <c r="K871" s="851"/>
      <c r="L871" s="787"/>
      <c r="M871" s="829"/>
      <c r="N871" s="852"/>
      <c r="O871" s="851"/>
      <c r="P871" s="787"/>
      <c r="Q871" s="829"/>
      <c r="R871" s="852"/>
      <c r="S871" s="851"/>
      <c r="T871" s="787"/>
      <c r="U871" s="829"/>
      <c r="V871" s="852"/>
      <c r="W871" s="851"/>
      <c r="X871" s="787"/>
      <c r="Y871" s="829"/>
      <c r="Z871" s="852"/>
      <c r="AA871" s="851"/>
      <c r="AB871" s="787"/>
      <c r="AC871" s="829"/>
      <c r="AD871" s="852"/>
      <c r="AE871" s="851"/>
      <c r="AF871" s="787"/>
      <c r="AG871" s="355">
        <v>3960</v>
      </c>
      <c r="AL871" s="123"/>
    </row>
    <row r="872" spans="1:38" x14ac:dyDescent="0.4">
      <c r="A872" s="65"/>
      <c r="B872" s="356">
        <v>3965</v>
      </c>
      <c r="C872" s="851"/>
      <c r="D872" s="787"/>
      <c r="E872" s="829"/>
      <c r="F872" s="852"/>
      <c r="G872" s="851"/>
      <c r="H872" s="787"/>
      <c r="I872" s="829"/>
      <c r="J872" s="852"/>
      <c r="K872" s="851"/>
      <c r="L872" s="787"/>
      <c r="M872" s="829"/>
      <c r="N872" s="852"/>
      <c r="O872" s="851"/>
      <c r="P872" s="787"/>
      <c r="Q872" s="829"/>
      <c r="R872" s="852"/>
      <c r="S872" s="851"/>
      <c r="T872" s="787"/>
      <c r="U872" s="829"/>
      <c r="V872" s="852"/>
      <c r="W872" s="851"/>
      <c r="X872" s="787"/>
      <c r="Y872" s="829"/>
      <c r="Z872" s="852"/>
      <c r="AA872" s="851"/>
      <c r="AB872" s="787"/>
      <c r="AC872" s="829"/>
      <c r="AD872" s="852"/>
      <c r="AE872" s="851"/>
      <c r="AF872" s="787"/>
      <c r="AG872" s="355">
        <v>3965</v>
      </c>
      <c r="AL872" s="123"/>
    </row>
    <row r="873" spans="1:38" x14ac:dyDescent="0.4">
      <c r="A873" s="65"/>
      <c r="B873" s="356">
        <v>3970</v>
      </c>
      <c r="C873" s="851"/>
      <c r="D873" s="787"/>
      <c r="E873" s="829"/>
      <c r="F873" s="852"/>
      <c r="G873" s="851"/>
      <c r="H873" s="787"/>
      <c r="I873" s="829"/>
      <c r="J873" s="852"/>
      <c r="K873" s="851"/>
      <c r="L873" s="787"/>
      <c r="M873" s="829"/>
      <c r="N873" s="852"/>
      <c r="O873" s="851"/>
      <c r="P873" s="787"/>
      <c r="Q873" s="829"/>
      <c r="R873" s="852"/>
      <c r="S873" s="851"/>
      <c r="T873" s="787"/>
      <c r="U873" s="829"/>
      <c r="V873" s="852"/>
      <c r="W873" s="851"/>
      <c r="X873" s="787"/>
      <c r="Y873" s="829"/>
      <c r="Z873" s="852"/>
      <c r="AA873" s="851"/>
      <c r="AB873" s="787"/>
      <c r="AC873" s="829"/>
      <c r="AD873" s="852"/>
      <c r="AE873" s="851"/>
      <c r="AF873" s="787"/>
      <c r="AG873" s="355">
        <v>3970</v>
      </c>
      <c r="AL873" s="123"/>
    </row>
    <row r="874" spans="1:38" x14ac:dyDescent="0.4">
      <c r="A874" s="65"/>
      <c r="B874" s="356">
        <v>3975</v>
      </c>
      <c r="C874" s="851"/>
      <c r="D874" s="787"/>
      <c r="E874" s="829"/>
      <c r="F874" s="852"/>
      <c r="G874" s="851"/>
      <c r="H874" s="787"/>
      <c r="I874" s="829"/>
      <c r="J874" s="852"/>
      <c r="K874" s="851"/>
      <c r="L874" s="787"/>
      <c r="M874" s="829"/>
      <c r="N874" s="852"/>
      <c r="O874" s="851"/>
      <c r="P874" s="787"/>
      <c r="Q874" s="829"/>
      <c r="R874" s="852"/>
      <c r="S874" s="851"/>
      <c r="T874" s="787"/>
      <c r="U874" s="829"/>
      <c r="V874" s="852"/>
      <c r="W874" s="851"/>
      <c r="X874" s="787"/>
      <c r="Y874" s="829"/>
      <c r="Z874" s="852"/>
      <c r="AA874" s="851"/>
      <c r="AB874" s="787"/>
      <c r="AC874" s="829"/>
      <c r="AD874" s="852"/>
      <c r="AE874" s="851"/>
      <c r="AF874" s="787"/>
      <c r="AG874" s="355">
        <v>3975</v>
      </c>
      <c r="AL874" s="123"/>
    </row>
    <row r="875" spans="1:38" x14ac:dyDescent="0.4">
      <c r="A875" s="65"/>
      <c r="B875" s="356">
        <v>3980</v>
      </c>
      <c r="C875" s="851"/>
      <c r="D875" s="787"/>
      <c r="E875" s="829"/>
      <c r="F875" s="852"/>
      <c r="G875" s="851"/>
      <c r="H875" s="787"/>
      <c r="I875" s="829"/>
      <c r="J875" s="852"/>
      <c r="K875" s="851"/>
      <c r="L875" s="787"/>
      <c r="M875" s="829"/>
      <c r="N875" s="852"/>
      <c r="O875" s="851"/>
      <c r="P875" s="787"/>
      <c r="Q875" s="829"/>
      <c r="R875" s="852"/>
      <c r="S875" s="851"/>
      <c r="T875" s="787"/>
      <c r="U875" s="829"/>
      <c r="V875" s="852"/>
      <c r="W875" s="851"/>
      <c r="X875" s="787"/>
      <c r="Y875" s="829"/>
      <c r="Z875" s="852"/>
      <c r="AA875" s="851"/>
      <c r="AB875" s="787"/>
      <c r="AC875" s="829"/>
      <c r="AD875" s="852"/>
      <c r="AE875" s="851"/>
      <c r="AF875" s="787"/>
      <c r="AG875" s="355">
        <v>3980</v>
      </c>
      <c r="AL875" s="123"/>
    </row>
    <row r="876" spans="1:38" x14ac:dyDescent="0.4">
      <c r="A876" s="65"/>
      <c r="B876" s="356">
        <v>3985</v>
      </c>
      <c r="C876" s="851"/>
      <c r="D876" s="787"/>
      <c r="E876" s="829"/>
      <c r="F876" s="852"/>
      <c r="G876" s="851"/>
      <c r="H876" s="787"/>
      <c r="I876" s="829"/>
      <c r="J876" s="852"/>
      <c r="K876" s="851"/>
      <c r="L876" s="787"/>
      <c r="M876" s="829"/>
      <c r="N876" s="852"/>
      <c r="O876" s="851"/>
      <c r="P876" s="787"/>
      <c r="Q876" s="829"/>
      <c r="R876" s="852"/>
      <c r="S876" s="851"/>
      <c r="T876" s="787"/>
      <c r="U876" s="829"/>
      <c r="V876" s="852"/>
      <c r="W876" s="851"/>
      <c r="X876" s="787"/>
      <c r="Y876" s="829"/>
      <c r="Z876" s="852"/>
      <c r="AA876" s="851"/>
      <c r="AB876" s="787"/>
      <c r="AC876" s="829"/>
      <c r="AD876" s="852"/>
      <c r="AE876" s="851"/>
      <c r="AF876" s="787"/>
      <c r="AG876" s="355">
        <v>3985</v>
      </c>
      <c r="AL876" s="123"/>
    </row>
    <row r="877" spans="1:38" x14ac:dyDescent="0.4">
      <c r="A877" s="65"/>
      <c r="B877" s="356">
        <v>3990</v>
      </c>
      <c r="C877" s="851"/>
      <c r="D877" s="787"/>
      <c r="E877" s="829"/>
      <c r="F877" s="852"/>
      <c r="G877" s="851"/>
      <c r="H877" s="787"/>
      <c r="I877" s="829"/>
      <c r="J877" s="852"/>
      <c r="K877" s="851"/>
      <c r="L877" s="787"/>
      <c r="M877" s="829"/>
      <c r="N877" s="852"/>
      <c r="O877" s="851"/>
      <c r="P877" s="787"/>
      <c r="Q877" s="829"/>
      <c r="R877" s="852"/>
      <c r="S877" s="851"/>
      <c r="T877" s="787"/>
      <c r="U877" s="829"/>
      <c r="V877" s="852"/>
      <c r="W877" s="851"/>
      <c r="X877" s="787"/>
      <c r="Y877" s="829"/>
      <c r="Z877" s="852"/>
      <c r="AA877" s="851"/>
      <c r="AB877" s="787"/>
      <c r="AC877" s="829"/>
      <c r="AD877" s="852"/>
      <c r="AE877" s="851"/>
      <c r="AF877" s="787"/>
      <c r="AG877" s="355">
        <v>3990</v>
      </c>
      <c r="AL877" s="123"/>
    </row>
    <row r="878" spans="1:38" x14ac:dyDescent="0.4">
      <c r="A878" s="65"/>
      <c r="B878" s="356">
        <v>3995</v>
      </c>
      <c r="C878" s="851"/>
      <c r="D878" s="787"/>
      <c r="E878" s="829"/>
      <c r="F878" s="852"/>
      <c r="G878" s="851"/>
      <c r="H878" s="787"/>
      <c r="I878" s="829"/>
      <c r="J878" s="852"/>
      <c r="K878" s="851"/>
      <c r="L878" s="787"/>
      <c r="M878" s="829"/>
      <c r="N878" s="852"/>
      <c r="O878" s="851"/>
      <c r="P878" s="787"/>
      <c r="Q878" s="829"/>
      <c r="R878" s="852"/>
      <c r="S878" s="851"/>
      <c r="T878" s="787"/>
      <c r="U878" s="829"/>
      <c r="V878" s="852"/>
      <c r="W878" s="851"/>
      <c r="X878" s="787"/>
      <c r="Y878" s="829"/>
      <c r="Z878" s="852"/>
      <c r="AA878" s="851"/>
      <c r="AB878" s="787"/>
      <c r="AC878" s="829"/>
      <c r="AD878" s="852"/>
      <c r="AE878" s="851"/>
      <c r="AF878" s="787"/>
      <c r="AG878" s="355">
        <v>3995</v>
      </c>
      <c r="AL878" s="123"/>
    </row>
    <row r="879" spans="1:38" ht="16" thickBot="1" x14ac:dyDescent="0.45">
      <c r="A879" s="65"/>
      <c r="B879" s="363">
        <v>4000</v>
      </c>
      <c r="C879" s="853"/>
      <c r="D879" s="854"/>
      <c r="E879" s="855"/>
      <c r="F879" s="856"/>
      <c r="G879" s="853"/>
      <c r="H879" s="854"/>
      <c r="I879" s="855"/>
      <c r="J879" s="856"/>
      <c r="K879" s="853"/>
      <c r="L879" s="854"/>
      <c r="M879" s="855"/>
      <c r="N879" s="856"/>
      <c r="O879" s="853"/>
      <c r="P879" s="854"/>
      <c r="Q879" s="855"/>
      <c r="R879" s="856"/>
      <c r="S879" s="853"/>
      <c r="T879" s="854"/>
      <c r="U879" s="855"/>
      <c r="V879" s="856"/>
      <c r="W879" s="853"/>
      <c r="X879" s="854"/>
      <c r="Y879" s="855"/>
      <c r="Z879" s="856"/>
      <c r="AA879" s="853"/>
      <c r="AB879" s="854"/>
      <c r="AC879" s="855"/>
      <c r="AD879" s="856"/>
      <c r="AE879" s="853"/>
      <c r="AF879" s="854"/>
      <c r="AG879" s="364">
        <v>4000</v>
      </c>
      <c r="AL879" s="123"/>
    </row>
    <row r="880" spans="1:38" x14ac:dyDescent="0.4">
      <c r="A880" s="65"/>
      <c r="B880" s="1091" t="s">
        <v>431</v>
      </c>
      <c r="C880" s="1088" t="s">
        <v>161</v>
      </c>
      <c r="D880" s="1089"/>
      <c r="E880" s="1090" t="s">
        <v>162</v>
      </c>
      <c r="F880" s="1090"/>
      <c r="G880" s="1088" t="s">
        <v>163</v>
      </c>
      <c r="H880" s="1089"/>
      <c r="I880" s="1090" t="s">
        <v>164</v>
      </c>
      <c r="J880" s="1090"/>
      <c r="K880" s="1088" t="s">
        <v>165</v>
      </c>
      <c r="L880" s="1089"/>
      <c r="M880" s="1090" t="s">
        <v>166</v>
      </c>
      <c r="N880" s="1090"/>
      <c r="O880" s="1088" t="s">
        <v>167</v>
      </c>
      <c r="P880" s="1089"/>
      <c r="Q880" s="1090" t="s">
        <v>168</v>
      </c>
      <c r="R880" s="1090"/>
      <c r="S880" s="1088" t="s">
        <v>169</v>
      </c>
      <c r="T880" s="1089"/>
      <c r="U880" s="1090" t="s">
        <v>170</v>
      </c>
      <c r="V880" s="1090"/>
      <c r="W880" s="1088" t="s">
        <v>171</v>
      </c>
      <c r="X880" s="1089"/>
      <c r="Y880" s="1090" t="s">
        <v>172</v>
      </c>
      <c r="Z880" s="1090"/>
      <c r="AA880" s="1088" t="s">
        <v>173</v>
      </c>
      <c r="AB880" s="1089"/>
      <c r="AC880" s="1090" t="s">
        <v>174</v>
      </c>
      <c r="AD880" s="1090"/>
      <c r="AE880" s="1088" t="s">
        <v>352</v>
      </c>
      <c r="AF880" s="1089"/>
      <c r="AG880" s="1093" t="s">
        <v>431</v>
      </c>
      <c r="AL880" s="123"/>
    </row>
    <row r="881" spans="1:38" ht="21.5" thickBot="1" x14ac:dyDescent="0.45">
      <c r="A881" s="65"/>
      <c r="B881" s="1092"/>
      <c r="C881" s="259" t="s">
        <v>430</v>
      </c>
      <c r="D881" s="260" t="s">
        <v>432</v>
      </c>
      <c r="E881" s="242" t="s">
        <v>430</v>
      </c>
      <c r="F881" s="354" t="s">
        <v>432</v>
      </c>
      <c r="G881" s="259" t="s">
        <v>430</v>
      </c>
      <c r="H881" s="260" t="s">
        <v>432</v>
      </c>
      <c r="I881" s="242" t="s">
        <v>430</v>
      </c>
      <c r="J881" s="354" t="s">
        <v>432</v>
      </c>
      <c r="K881" s="259" t="s">
        <v>430</v>
      </c>
      <c r="L881" s="260" t="s">
        <v>432</v>
      </c>
      <c r="M881" s="242" t="s">
        <v>430</v>
      </c>
      <c r="N881" s="354" t="s">
        <v>432</v>
      </c>
      <c r="O881" s="259" t="s">
        <v>430</v>
      </c>
      <c r="P881" s="260" t="s">
        <v>432</v>
      </c>
      <c r="Q881" s="242" t="s">
        <v>430</v>
      </c>
      <c r="R881" s="354" t="s">
        <v>432</v>
      </c>
      <c r="S881" s="259" t="s">
        <v>430</v>
      </c>
      <c r="T881" s="260" t="s">
        <v>432</v>
      </c>
      <c r="U881" s="242" t="s">
        <v>430</v>
      </c>
      <c r="V881" s="354" t="s">
        <v>432</v>
      </c>
      <c r="W881" s="259" t="s">
        <v>430</v>
      </c>
      <c r="X881" s="260" t="s">
        <v>432</v>
      </c>
      <c r="Y881" s="242" t="s">
        <v>430</v>
      </c>
      <c r="Z881" s="354" t="s">
        <v>432</v>
      </c>
      <c r="AA881" s="259" t="s">
        <v>430</v>
      </c>
      <c r="AB881" s="260" t="s">
        <v>432</v>
      </c>
      <c r="AC881" s="242" t="s">
        <v>430</v>
      </c>
      <c r="AD881" s="354" t="s">
        <v>432</v>
      </c>
      <c r="AE881" s="259" t="s">
        <v>430</v>
      </c>
      <c r="AF881" s="260" t="s">
        <v>432</v>
      </c>
      <c r="AG881" s="1094"/>
      <c r="AL881" s="123"/>
    </row>
    <row r="882" spans="1:38" x14ac:dyDescent="0.4">
      <c r="A882" s="65"/>
      <c r="AL882" s="123"/>
    </row>
    <row r="883" spans="1:38" x14ac:dyDescent="0.4">
      <c r="A883" s="73"/>
      <c r="B883" s="123"/>
      <c r="C883" s="123"/>
      <c r="D883" s="123"/>
      <c r="E883" s="123"/>
      <c r="F883" s="123"/>
      <c r="G883" s="123"/>
      <c r="H883" s="123"/>
      <c r="I883" s="123"/>
      <c r="J883" s="123"/>
      <c r="K883" s="123"/>
      <c r="L883" s="123"/>
      <c r="M883" s="123"/>
      <c r="N883" s="123"/>
      <c r="O883" s="123"/>
      <c r="P883" s="123"/>
      <c r="Q883" s="123"/>
      <c r="R883" s="123"/>
      <c r="S883" s="123"/>
      <c r="T883" s="123"/>
      <c r="U883" s="123"/>
      <c r="V883" s="123"/>
      <c r="W883" s="123"/>
      <c r="X883" s="123"/>
      <c r="Y883" s="123"/>
      <c r="Z883" s="123"/>
      <c r="AA883" s="123"/>
      <c r="AB883" s="123"/>
      <c r="AC883" s="123"/>
      <c r="AD883" s="123"/>
      <c r="AE883" s="123"/>
      <c r="AF883" s="123"/>
      <c r="AG883" s="123"/>
      <c r="AH883" s="123"/>
      <c r="AI883" s="123"/>
      <c r="AJ883" s="123"/>
      <c r="AK883" s="123"/>
      <c r="AL883" s="123"/>
    </row>
    <row r="884" spans="1:38" x14ac:dyDescent="0.4">
      <c r="A884" s="65"/>
    </row>
  </sheetData>
  <sheetProtection algorithmName="SHA-512" hashValue="zgXlJ/9kxZEcEx/xp1IzFa8uWuMvPPJCvXt0HlSDvlIUT5w0kx01CrhlGbxXE52vq0LmUx21cU5Uil861tOTsQ==" saltValue="vGBpiJyRmyVl3PEcmcsOaA==" spinCount="100000" sheet="1" selectLockedCells="1"/>
  <mergeCells count="52">
    <mergeCell ref="C7:D7"/>
    <mergeCell ref="D14:E14"/>
    <mergeCell ref="D18:E18"/>
    <mergeCell ref="B2:D2"/>
    <mergeCell ref="C3:D3"/>
    <mergeCell ref="C4:D4"/>
    <mergeCell ref="C5:D5"/>
    <mergeCell ref="C6:D6"/>
    <mergeCell ref="AI79:AJ79"/>
    <mergeCell ref="B11:R11"/>
    <mergeCell ref="C80:D80"/>
    <mergeCell ref="E80:F80"/>
    <mergeCell ref="G80:H80"/>
    <mergeCell ref="I80:J80"/>
    <mergeCell ref="K80:L80"/>
    <mergeCell ref="M80:N80"/>
    <mergeCell ref="O80:P80"/>
    <mergeCell ref="AD12:AE12"/>
    <mergeCell ref="AF12:AG12"/>
    <mergeCell ref="AH12:AI12"/>
    <mergeCell ref="AG80:AG81"/>
    <mergeCell ref="B79:AG79"/>
    <mergeCell ref="Q80:R80"/>
    <mergeCell ref="B880:B881"/>
    <mergeCell ref="AG880:AG881"/>
    <mergeCell ref="B10:R10"/>
    <mergeCell ref="B80:B81"/>
    <mergeCell ref="F12:H12"/>
    <mergeCell ref="F13:F14"/>
    <mergeCell ref="G13:H13"/>
    <mergeCell ref="AC880:AD880"/>
    <mergeCell ref="S80:T80"/>
    <mergeCell ref="U80:V80"/>
    <mergeCell ref="W80:X80"/>
    <mergeCell ref="Y80:Z80"/>
    <mergeCell ref="AA80:AB80"/>
    <mergeCell ref="AE880:AF880"/>
    <mergeCell ref="AC80:AD80"/>
    <mergeCell ref="AE80:AF80"/>
    <mergeCell ref="C880:D880"/>
    <mergeCell ref="E880:F880"/>
    <mergeCell ref="G880:H880"/>
    <mergeCell ref="I880:J880"/>
    <mergeCell ref="K880:L880"/>
    <mergeCell ref="W880:X880"/>
    <mergeCell ref="Y880:Z880"/>
    <mergeCell ref="AA880:AB880"/>
    <mergeCell ref="M880:N880"/>
    <mergeCell ref="O880:P880"/>
    <mergeCell ref="Q880:R880"/>
    <mergeCell ref="S880:T880"/>
    <mergeCell ref="U880:V880"/>
  </mergeCells>
  <dataValidations count="1">
    <dataValidation type="list" allowBlank="1" showInputMessage="1" showErrorMessage="1" sqref="C14" xr:uid="{00000000-0002-0000-0600-000000000000}">
      <formula1>DD_MassVolume</formula1>
    </dataValidation>
  </dataValidations>
  <hyperlinks>
    <hyperlink ref="F2" location="Instructions!A1" display="Back to Instructions tab" xr:uid="{00000000-0004-0000-0600-000000000000}"/>
  </hyperlink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5903858-C43E-4AF2-9B06-ADC6E0F42866}">
          <x14:formula1>
            <xm:f>'Drop-Downs'!$B$105:$B$106</xm:f>
          </x14:formula1>
          <xm:sqref>C15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70C0"/>
  </sheetPr>
  <dimension ref="A1:N165"/>
  <sheetViews>
    <sheetView showGridLines="0" zoomScale="80" zoomScaleNormal="80" workbookViewId="0">
      <selection activeCell="H45" sqref="H45"/>
    </sheetView>
  </sheetViews>
  <sheetFormatPr defaultColWidth="9.08984375" defaultRowHeight="15.5" x14ac:dyDescent="0.4"/>
  <cols>
    <col min="1" max="1" width="9.08984375" style="51"/>
    <col min="2" max="2" width="68.08984375" style="51" bestFit="1" customWidth="1"/>
    <col min="3" max="3" width="49.54296875" style="51" bestFit="1" customWidth="1"/>
    <col min="4" max="4" width="31.54296875" style="51" customWidth="1"/>
    <col min="5" max="5" width="31.6328125" style="51" customWidth="1"/>
    <col min="6" max="6" width="22.36328125" style="63" bestFit="1" customWidth="1"/>
    <col min="7" max="7" width="11.6328125" style="63" bestFit="1" customWidth="1"/>
    <col min="8" max="8" width="20.6328125" style="63" customWidth="1"/>
    <col min="9" max="9" width="9" style="63" customWidth="1"/>
    <col min="10" max="10" width="9.08984375" style="63" customWidth="1"/>
    <col min="11" max="11" width="9.08984375" style="51"/>
    <col min="12" max="12" width="3.6328125" style="51" customWidth="1"/>
    <col min="13" max="13" width="9.08984375" style="51"/>
    <col min="14" max="14" width="9.08984375" style="51" customWidth="1"/>
    <col min="15" max="22" width="9.08984375" style="51"/>
    <col min="23" max="23" width="9.08984375" style="51" customWidth="1"/>
    <col min="24" max="16384" width="9.08984375" style="51"/>
  </cols>
  <sheetData>
    <row r="1" spans="2:14" ht="16" thickBot="1" x14ac:dyDescent="0.45">
      <c r="F1" s="77"/>
      <c r="G1" s="77"/>
      <c r="H1" s="77"/>
      <c r="I1" s="77"/>
      <c r="J1" s="77"/>
      <c r="L1" s="125"/>
    </row>
    <row r="2" spans="2:14" ht="17.5" thickBot="1" x14ac:dyDescent="0.5">
      <c r="B2" s="1079" t="s">
        <v>12</v>
      </c>
      <c r="C2" s="1080"/>
      <c r="D2" s="1081"/>
      <c r="F2" s="107" t="s">
        <v>51</v>
      </c>
      <c r="G2" s="77"/>
      <c r="H2" s="77"/>
      <c r="I2" s="77"/>
      <c r="J2" s="77"/>
      <c r="L2" s="125"/>
    </row>
    <row r="3" spans="2:14" x14ac:dyDescent="0.4">
      <c r="B3" s="619" t="str">
        <f>'Version Control'!B3</f>
        <v>Test Report Template Name:</v>
      </c>
      <c r="C3" s="1015" t="str">
        <f>'Version Control'!C3</f>
        <v>Consumer Water Heater, UEF</v>
      </c>
      <c r="D3" s="1016"/>
      <c r="F3" s="77"/>
      <c r="G3" s="75"/>
      <c r="H3" s="75"/>
      <c r="I3" s="77"/>
      <c r="J3" s="77"/>
      <c r="L3" s="125"/>
    </row>
    <row r="4" spans="2:14" x14ac:dyDescent="0.4">
      <c r="B4" s="620" t="str">
        <f>'Version Control'!B4</f>
        <v>Version Number:</v>
      </c>
      <c r="C4" s="1017" t="str">
        <f>'Version Control'!C4</f>
        <v>v1.3</v>
      </c>
      <c r="D4" s="1018"/>
      <c r="F4" s="77"/>
      <c r="G4" s="75"/>
      <c r="H4" s="75"/>
      <c r="I4" s="77"/>
      <c r="J4" s="77"/>
      <c r="L4" s="125"/>
    </row>
    <row r="5" spans="2:14" ht="17" x14ac:dyDescent="0.45">
      <c r="B5" s="620" t="str">
        <f>'Version Control'!B5</f>
        <v xml:space="preserve">Latest Template Revision: </v>
      </c>
      <c r="C5" s="1019">
        <f>'Version Control'!C5</f>
        <v>43643</v>
      </c>
      <c r="D5" s="1020"/>
      <c r="F5" s="77"/>
      <c r="G5" s="75"/>
      <c r="H5" s="75"/>
      <c r="I5" s="149"/>
      <c r="J5" s="149"/>
      <c r="L5" s="125"/>
    </row>
    <row r="6" spans="2:14" x14ac:dyDescent="0.4">
      <c r="B6" s="620" t="str">
        <f>'Version Control'!B6</f>
        <v>Tab Name:</v>
      </c>
      <c r="C6" s="1017" t="str">
        <f ca="1">MID(CELL("filename",A1), FIND("]", CELL("filename", A1))+ 1, 255)</f>
        <v>Max GPM Test</v>
      </c>
      <c r="D6" s="1018"/>
      <c r="F6" s="77"/>
      <c r="G6" s="77"/>
      <c r="H6" s="75"/>
      <c r="I6" s="77"/>
      <c r="J6" s="77"/>
      <c r="L6" s="125"/>
    </row>
    <row r="7" spans="2:14" ht="16" thickBot="1" x14ac:dyDescent="0.45">
      <c r="B7" s="621" t="str">
        <f>'Version Control'!B7</f>
        <v>File Name:</v>
      </c>
      <c r="C7" s="1013" t="str">
        <f ca="1">'Version Control'!C7</f>
        <v>Consumer Water Heater, UEF - v1.3.xlsx</v>
      </c>
      <c r="D7" s="1014"/>
      <c r="F7" s="77"/>
      <c r="G7" s="77"/>
      <c r="H7" s="77"/>
      <c r="I7" s="77"/>
      <c r="J7" s="77"/>
      <c r="L7" s="125"/>
    </row>
    <row r="8" spans="2:14" x14ac:dyDescent="0.4">
      <c r="F8" s="77"/>
      <c r="G8" s="77"/>
      <c r="H8" s="77"/>
      <c r="I8" s="77"/>
      <c r="J8" s="77"/>
      <c r="L8" s="125"/>
    </row>
    <row r="9" spans="2:14" ht="16" thickBot="1" x14ac:dyDescent="0.45">
      <c r="F9" s="77"/>
      <c r="G9" s="77"/>
      <c r="H9" s="77"/>
      <c r="I9" s="77"/>
      <c r="J9" s="77"/>
      <c r="L9" s="125"/>
    </row>
    <row r="10" spans="2:14" ht="16" thickBot="1" x14ac:dyDescent="0.45">
      <c r="B10" s="1142" t="s">
        <v>359</v>
      </c>
      <c r="C10" s="1143"/>
      <c r="D10" s="1143"/>
      <c r="E10" s="1143"/>
      <c r="F10" s="1144"/>
      <c r="G10" s="77"/>
      <c r="H10" s="77"/>
      <c r="I10" s="77"/>
      <c r="J10" s="77"/>
      <c r="L10" s="125"/>
    </row>
    <row r="11" spans="2:14" x14ac:dyDescent="0.4">
      <c r="B11" s="625" t="s">
        <v>91</v>
      </c>
      <c r="C11" s="415" t="s">
        <v>81</v>
      </c>
      <c r="D11" s="1139"/>
      <c r="E11" s="1139"/>
      <c r="F11" s="580"/>
      <c r="G11" s="77"/>
      <c r="H11" s="77"/>
      <c r="I11" s="77"/>
      <c r="J11" s="77"/>
      <c r="L11" s="125"/>
    </row>
    <row r="12" spans="2:14" ht="16" thickBot="1" x14ac:dyDescent="0.45">
      <c r="B12" s="101" t="s">
        <v>133</v>
      </c>
      <c r="C12" s="857"/>
      <c r="D12" s="1140"/>
      <c r="E12" s="1141"/>
      <c r="F12" s="586"/>
      <c r="G12" s="77"/>
      <c r="H12" s="77"/>
      <c r="I12" s="77"/>
      <c r="J12" s="77"/>
      <c r="L12" s="125"/>
      <c r="M12" s="78"/>
    </row>
    <row r="13" spans="2:14" ht="16.5" thickTop="1" thickBot="1" x14ac:dyDescent="0.45">
      <c r="B13" s="1145" t="s">
        <v>134</v>
      </c>
      <c r="C13" s="1146"/>
      <c r="D13" s="1146"/>
      <c r="E13" s="1146"/>
      <c r="F13" s="1147"/>
      <c r="K13" s="86"/>
      <c r="L13" s="89"/>
      <c r="M13" s="86"/>
    </row>
    <row r="14" spans="2:14" ht="71.25" customHeight="1" thickTop="1" thickBot="1" x14ac:dyDescent="0.45">
      <c r="B14" s="1149" t="s">
        <v>461</v>
      </c>
      <c r="C14" s="1150"/>
      <c r="D14" s="1150"/>
      <c r="E14" s="1150"/>
      <c r="F14" s="1151"/>
      <c r="K14" s="86"/>
      <c r="L14" s="89"/>
      <c r="M14" s="86"/>
      <c r="N14" s="421"/>
    </row>
    <row r="15" spans="2:14" ht="16.5" thickTop="1" thickBot="1" x14ac:dyDescent="0.45">
      <c r="B15" s="1145" t="s">
        <v>135</v>
      </c>
      <c r="C15" s="1148"/>
      <c r="D15" s="1148"/>
      <c r="E15" s="1148"/>
      <c r="F15" s="1147"/>
      <c r="K15" s="86"/>
      <c r="L15" s="89"/>
      <c r="M15" s="86"/>
      <c r="N15" s="421"/>
    </row>
    <row r="16" spans="2:14" ht="54" customHeight="1" thickTop="1" thickBot="1" x14ac:dyDescent="0.45">
      <c r="B16" s="1136" t="s">
        <v>462</v>
      </c>
      <c r="C16" s="1137"/>
      <c r="D16" s="1137"/>
      <c r="E16" s="1137"/>
      <c r="F16" s="1138"/>
      <c r="G16" s="112"/>
      <c r="H16" s="112"/>
      <c r="I16" s="112"/>
      <c r="J16" s="112"/>
      <c r="K16" s="85"/>
      <c r="L16" s="90"/>
      <c r="M16" s="85"/>
      <c r="N16" s="402"/>
    </row>
    <row r="17" spans="2:14" x14ac:dyDescent="0.4">
      <c r="B17" s="587"/>
      <c r="C17" s="588"/>
      <c r="D17" s="588"/>
      <c r="E17" s="588"/>
      <c r="F17" s="580"/>
      <c r="L17" s="125"/>
      <c r="N17" s="402"/>
    </row>
    <row r="18" spans="2:14" x14ac:dyDescent="0.4">
      <c r="B18" s="258" t="s">
        <v>126</v>
      </c>
      <c r="C18" s="817" t="s">
        <v>105</v>
      </c>
      <c r="D18" s="1133" t="s">
        <v>127</v>
      </c>
      <c r="E18" s="1134"/>
      <c r="F18" s="1135"/>
      <c r="L18" s="125"/>
      <c r="N18" s="402"/>
    </row>
    <row r="19" spans="2:14" x14ac:dyDescent="0.4">
      <c r="B19" s="120"/>
      <c r="C19" s="48"/>
      <c r="D19" s="121"/>
      <c r="E19" s="140"/>
      <c r="F19" s="581"/>
      <c r="G19" s="51"/>
      <c r="H19" s="51"/>
      <c r="I19" s="51"/>
      <c r="J19" s="51"/>
      <c r="L19" s="125"/>
      <c r="N19" s="402"/>
    </row>
    <row r="20" spans="2:14" x14ac:dyDescent="0.4">
      <c r="B20" s="98"/>
      <c r="C20" s="376" t="s">
        <v>136</v>
      </c>
      <c r="D20" s="83"/>
      <c r="E20" s="83"/>
      <c r="F20" s="582"/>
      <c r="K20" s="83"/>
      <c r="L20" s="91"/>
      <c r="M20" s="83"/>
      <c r="N20" s="402"/>
    </row>
    <row r="21" spans="2:14" x14ac:dyDescent="0.4">
      <c r="B21" s="122" t="s">
        <v>566</v>
      </c>
      <c r="C21" s="839" t="str">
        <f>IF(E163="","",IF(C18="Mass",E163,IF(C18="Volume",E163*C25,"")))</f>
        <v/>
      </c>
      <c r="D21" s="124"/>
      <c r="E21" s="124"/>
      <c r="F21" s="583"/>
      <c r="K21" s="124"/>
      <c r="L21" s="92"/>
    </row>
    <row r="22" spans="2:14" x14ac:dyDescent="0.4">
      <c r="B22" s="122" t="s">
        <v>567</v>
      </c>
      <c r="C22" s="839" t="str">
        <f>IF(E163="","",IF(C18="Volume",E163,IF(C18="Mass",E163/C25,"")))</f>
        <v/>
      </c>
      <c r="D22" s="124"/>
      <c r="E22" s="124"/>
      <c r="F22" s="583"/>
      <c r="K22" s="124"/>
      <c r="L22" s="92"/>
    </row>
    <row r="23" spans="2:14" x14ac:dyDescent="0.4">
      <c r="B23" s="122" t="s">
        <v>560</v>
      </c>
      <c r="C23" s="839" t="str">
        <f>IF(D163="","",AVERAGE(D46:D163))</f>
        <v/>
      </c>
      <c r="D23" s="116"/>
      <c r="E23" s="116"/>
      <c r="F23" s="583"/>
      <c r="K23" s="116"/>
      <c r="L23" s="92"/>
    </row>
    <row r="24" spans="2:14" x14ac:dyDescent="0.4">
      <c r="B24" s="122" t="s">
        <v>561</v>
      </c>
      <c r="C24" s="839" t="str">
        <f>IF(C163="","",AVERAGE(C46:C163))</f>
        <v/>
      </c>
      <c r="D24" s="116"/>
      <c r="E24" s="116"/>
      <c r="F24" s="583"/>
      <c r="G24" s="110"/>
      <c r="H24" s="110"/>
      <c r="I24" s="110"/>
      <c r="J24" s="110"/>
      <c r="K24" s="116"/>
      <c r="L24" s="92"/>
    </row>
    <row r="25" spans="2:14" x14ac:dyDescent="0.4">
      <c r="B25" s="117" t="s">
        <v>568</v>
      </c>
      <c r="C25" s="839" t="str">
        <f>IF(OR(C23="",D163=""),"",VLOOKUP(AVERAGE(C23),'Water Properties'!$B$13:$D$1013,2,TRUE)+
(VLOOKUP(AVERAGE(C23)+0.1,'Water Properties'!$B$13:$D$1013,2,TRUE)-VLOOKUP(AVERAGE(C23),'Water Properties'!$B$13:$D$1013,2,TRUE))*
(AVERAGE(C23)-VLOOKUP(AVERAGE(C23),'Water Properties'!$B$13:$D$1013,1,TRUE))/
(VLOOKUP(AVERAGE(C23)+0.1,'Water Properties'!$B$13:$D$1013,1,TRUE)-VLOOKUP(AVERAGE(C23),'Water Properties'!$B$13:$D$1013,1,TRUE)))</f>
        <v/>
      </c>
      <c r="D25" s="124"/>
      <c r="E25" s="124"/>
      <c r="F25" s="583"/>
      <c r="G25" s="110"/>
      <c r="H25" s="110"/>
      <c r="I25" s="110"/>
      <c r="J25" s="110"/>
      <c r="K25" s="116"/>
      <c r="L25" s="92"/>
    </row>
    <row r="26" spans="2:14" ht="16" thickBot="1" x14ac:dyDescent="0.45">
      <c r="B26" s="117"/>
      <c r="C26" s="841"/>
      <c r="D26" s="626"/>
      <c r="E26" s="626"/>
      <c r="F26" s="583"/>
      <c r="G26" s="110"/>
      <c r="H26" s="110"/>
      <c r="I26" s="110"/>
      <c r="J26" s="110"/>
      <c r="K26" s="116"/>
      <c r="L26" s="92"/>
    </row>
    <row r="27" spans="2:14" ht="16" thickBot="1" x14ac:dyDescent="0.45">
      <c r="B27" s="117" t="s">
        <v>562</v>
      </c>
      <c r="C27" s="839" t="str">
        <f>IF(C46="","",MIN(C46:C163))</f>
        <v/>
      </c>
      <c r="D27" s="116"/>
      <c r="E27" s="116"/>
      <c r="F27" s="583"/>
      <c r="H27" s="1121" t="s">
        <v>143</v>
      </c>
      <c r="I27" s="1125"/>
      <c r="J27" s="1122"/>
      <c r="K27" s="116"/>
      <c r="L27" s="92"/>
    </row>
    <row r="28" spans="2:14" x14ac:dyDescent="0.4">
      <c r="B28" s="117" t="s">
        <v>563</v>
      </c>
      <c r="C28" s="839" t="str">
        <f>IF(C46="","",MAX(C46:C163))</f>
        <v/>
      </c>
      <c r="D28" s="116"/>
      <c r="E28" s="116"/>
      <c r="F28" s="583"/>
      <c r="H28" s="1100" t="s">
        <v>78</v>
      </c>
      <c r="I28" s="1123" t="s">
        <v>151</v>
      </c>
      <c r="J28" s="1124"/>
      <c r="K28" s="116"/>
      <c r="L28" s="92"/>
    </row>
    <row r="29" spans="2:14" x14ac:dyDescent="0.4">
      <c r="B29" s="117" t="str">
        <f>"Inlet Temperature Within Tolerance of " &amp; TEXT(Constants!$C$45,"#") &amp; "°F ± " &amp; TEXT(Constants!$E$45,"#") &amp; " °F?"</f>
        <v>Inlet Temperature Within Tolerance of 58°F ± 2 °F?</v>
      </c>
      <c r="C29" s="844" t="str">
        <f>IF(C46="","",IF(AND(C27&gt;=Constants!$C$45-Constants!$E$45,C28&lt;=Constants!$C$45+Constants!$E$45),"Yes","No"))</f>
        <v/>
      </c>
      <c r="D29" s="626"/>
      <c r="E29" s="626"/>
      <c r="F29" s="583"/>
      <c r="H29" s="1101"/>
      <c r="I29" s="244" t="s">
        <v>144</v>
      </c>
      <c r="J29" s="245" t="s">
        <v>145</v>
      </c>
      <c r="K29" s="116"/>
      <c r="L29" s="92"/>
    </row>
    <row r="30" spans="2:14" x14ac:dyDescent="0.4">
      <c r="B30" s="117"/>
      <c r="C30" s="841"/>
      <c r="D30" s="626"/>
      <c r="E30" s="626"/>
      <c r="F30" s="583"/>
      <c r="H30" s="370" t="str">
        <f>TEXT(Constants!$B$11,"") &amp; " Usage"</f>
        <v>Very Small Usage</v>
      </c>
      <c r="I30" s="244">
        <f>Constants!C101</f>
        <v>0</v>
      </c>
      <c r="J30" s="245">
        <f>Constants!D101</f>
        <v>1.7</v>
      </c>
      <c r="K30" s="116"/>
      <c r="L30" s="92"/>
    </row>
    <row r="31" spans="2:14" x14ac:dyDescent="0.4">
      <c r="B31" s="122" t="s">
        <v>564</v>
      </c>
      <c r="C31" s="839" t="str">
        <f>IF(D46="","",MIN(D46:D163))</f>
        <v/>
      </c>
      <c r="D31" s="116"/>
      <c r="E31" s="116"/>
      <c r="F31" s="583"/>
      <c r="H31" s="370" t="str">
        <f>TEXT(Constants!$B$15,"") &amp; " Usage"</f>
        <v>Low Usage</v>
      </c>
      <c r="I31" s="244">
        <f>Constants!C102</f>
        <v>1.7</v>
      </c>
      <c r="J31" s="245">
        <f>Constants!D102</f>
        <v>2.8</v>
      </c>
      <c r="K31" s="116"/>
      <c r="L31" s="92"/>
    </row>
    <row r="32" spans="2:14" x14ac:dyDescent="0.4">
      <c r="B32" s="122" t="s">
        <v>565</v>
      </c>
      <c r="C32" s="839" t="str">
        <f>IF(D46="","",MAX(D46:D163))</f>
        <v/>
      </c>
      <c r="D32" s="116"/>
      <c r="E32" s="116"/>
      <c r="F32" s="583"/>
      <c r="H32" s="370" t="str">
        <f>TEXT(Constants!$B$19,"") &amp; " Usage"</f>
        <v>Medium Usage</v>
      </c>
      <c r="I32" s="244">
        <f>Constants!C103</f>
        <v>2.8</v>
      </c>
      <c r="J32" s="245">
        <f>Constants!D103</f>
        <v>4</v>
      </c>
      <c r="K32" s="116"/>
      <c r="L32" s="92"/>
    </row>
    <row r="33" spans="2:13" ht="16" thickBot="1" x14ac:dyDescent="0.45">
      <c r="B33" s="99"/>
      <c r="C33" s="858"/>
      <c r="D33" s="81"/>
      <c r="E33" s="74"/>
      <c r="F33" s="100"/>
      <c r="H33" s="371" t="str">
        <f>TEXT(Constants!$B$23,"") &amp; " Usage"</f>
        <v>High Usage</v>
      </c>
      <c r="I33" s="422">
        <f>Constants!C104</f>
        <v>4</v>
      </c>
      <c r="J33" s="423" t="str">
        <f>Constants!D104</f>
        <v>No limit</v>
      </c>
      <c r="K33" s="74"/>
      <c r="L33" s="93"/>
      <c r="M33" s="74"/>
    </row>
    <row r="34" spans="2:13" x14ac:dyDescent="0.4">
      <c r="B34" s="629" t="s">
        <v>441</v>
      </c>
      <c r="C34" s="839" t="str">
        <f>IF($H$45="","",MIN($H$45:$H$55))</f>
        <v/>
      </c>
      <c r="D34" s="116"/>
      <c r="E34" s="116"/>
      <c r="F34" s="100"/>
      <c r="K34" s="74"/>
      <c r="L34" s="93"/>
      <c r="M34" s="74"/>
    </row>
    <row r="35" spans="2:13" x14ac:dyDescent="0.4">
      <c r="B35" s="629" t="s">
        <v>442</v>
      </c>
      <c r="C35" s="839" t="str">
        <f>IF($H$45="","",MAX($H$45:$H$55))</f>
        <v/>
      </c>
      <c r="D35" s="116"/>
      <c r="E35" s="116"/>
      <c r="F35" s="100"/>
      <c r="K35" s="74"/>
      <c r="L35" s="93"/>
      <c r="M35" s="74"/>
    </row>
    <row r="36" spans="2:13" x14ac:dyDescent="0.4">
      <c r="B36" s="629" t="str">
        <f>"Ambient Temperature Within Tolerance of " &amp; TEXT(Constants!$C$46,"#.#") &amp; "°F ± " &amp; TEXT(Constants!$E$46,"#.#") &amp; " °F?"</f>
        <v>Ambient Temperature Within Tolerance of 67.5°F ± 2.5 °F?</v>
      </c>
      <c r="C36" s="844" t="str">
        <f>IF($C$35="","",IF(AND($C$34&gt;=Constants!$C$46-Constants!$E$46,$C$35&lt;=Constants!$C$46+Constants!$E$46),"Yes","No"))</f>
        <v/>
      </c>
      <c r="D36" s="81"/>
      <c r="E36" s="74"/>
      <c r="F36" s="100"/>
      <c r="K36" s="74"/>
      <c r="L36" s="93"/>
      <c r="M36" s="74"/>
    </row>
    <row r="37" spans="2:13" x14ac:dyDescent="0.4">
      <c r="B37" s="171"/>
      <c r="C37" s="81"/>
      <c r="D37" s="81"/>
      <c r="E37" s="74"/>
      <c r="F37" s="100"/>
      <c r="K37" s="74"/>
      <c r="L37" s="93"/>
      <c r="M37" s="74"/>
    </row>
    <row r="38" spans="2:13" ht="62" x14ac:dyDescent="0.4">
      <c r="B38" s="172"/>
      <c r="C38" s="704" t="s">
        <v>594</v>
      </c>
      <c r="D38" s="87"/>
      <c r="E38" s="704" t="s">
        <v>595</v>
      </c>
      <c r="F38" s="584"/>
      <c r="K38" s="84"/>
      <c r="L38" s="94"/>
      <c r="M38" s="84"/>
    </row>
    <row r="39" spans="2:13" x14ac:dyDescent="0.4">
      <c r="B39" s="630" t="s">
        <v>599</v>
      </c>
      <c r="C39" s="859" t="str">
        <f>IF(C21="","",(C21*(C23-C24))/(10*C25*(Constants!C44-Constants!C45)))</f>
        <v/>
      </c>
      <c r="D39" s="256" t="str">
        <f>"GPM @ " &amp; TEXT(Constants!$C$44-Constants!$C$45,"#") &amp; "°F Rise"</f>
        <v>GPM @ 67°F Rise</v>
      </c>
      <c r="E39" s="860"/>
      <c r="F39" s="257" t="str">
        <f>"GPM @ " &amp; TEXT(Constants!$C$44-Constants!$C$45,"#") &amp; "°F Rise"</f>
        <v>GPM @ 67°F Rise</v>
      </c>
      <c r="K39" s="87"/>
      <c r="L39" s="95"/>
      <c r="M39" s="87"/>
    </row>
    <row r="40" spans="2:13" x14ac:dyDescent="0.4">
      <c r="B40" s="628"/>
      <c r="C40" s="81"/>
      <c r="D40" s="627"/>
      <c r="E40" s="74"/>
      <c r="F40" s="100"/>
      <c r="K40" s="87"/>
      <c r="L40" s="95"/>
      <c r="M40" s="87"/>
    </row>
    <row r="41" spans="2:13" ht="16" thickBot="1" x14ac:dyDescent="0.45">
      <c r="B41" s="108" t="s">
        <v>137</v>
      </c>
      <c r="C41" s="861" t="str">
        <f>IF(C39="","",IF(C39&lt;J30,Constants!$B$11, IF(C39&lt;J31,Constants!$B$15,IF(C39&lt;J32,Constants!$B$19,Constants!$B$23))))</f>
        <v/>
      </c>
      <c r="D41" s="109"/>
      <c r="E41" s="109"/>
      <c r="F41" s="585"/>
      <c r="G41" s="114"/>
      <c r="H41" s="114"/>
      <c r="I41" s="114"/>
      <c r="J41" s="114"/>
      <c r="K41" s="87"/>
      <c r="L41" s="95"/>
      <c r="M41" s="87"/>
    </row>
    <row r="42" spans="2:13" ht="16" thickBot="1" x14ac:dyDescent="0.45">
      <c r="B42" s="77"/>
      <c r="C42" s="80"/>
      <c r="D42" s="80"/>
      <c r="E42" s="75"/>
      <c r="F42" s="77"/>
      <c r="G42" s="77"/>
      <c r="H42" s="77"/>
      <c r="I42" s="77"/>
      <c r="J42" s="77"/>
      <c r="L42" s="125"/>
      <c r="M42" s="77"/>
    </row>
    <row r="43" spans="2:13" ht="16" thickBot="1" x14ac:dyDescent="0.45">
      <c r="B43" s="1128" t="s">
        <v>132</v>
      </c>
      <c r="C43" s="1129"/>
      <c r="D43" s="1129"/>
      <c r="E43" s="1130"/>
      <c r="F43" s="111"/>
      <c r="G43" s="1121" t="s">
        <v>314</v>
      </c>
      <c r="H43" s="1122"/>
      <c r="I43" s="111"/>
      <c r="J43" s="111"/>
      <c r="K43" s="75"/>
      <c r="L43" s="125"/>
    </row>
    <row r="44" spans="2:13" ht="16" thickBot="1" x14ac:dyDescent="0.45">
      <c r="B44" s="1131" t="s">
        <v>138</v>
      </c>
      <c r="C44" s="1126" t="s">
        <v>139</v>
      </c>
      <c r="D44" s="1127"/>
      <c r="E44" s="102" t="str">
        <f>IF(C18="","Basis Unselected",IF(C18="Volume","Total Volume Delivered","Total Mass Delivered"))</f>
        <v>Total Volume Delivered</v>
      </c>
      <c r="F44" s="80"/>
      <c r="G44" s="168" t="s">
        <v>180</v>
      </c>
      <c r="H44" s="169" t="s">
        <v>315</v>
      </c>
      <c r="I44" s="80"/>
      <c r="J44" s="80"/>
      <c r="K44" s="75"/>
      <c r="L44" s="125"/>
    </row>
    <row r="45" spans="2:13" x14ac:dyDescent="0.4">
      <c r="B45" s="1132"/>
      <c r="C45" s="79" t="s">
        <v>140</v>
      </c>
      <c r="D45" s="79" t="s">
        <v>141</v>
      </c>
      <c r="E45" s="103" t="str">
        <f>IF(C18="","Basis Unselected",IF(C18="Volume","Gallons","lbs"))</f>
        <v>Gallons</v>
      </c>
      <c r="F45" s="80"/>
      <c r="G45" s="167">
        <v>0</v>
      </c>
      <c r="H45" s="870"/>
      <c r="I45" s="80"/>
      <c r="J45" s="80"/>
      <c r="K45" s="75"/>
      <c r="L45" s="125"/>
      <c r="M45" s="75"/>
    </row>
    <row r="46" spans="2:13" x14ac:dyDescent="0.4">
      <c r="B46" s="104">
        <v>15</v>
      </c>
      <c r="C46" s="862"/>
      <c r="D46" s="862"/>
      <c r="E46" s="863"/>
      <c r="F46" s="148"/>
      <c r="G46" s="165">
        <v>1</v>
      </c>
      <c r="H46" s="871"/>
      <c r="I46" s="148"/>
      <c r="J46" s="148"/>
      <c r="K46" s="75"/>
      <c r="L46" s="125"/>
    </row>
    <row r="47" spans="2:13" x14ac:dyDescent="0.4">
      <c r="B47" s="105">
        <v>20</v>
      </c>
      <c r="C47" s="864"/>
      <c r="D47" s="864"/>
      <c r="E47" s="865"/>
      <c r="F47" s="148"/>
      <c r="G47" s="165">
        <v>2</v>
      </c>
      <c r="H47" s="871"/>
      <c r="I47" s="148"/>
      <c r="J47" s="148"/>
      <c r="K47" s="75"/>
      <c r="L47" s="125"/>
    </row>
    <row r="48" spans="2:13" x14ac:dyDescent="0.4">
      <c r="B48" s="105">
        <v>25</v>
      </c>
      <c r="C48" s="864"/>
      <c r="D48" s="864"/>
      <c r="E48" s="865"/>
      <c r="F48" s="148"/>
      <c r="G48" s="165">
        <v>3</v>
      </c>
      <c r="H48" s="871"/>
      <c r="I48" s="148"/>
      <c r="J48" s="148"/>
      <c r="K48" s="75"/>
      <c r="L48" s="125"/>
    </row>
    <row r="49" spans="2:13" x14ac:dyDescent="0.4">
      <c r="B49" s="105">
        <v>30</v>
      </c>
      <c r="C49" s="864"/>
      <c r="D49" s="864"/>
      <c r="E49" s="865"/>
      <c r="F49" s="148"/>
      <c r="G49" s="164">
        <v>4</v>
      </c>
      <c r="H49" s="871"/>
      <c r="I49" s="148"/>
      <c r="J49" s="148"/>
      <c r="K49" s="75"/>
      <c r="L49" s="125"/>
    </row>
    <row r="50" spans="2:13" x14ac:dyDescent="0.4">
      <c r="B50" s="105">
        <v>35</v>
      </c>
      <c r="C50" s="864"/>
      <c r="D50" s="864"/>
      <c r="E50" s="865"/>
      <c r="F50" s="148"/>
      <c r="G50" s="165">
        <v>5</v>
      </c>
      <c r="H50" s="871"/>
      <c r="I50" s="148"/>
      <c r="J50" s="148"/>
      <c r="K50" s="75"/>
      <c r="L50" s="125"/>
    </row>
    <row r="51" spans="2:13" x14ac:dyDescent="0.4">
      <c r="B51" s="105">
        <v>40</v>
      </c>
      <c r="C51" s="864"/>
      <c r="D51" s="864"/>
      <c r="E51" s="865"/>
      <c r="F51" s="148"/>
      <c r="G51" s="165">
        <v>6</v>
      </c>
      <c r="H51" s="871"/>
      <c r="I51" s="148"/>
      <c r="J51" s="148"/>
      <c r="K51" s="75"/>
      <c r="L51" s="125"/>
    </row>
    <row r="52" spans="2:13" x14ac:dyDescent="0.4">
      <c r="B52" s="105">
        <v>45</v>
      </c>
      <c r="C52" s="864"/>
      <c r="D52" s="864"/>
      <c r="E52" s="865"/>
      <c r="F52" s="148"/>
      <c r="G52" s="165">
        <v>7</v>
      </c>
      <c r="H52" s="871"/>
      <c r="I52" s="148"/>
      <c r="J52" s="148"/>
      <c r="K52" s="75"/>
      <c r="L52" s="125"/>
    </row>
    <row r="53" spans="2:13" x14ac:dyDescent="0.4">
      <c r="B53" s="105">
        <v>50</v>
      </c>
      <c r="C53" s="864"/>
      <c r="D53" s="864"/>
      <c r="E53" s="865"/>
      <c r="F53" s="148"/>
      <c r="G53" s="164">
        <v>8</v>
      </c>
      <c r="H53" s="871"/>
      <c r="I53" s="148"/>
      <c r="J53" s="148"/>
      <c r="K53" s="75"/>
      <c r="L53" s="125"/>
    </row>
    <row r="54" spans="2:13" x14ac:dyDescent="0.4">
      <c r="B54" s="105">
        <v>55</v>
      </c>
      <c r="C54" s="864"/>
      <c r="D54" s="864"/>
      <c r="E54" s="865"/>
      <c r="F54" s="148"/>
      <c r="G54" s="165">
        <v>9</v>
      </c>
      <c r="H54" s="871"/>
      <c r="I54" s="148"/>
      <c r="J54" s="148"/>
      <c r="K54" s="75"/>
      <c r="L54" s="125"/>
    </row>
    <row r="55" spans="2:13" ht="16" thickBot="1" x14ac:dyDescent="0.45">
      <c r="B55" s="105">
        <v>60</v>
      </c>
      <c r="C55" s="864"/>
      <c r="D55" s="864"/>
      <c r="E55" s="865"/>
      <c r="F55" s="148"/>
      <c r="G55" s="166">
        <v>10</v>
      </c>
      <c r="H55" s="872"/>
      <c r="I55" s="148"/>
      <c r="J55" s="148"/>
      <c r="K55" s="75"/>
      <c r="L55" s="125"/>
    </row>
    <row r="56" spans="2:13" x14ac:dyDescent="0.4">
      <c r="B56" s="105">
        <v>65</v>
      </c>
      <c r="C56" s="864"/>
      <c r="D56" s="864"/>
      <c r="E56" s="865"/>
      <c r="F56" s="148"/>
      <c r="G56" s="148"/>
      <c r="H56" s="148"/>
      <c r="I56" s="148"/>
      <c r="J56" s="148"/>
      <c r="K56" s="75"/>
      <c r="L56" s="125"/>
    </row>
    <row r="57" spans="2:13" x14ac:dyDescent="0.4">
      <c r="B57" s="105">
        <v>70</v>
      </c>
      <c r="C57" s="864"/>
      <c r="D57" s="864"/>
      <c r="E57" s="865"/>
      <c r="F57" s="148"/>
      <c r="G57" s="148"/>
      <c r="H57" s="148"/>
      <c r="I57" s="148"/>
      <c r="J57" s="148"/>
      <c r="K57" s="75"/>
      <c r="L57" s="125"/>
    </row>
    <row r="58" spans="2:13" x14ac:dyDescent="0.4">
      <c r="B58" s="105">
        <v>75</v>
      </c>
      <c r="C58" s="864"/>
      <c r="D58" s="864"/>
      <c r="E58" s="865"/>
      <c r="F58" s="148"/>
      <c r="G58" s="148"/>
      <c r="H58" s="148"/>
      <c r="I58" s="148"/>
      <c r="J58" s="148"/>
      <c r="K58" s="75"/>
      <c r="L58" s="125"/>
    </row>
    <row r="59" spans="2:13" x14ac:dyDescent="0.4">
      <c r="B59" s="105">
        <v>80</v>
      </c>
      <c r="C59" s="864"/>
      <c r="D59" s="864"/>
      <c r="E59" s="865"/>
      <c r="F59" s="148"/>
      <c r="G59" s="148"/>
      <c r="H59" s="148"/>
      <c r="I59" s="148"/>
      <c r="J59" s="148"/>
      <c r="K59" s="75"/>
      <c r="L59" s="125"/>
    </row>
    <row r="60" spans="2:13" x14ac:dyDescent="0.4">
      <c r="B60" s="105">
        <v>85</v>
      </c>
      <c r="C60" s="864"/>
      <c r="D60" s="864"/>
      <c r="E60" s="865"/>
      <c r="F60" s="148"/>
      <c r="G60" s="148"/>
      <c r="H60" s="148"/>
      <c r="I60" s="148"/>
      <c r="J60" s="148"/>
      <c r="K60" s="75"/>
      <c r="L60" s="125"/>
    </row>
    <row r="61" spans="2:13" x14ac:dyDescent="0.4">
      <c r="B61" s="105">
        <v>90</v>
      </c>
      <c r="C61" s="864"/>
      <c r="D61" s="864"/>
      <c r="E61" s="865"/>
      <c r="F61" s="148"/>
      <c r="G61" s="148"/>
      <c r="H61" s="148"/>
      <c r="I61" s="148"/>
      <c r="J61" s="148"/>
      <c r="K61" s="82"/>
      <c r="L61" s="96"/>
      <c r="M61" s="82"/>
    </row>
    <row r="62" spans="2:13" x14ac:dyDescent="0.4">
      <c r="B62" s="105">
        <v>95</v>
      </c>
      <c r="C62" s="864"/>
      <c r="D62" s="864"/>
      <c r="E62" s="865"/>
      <c r="F62" s="148"/>
      <c r="G62" s="148"/>
      <c r="H62" s="148"/>
      <c r="I62" s="148"/>
      <c r="J62" s="148"/>
      <c r="K62" s="75"/>
      <c r="L62" s="125"/>
    </row>
    <row r="63" spans="2:13" x14ac:dyDescent="0.4">
      <c r="B63" s="105">
        <v>100</v>
      </c>
      <c r="C63" s="864"/>
      <c r="D63" s="864"/>
      <c r="E63" s="865"/>
      <c r="F63" s="148"/>
      <c r="G63" s="148"/>
      <c r="H63" s="148"/>
      <c r="I63" s="148"/>
      <c r="J63" s="148"/>
      <c r="K63" s="75"/>
      <c r="L63" s="125"/>
    </row>
    <row r="64" spans="2:13" x14ac:dyDescent="0.4">
      <c r="B64" s="105">
        <v>105</v>
      </c>
      <c r="C64" s="864"/>
      <c r="D64" s="864"/>
      <c r="E64" s="865"/>
      <c r="F64" s="148"/>
      <c r="G64" s="148"/>
      <c r="H64" s="148"/>
      <c r="I64" s="148"/>
      <c r="J64" s="148"/>
      <c r="K64" s="75"/>
      <c r="L64" s="125"/>
    </row>
    <row r="65" spans="2:12" x14ac:dyDescent="0.4">
      <c r="B65" s="105">
        <v>110</v>
      </c>
      <c r="C65" s="864"/>
      <c r="D65" s="864"/>
      <c r="E65" s="865"/>
      <c r="F65" s="148"/>
      <c r="G65" s="148"/>
      <c r="H65" s="148"/>
      <c r="I65" s="148"/>
      <c r="J65" s="148"/>
      <c r="K65" s="75"/>
      <c r="L65" s="125"/>
    </row>
    <row r="66" spans="2:12" x14ac:dyDescent="0.4">
      <c r="B66" s="105">
        <v>115</v>
      </c>
      <c r="C66" s="864"/>
      <c r="D66" s="864"/>
      <c r="E66" s="865"/>
      <c r="F66" s="148"/>
      <c r="G66" s="148"/>
      <c r="H66" s="148"/>
      <c r="I66" s="148"/>
      <c r="J66" s="148"/>
      <c r="K66" s="75"/>
      <c r="L66" s="125"/>
    </row>
    <row r="67" spans="2:12" x14ac:dyDescent="0.4">
      <c r="B67" s="105">
        <v>120</v>
      </c>
      <c r="C67" s="864"/>
      <c r="D67" s="864"/>
      <c r="E67" s="865"/>
      <c r="F67" s="148"/>
      <c r="G67" s="148"/>
      <c r="H67" s="148"/>
      <c r="I67" s="148"/>
      <c r="J67" s="148"/>
      <c r="K67" s="75"/>
      <c r="L67" s="125"/>
    </row>
    <row r="68" spans="2:12" x14ac:dyDescent="0.4">
      <c r="B68" s="105">
        <v>125</v>
      </c>
      <c r="C68" s="864"/>
      <c r="D68" s="864"/>
      <c r="E68" s="865"/>
      <c r="F68" s="148"/>
      <c r="G68" s="148"/>
      <c r="H68" s="148"/>
      <c r="I68" s="148"/>
      <c r="J68" s="148"/>
      <c r="K68" s="75"/>
      <c r="L68" s="125"/>
    </row>
    <row r="69" spans="2:12" x14ac:dyDescent="0.4">
      <c r="B69" s="105">
        <v>130</v>
      </c>
      <c r="C69" s="864"/>
      <c r="D69" s="864"/>
      <c r="E69" s="865"/>
      <c r="F69" s="148"/>
      <c r="G69" s="148"/>
      <c r="H69" s="148"/>
      <c r="I69" s="148"/>
      <c r="J69" s="148"/>
      <c r="K69" s="75"/>
      <c r="L69" s="125"/>
    </row>
    <row r="70" spans="2:12" x14ac:dyDescent="0.4">
      <c r="B70" s="105">
        <v>135</v>
      </c>
      <c r="C70" s="864"/>
      <c r="D70" s="864"/>
      <c r="E70" s="865"/>
      <c r="F70" s="148"/>
      <c r="G70" s="148"/>
      <c r="H70" s="148"/>
      <c r="I70" s="148"/>
      <c r="J70" s="148"/>
      <c r="K70" s="75"/>
      <c r="L70" s="125"/>
    </row>
    <row r="71" spans="2:12" x14ac:dyDescent="0.4">
      <c r="B71" s="105">
        <v>140</v>
      </c>
      <c r="C71" s="864"/>
      <c r="D71" s="864"/>
      <c r="E71" s="865"/>
      <c r="F71" s="148"/>
      <c r="G71" s="148"/>
      <c r="H71" s="148"/>
      <c r="I71" s="148"/>
      <c r="J71" s="148"/>
      <c r="K71" s="75"/>
      <c r="L71" s="125"/>
    </row>
    <row r="72" spans="2:12" x14ac:dyDescent="0.4">
      <c r="B72" s="105">
        <v>145</v>
      </c>
      <c r="C72" s="864"/>
      <c r="D72" s="864"/>
      <c r="E72" s="865"/>
      <c r="F72" s="148"/>
      <c r="G72" s="148"/>
      <c r="H72" s="148"/>
      <c r="I72" s="148"/>
      <c r="J72" s="148"/>
      <c r="K72" s="75"/>
      <c r="L72" s="125"/>
    </row>
    <row r="73" spans="2:12" x14ac:dyDescent="0.4">
      <c r="B73" s="105">
        <v>150</v>
      </c>
      <c r="C73" s="864"/>
      <c r="D73" s="864"/>
      <c r="E73" s="865"/>
      <c r="F73" s="148"/>
      <c r="G73" s="148"/>
      <c r="H73" s="148"/>
      <c r="I73" s="148"/>
      <c r="J73" s="148"/>
      <c r="K73" s="75"/>
      <c r="L73" s="125"/>
    </row>
    <row r="74" spans="2:12" x14ac:dyDescent="0.4">
      <c r="B74" s="105">
        <v>155</v>
      </c>
      <c r="C74" s="864"/>
      <c r="D74" s="864"/>
      <c r="E74" s="865"/>
      <c r="F74" s="148"/>
      <c r="G74" s="148"/>
      <c r="H74" s="148"/>
      <c r="I74" s="148"/>
      <c r="J74" s="148"/>
      <c r="K74" s="75"/>
      <c r="L74" s="125"/>
    </row>
    <row r="75" spans="2:12" x14ac:dyDescent="0.4">
      <c r="B75" s="105">
        <v>160</v>
      </c>
      <c r="C75" s="864"/>
      <c r="D75" s="864"/>
      <c r="E75" s="865"/>
      <c r="F75" s="148"/>
      <c r="G75" s="148"/>
      <c r="H75" s="148"/>
      <c r="I75" s="148"/>
      <c r="J75" s="148"/>
      <c r="K75" s="75"/>
      <c r="L75" s="125"/>
    </row>
    <row r="76" spans="2:12" x14ac:dyDescent="0.4">
      <c r="B76" s="105">
        <v>165</v>
      </c>
      <c r="C76" s="864"/>
      <c r="D76" s="864"/>
      <c r="E76" s="865"/>
      <c r="F76" s="148"/>
      <c r="G76" s="148"/>
      <c r="H76" s="148"/>
      <c r="I76" s="148"/>
      <c r="J76" s="148"/>
      <c r="K76" s="75"/>
      <c r="L76" s="125"/>
    </row>
    <row r="77" spans="2:12" x14ac:dyDescent="0.4">
      <c r="B77" s="105">
        <v>170</v>
      </c>
      <c r="C77" s="864"/>
      <c r="D77" s="864"/>
      <c r="E77" s="865"/>
      <c r="F77" s="148"/>
      <c r="G77" s="148"/>
      <c r="H77" s="148"/>
      <c r="I77" s="148"/>
      <c r="J77" s="148"/>
      <c r="K77" s="75"/>
      <c r="L77" s="125"/>
    </row>
    <row r="78" spans="2:12" x14ac:dyDescent="0.4">
      <c r="B78" s="105">
        <v>175</v>
      </c>
      <c r="C78" s="864"/>
      <c r="D78" s="864"/>
      <c r="E78" s="865"/>
      <c r="F78" s="148"/>
      <c r="G78" s="148"/>
      <c r="H78" s="148"/>
      <c r="I78" s="148"/>
      <c r="J78" s="148"/>
      <c r="K78" s="75"/>
      <c r="L78" s="125"/>
    </row>
    <row r="79" spans="2:12" x14ac:dyDescent="0.4">
      <c r="B79" s="105">
        <v>180</v>
      </c>
      <c r="C79" s="864"/>
      <c r="D79" s="864"/>
      <c r="E79" s="865"/>
      <c r="F79" s="148"/>
      <c r="G79" s="148"/>
      <c r="H79" s="148"/>
      <c r="I79" s="148"/>
      <c r="J79" s="148"/>
      <c r="K79" s="75"/>
      <c r="L79" s="125"/>
    </row>
    <row r="80" spans="2:12" x14ac:dyDescent="0.4">
      <c r="B80" s="105">
        <v>185</v>
      </c>
      <c r="C80" s="864"/>
      <c r="D80" s="864"/>
      <c r="E80" s="865"/>
      <c r="F80" s="148"/>
      <c r="G80" s="148"/>
      <c r="H80" s="148"/>
      <c r="I80" s="148"/>
      <c r="J80" s="148"/>
      <c r="K80" s="75"/>
      <c r="L80" s="125"/>
    </row>
    <row r="81" spans="2:12" x14ac:dyDescent="0.4">
      <c r="B81" s="105">
        <v>190</v>
      </c>
      <c r="C81" s="864"/>
      <c r="D81" s="864"/>
      <c r="E81" s="865"/>
      <c r="F81" s="148"/>
      <c r="G81" s="148"/>
      <c r="H81" s="148"/>
      <c r="I81" s="148"/>
      <c r="J81" s="148"/>
      <c r="K81" s="75"/>
      <c r="L81" s="125"/>
    </row>
    <row r="82" spans="2:12" x14ac:dyDescent="0.4">
      <c r="B82" s="105">
        <v>195</v>
      </c>
      <c r="C82" s="864"/>
      <c r="D82" s="864"/>
      <c r="E82" s="865"/>
      <c r="F82" s="148"/>
      <c r="G82" s="148"/>
      <c r="H82" s="148"/>
      <c r="I82" s="148"/>
      <c r="J82" s="148"/>
      <c r="K82" s="75"/>
      <c r="L82" s="125"/>
    </row>
    <row r="83" spans="2:12" x14ac:dyDescent="0.4">
      <c r="B83" s="105">
        <v>200</v>
      </c>
      <c r="C83" s="864"/>
      <c r="D83" s="864"/>
      <c r="E83" s="865"/>
      <c r="F83" s="148"/>
      <c r="G83" s="148"/>
      <c r="H83" s="148"/>
      <c r="I83" s="148"/>
      <c r="J83" s="148"/>
      <c r="K83" s="75"/>
      <c r="L83" s="125"/>
    </row>
    <row r="84" spans="2:12" x14ac:dyDescent="0.4">
      <c r="B84" s="105">
        <v>205</v>
      </c>
      <c r="C84" s="864"/>
      <c r="D84" s="864"/>
      <c r="E84" s="865"/>
      <c r="F84" s="148"/>
      <c r="G84" s="148"/>
      <c r="H84" s="148"/>
      <c r="I84" s="148"/>
      <c r="J84" s="148"/>
      <c r="K84" s="75"/>
      <c r="L84" s="125"/>
    </row>
    <row r="85" spans="2:12" x14ac:dyDescent="0.4">
      <c r="B85" s="105">
        <v>210</v>
      </c>
      <c r="C85" s="864"/>
      <c r="D85" s="864"/>
      <c r="E85" s="865"/>
      <c r="F85" s="148"/>
      <c r="G85" s="148"/>
      <c r="H85" s="148"/>
      <c r="I85" s="148"/>
      <c r="J85" s="148"/>
      <c r="K85" s="75"/>
      <c r="L85" s="125"/>
    </row>
    <row r="86" spans="2:12" x14ac:dyDescent="0.4">
      <c r="B86" s="105">
        <v>215</v>
      </c>
      <c r="C86" s="864"/>
      <c r="D86" s="864"/>
      <c r="E86" s="865"/>
      <c r="F86" s="148"/>
      <c r="G86" s="148"/>
      <c r="H86" s="148"/>
      <c r="I86" s="148"/>
      <c r="J86" s="148"/>
      <c r="K86" s="75"/>
      <c r="L86" s="125"/>
    </row>
    <row r="87" spans="2:12" x14ac:dyDescent="0.4">
      <c r="B87" s="105">
        <v>220</v>
      </c>
      <c r="C87" s="864"/>
      <c r="D87" s="864"/>
      <c r="E87" s="865"/>
      <c r="F87" s="148"/>
      <c r="G87" s="148"/>
      <c r="H87" s="148"/>
      <c r="I87" s="148"/>
      <c r="J87" s="148"/>
      <c r="K87" s="75"/>
      <c r="L87" s="125"/>
    </row>
    <row r="88" spans="2:12" x14ac:dyDescent="0.4">
      <c r="B88" s="105">
        <v>225</v>
      </c>
      <c r="C88" s="864"/>
      <c r="D88" s="864"/>
      <c r="E88" s="865"/>
      <c r="F88" s="148"/>
      <c r="G88" s="148"/>
      <c r="H88" s="148"/>
      <c r="I88" s="148"/>
      <c r="J88" s="148"/>
      <c r="K88" s="75"/>
      <c r="L88" s="125"/>
    </row>
    <row r="89" spans="2:12" x14ac:dyDescent="0.4">
      <c r="B89" s="105">
        <v>230</v>
      </c>
      <c r="C89" s="864"/>
      <c r="D89" s="864"/>
      <c r="E89" s="865"/>
      <c r="F89" s="148"/>
      <c r="G89" s="148"/>
      <c r="H89" s="148"/>
      <c r="I89" s="148"/>
      <c r="J89" s="148"/>
      <c r="K89" s="75"/>
      <c r="L89" s="125"/>
    </row>
    <row r="90" spans="2:12" x14ac:dyDescent="0.4">
      <c r="B90" s="105">
        <v>235</v>
      </c>
      <c r="C90" s="864"/>
      <c r="D90" s="864"/>
      <c r="E90" s="865"/>
      <c r="F90" s="148"/>
      <c r="G90" s="148"/>
      <c r="H90" s="148"/>
      <c r="I90" s="148"/>
      <c r="J90" s="148"/>
      <c r="K90" s="75"/>
      <c r="L90" s="125"/>
    </row>
    <row r="91" spans="2:12" x14ac:dyDescent="0.4">
      <c r="B91" s="105">
        <v>240</v>
      </c>
      <c r="C91" s="864"/>
      <c r="D91" s="864"/>
      <c r="E91" s="865"/>
      <c r="F91" s="148"/>
      <c r="G91" s="148"/>
      <c r="H91" s="148"/>
      <c r="I91" s="148"/>
      <c r="J91" s="148"/>
      <c r="K91" s="75"/>
      <c r="L91" s="125"/>
    </row>
    <row r="92" spans="2:12" x14ac:dyDescent="0.4">
      <c r="B92" s="105">
        <v>245</v>
      </c>
      <c r="C92" s="864"/>
      <c r="D92" s="864"/>
      <c r="E92" s="865"/>
      <c r="F92" s="148"/>
      <c r="G92" s="148"/>
      <c r="H92" s="148"/>
      <c r="I92" s="148"/>
      <c r="J92" s="148"/>
      <c r="K92" s="75"/>
      <c r="L92" s="125"/>
    </row>
    <row r="93" spans="2:12" x14ac:dyDescent="0.4">
      <c r="B93" s="105">
        <v>250</v>
      </c>
      <c r="C93" s="864"/>
      <c r="D93" s="864"/>
      <c r="E93" s="865"/>
      <c r="F93" s="148"/>
      <c r="G93" s="148"/>
      <c r="H93" s="148"/>
      <c r="I93" s="148"/>
      <c r="J93" s="148"/>
      <c r="K93" s="75"/>
      <c r="L93" s="125"/>
    </row>
    <row r="94" spans="2:12" x14ac:dyDescent="0.4">
      <c r="B94" s="105">
        <v>255</v>
      </c>
      <c r="C94" s="864"/>
      <c r="D94" s="864"/>
      <c r="E94" s="865"/>
      <c r="F94" s="148"/>
      <c r="G94" s="148"/>
      <c r="H94" s="148"/>
      <c r="I94" s="148"/>
      <c r="J94" s="148"/>
      <c r="K94" s="75"/>
      <c r="L94" s="125"/>
    </row>
    <row r="95" spans="2:12" x14ac:dyDescent="0.4">
      <c r="B95" s="105">
        <v>260</v>
      </c>
      <c r="C95" s="864"/>
      <c r="D95" s="864"/>
      <c r="E95" s="865"/>
      <c r="F95" s="148"/>
      <c r="G95" s="148"/>
      <c r="H95" s="148"/>
      <c r="I95" s="148"/>
      <c r="J95" s="148"/>
      <c r="K95" s="75"/>
      <c r="L95" s="125"/>
    </row>
    <row r="96" spans="2:12" x14ac:dyDescent="0.4">
      <c r="B96" s="105">
        <v>265</v>
      </c>
      <c r="C96" s="864"/>
      <c r="D96" s="864"/>
      <c r="E96" s="865"/>
      <c r="F96" s="148"/>
      <c r="G96" s="148"/>
      <c r="H96" s="148"/>
      <c r="I96" s="148"/>
      <c r="J96" s="148"/>
      <c r="K96" s="75"/>
      <c r="L96" s="125"/>
    </row>
    <row r="97" spans="2:12" x14ac:dyDescent="0.4">
      <c r="B97" s="105">
        <v>270</v>
      </c>
      <c r="C97" s="864"/>
      <c r="D97" s="864"/>
      <c r="E97" s="865"/>
      <c r="F97" s="148"/>
      <c r="G97" s="148"/>
      <c r="H97" s="148"/>
      <c r="I97" s="148"/>
      <c r="J97" s="148"/>
      <c r="K97" s="75"/>
      <c r="L97" s="125"/>
    </row>
    <row r="98" spans="2:12" x14ac:dyDescent="0.4">
      <c r="B98" s="105">
        <v>275</v>
      </c>
      <c r="C98" s="864"/>
      <c r="D98" s="864"/>
      <c r="E98" s="865"/>
      <c r="F98" s="148"/>
      <c r="G98" s="148"/>
      <c r="H98" s="148"/>
      <c r="I98" s="148"/>
      <c r="J98" s="148"/>
      <c r="K98" s="75"/>
      <c r="L98" s="125"/>
    </row>
    <row r="99" spans="2:12" x14ac:dyDescent="0.4">
      <c r="B99" s="105">
        <v>280</v>
      </c>
      <c r="C99" s="864"/>
      <c r="D99" s="864"/>
      <c r="E99" s="865"/>
      <c r="F99" s="148"/>
      <c r="G99" s="148"/>
      <c r="H99" s="148"/>
      <c r="I99" s="148"/>
      <c r="J99" s="148"/>
      <c r="K99" s="75"/>
      <c r="L99" s="125"/>
    </row>
    <row r="100" spans="2:12" x14ac:dyDescent="0.4">
      <c r="B100" s="105">
        <v>285</v>
      </c>
      <c r="C100" s="864"/>
      <c r="D100" s="864"/>
      <c r="E100" s="865"/>
      <c r="F100" s="148"/>
      <c r="G100" s="148"/>
      <c r="H100" s="148"/>
      <c r="I100" s="148"/>
      <c r="J100" s="148"/>
      <c r="K100" s="75"/>
      <c r="L100" s="125"/>
    </row>
    <row r="101" spans="2:12" x14ac:dyDescent="0.4">
      <c r="B101" s="105">
        <v>290</v>
      </c>
      <c r="C101" s="864"/>
      <c r="D101" s="864"/>
      <c r="E101" s="865"/>
      <c r="F101" s="148"/>
      <c r="G101" s="148"/>
      <c r="H101" s="148"/>
      <c r="I101" s="148"/>
      <c r="J101" s="148"/>
      <c r="K101" s="75"/>
      <c r="L101" s="125"/>
    </row>
    <row r="102" spans="2:12" x14ac:dyDescent="0.4">
      <c r="B102" s="105">
        <v>295</v>
      </c>
      <c r="C102" s="864"/>
      <c r="D102" s="864"/>
      <c r="E102" s="865"/>
      <c r="F102" s="148"/>
      <c r="G102" s="148"/>
      <c r="H102" s="148"/>
      <c r="I102" s="148"/>
      <c r="J102" s="148"/>
      <c r="K102" s="75"/>
      <c r="L102" s="125"/>
    </row>
    <row r="103" spans="2:12" x14ac:dyDescent="0.4">
      <c r="B103" s="105">
        <v>300</v>
      </c>
      <c r="C103" s="864"/>
      <c r="D103" s="864"/>
      <c r="E103" s="865"/>
      <c r="F103" s="148"/>
      <c r="G103" s="148"/>
      <c r="H103" s="148"/>
      <c r="I103" s="148"/>
      <c r="J103" s="148"/>
      <c r="K103" s="75"/>
      <c r="L103" s="125"/>
    </row>
    <row r="104" spans="2:12" x14ac:dyDescent="0.4">
      <c r="B104" s="105">
        <v>305</v>
      </c>
      <c r="C104" s="864"/>
      <c r="D104" s="864"/>
      <c r="E104" s="865"/>
      <c r="F104" s="148"/>
      <c r="G104" s="148"/>
      <c r="H104" s="148"/>
      <c r="I104" s="148"/>
      <c r="J104" s="148"/>
      <c r="K104" s="75"/>
      <c r="L104" s="125"/>
    </row>
    <row r="105" spans="2:12" x14ac:dyDescent="0.4">
      <c r="B105" s="105">
        <v>310</v>
      </c>
      <c r="C105" s="864"/>
      <c r="D105" s="864"/>
      <c r="E105" s="865"/>
      <c r="F105" s="148"/>
      <c r="G105" s="148"/>
      <c r="H105" s="148"/>
      <c r="I105" s="148"/>
      <c r="J105" s="148"/>
      <c r="K105" s="75"/>
      <c r="L105" s="125"/>
    </row>
    <row r="106" spans="2:12" x14ac:dyDescent="0.4">
      <c r="B106" s="105">
        <v>315</v>
      </c>
      <c r="C106" s="864"/>
      <c r="D106" s="864"/>
      <c r="E106" s="865"/>
      <c r="F106" s="148"/>
      <c r="G106" s="148"/>
      <c r="H106" s="148"/>
      <c r="I106" s="148"/>
      <c r="J106" s="148"/>
      <c r="K106" s="75"/>
      <c r="L106" s="125"/>
    </row>
    <row r="107" spans="2:12" x14ac:dyDescent="0.4">
      <c r="B107" s="105">
        <v>320</v>
      </c>
      <c r="C107" s="864"/>
      <c r="D107" s="864"/>
      <c r="E107" s="865"/>
      <c r="F107" s="148"/>
      <c r="G107" s="148"/>
      <c r="H107" s="148"/>
      <c r="I107" s="148"/>
      <c r="J107" s="148"/>
      <c r="K107" s="75"/>
      <c r="L107" s="125"/>
    </row>
    <row r="108" spans="2:12" x14ac:dyDescent="0.4">
      <c r="B108" s="105">
        <v>325</v>
      </c>
      <c r="C108" s="864"/>
      <c r="D108" s="864"/>
      <c r="E108" s="865"/>
      <c r="F108" s="148"/>
      <c r="G108" s="148"/>
      <c r="H108" s="148"/>
      <c r="I108" s="148"/>
      <c r="J108" s="148"/>
      <c r="K108" s="75"/>
      <c r="L108" s="125"/>
    </row>
    <row r="109" spans="2:12" x14ac:dyDescent="0.4">
      <c r="B109" s="105">
        <v>330</v>
      </c>
      <c r="C109" s="864"/>
      <c r="D109" s="864"/>
      <c r="E109" s="865"/>
      <c r="F109" s="148"/>
      <c r="G109" s="148"/>
      <c r="H109" s="148"/>
      <c r="I109" s="148"/>
      <c r="J109" s="148"/>
      <c r="K109" s="75"/>
      <c r="L109" s="125"/>
    </row>
    <row r="110" spans="2:12" x14ac:dyDescent="0.4">
      <c r="B110" s="105">
        <v>335</v>
      </c>
      <c r="C110" s="864"/>
      <c r="D110" s="864"/>
      <c r="E110" s="865"/>
      <c r="F110" s="148"/>
      <c r="G110" s="148"/>
      <c r="H110" s="148"/>
      <c r="I110" s="148"/>
      <c r="J110" s="148"/>
      <c r="K110" s="75"/>
      <c r="L110" s="125"/>
    </row>
    <row r="111" spans="2:12" x14ac:dyDescent="0.4">
      <c r="B111" s="105">
        <v>340</v>
      </c>
      <c r="C111" s="864"/>
      <c r="D111" s="864"/>
      <c r="E111" s="865"/>
      <c r="F111" s="148"/>
      <c r="G111" s="148"/>
      <c r="H111" s="148"/>
      <c r="I111" s="148"/>
      <c r="J111" s="148"/>
      <c r="K111" s="75"/>
      <c r="L111" s="125"/>
    </row>
    <row r="112" spans="2:12" x14ac:dyDescent="0.4">
      <c r="B112" s="105">
        <v>345</v>
      </c>
      <c r="C112" s="864"/>
      <c r="D112" s="864"/>
      <c r="E112" s="865"/>
      <c r="F112" s="148"/>
      <c r="G112" s="148"/>
      <c r="H112" s="148"/>
      <c r="I112" s="148"/>
      <c r="J112" s="148"/>
      <c r="K112" s="75"/>
      <c r="L112" s="125"/>
    </row>
    <row r="113" spans="2:12" x14ac:dyDescent="0.4">
      <c r="B113" s="105">
        <v>350</v>
      </c>
      <c r="C113" s="864"/>
      <c r="D113" s="864"/>
      <c r="E113" s="865"/>
      <c r="F113" s="148"/>
      <c r="G113" s="148"/>
      <c r="H113" s="148"/>
      <c r="I113" s="148"/>
      <c r="J113" s="148"/>
      <c r="K113" s="75"/>
      <c r="L113" s="125"/>
    </row>
    <row r="114" spans="2:12" x14ac:dyDescent="0.4">
      <c r="B114" s="105">
        <v>355</v>
      </c>
      <c r="C114" s="864"/>
      <c r="D114" s="864"/>
      <c r="E114" s="865"/>
      <c r="F114" s="148"/>
      <c r="G114" s="148"/>
      <c r="H114" s="148"/>
      <c r="I114" s="148"/>
      <c r="J114" s="148"/>
      <c r="K114" s="75"/>
      <c r="L114" s="125"/>
    </row>
    <row r="115" spans="2:12" x14ac:dyDescent="0.4">
      <c r="B115" s="105">
        <v>360</v>
      </c>
      <c r="C115" s="864"/>
      <c r="D115" s="864"/>
      <c r="E115" s="865"/>
      <c r="F115" s="148"/>
      <c r="G115" s="148"/>
      <c r="H115" s="148"/>
      <c r="I115" s="148"/>
      <c r="J115" s="148"/>
      <c r="K115" s="75"/>
      <c r="L115" s="125"/>
    </row>
    <row r="116" spans="2:12" x14ac:dyDescent="0.4">
      <c r="B116" s="105">
        <v>365</v>
      </c>
      <c r="C116" s="864"/>
      <c r="D116" s="864"/>
      <c r="E116" s="865"/>
      <c r="F116" s="148"/>
      <c r="G116" s="148"/>
      <c r="H116" s="148"/>
      <c r="I116" s="148"/>
      <c r="J116" s="148"/>
      <c r="K116" s="75"/>
      <c r="L116" s="125"/>
    </row>
    <row r="117" spans="2:12" x14ac:dyDescent="0.4">
      <c r="B117" s="105">
        <v>370</v>
      </c>
      <c r="C117" s="864"/>
      <c r="D117" s="864"/>
      <c r="E117" s="865"/>
      <c r="F117" s="148"/>
      <c r="G117" s="148"/>
      <c r="H117" s="148"/>
      <c r="I117" s="148"/>
      <c r="J117" s="148"/>
      <c r="K117" s="75"/>
      <c r="L117" s="125"/>
    </row>
    <row r="118" spans="2:12" x14ac:dyDescent="0.4">
      <c r="B118" s="105">
        <v>375</v>
      </c>
      <c r="C118" s="864"/>
      <c r="D118" s="864"/>
      <c r="E118" s="865"/>
      <c r="F118" s="148"/>
      <c r="G118" s="148"/>
      <c r="H118" s="148"/>
      <c r="I118" s="148"/>
      <c r="J118" s="148"/>
      <c r="K118" s="75"/>
      <c r="L118" s="125"/>
    </row>
    <row r="119" spans="2:12" x14ac:dyDescent="0.4">
      <c r="B119" s="105">
        <v>380</v>
      </c>
      <c r="C119" s="864"/>
      <c r="D119" s="864"/>
      <c r="E119" s="865"/>
      <c r="F119" s="148"/>
      <c r="G119" s="148"/>
      <c r="H119" s="148"/>
      <c r="I119" s="148"/>
      <c r="J119" s="148"/>
      <c r="K119" s="75"/>
      <c r="L119" s="125"/>
    </row>
    <row r="120" spans="2:12" x14ac:dyDescent="0.4">
      <c r="B120" s="105">
        <v>385</v>
      </c>
      <c r="C120" s="864"/>
      <c r="D120" s="864"/>
      <c r="E120" s="865"/>
      <c r="F120" s="148"/>
      <c r="G120" s="148"/>
      <c r="H120" s="148"/>
      <c r="I120" s="148"/>
      <c r="J120" s="148"/>
      <c r="K120" s="75"/>
      <c r="L120" s="125"/>
    </row>
    <row r="121" spans="2:12" x14ac:dyDescent="0.4">
      <c r="B121" s="105">
        <v>390</v>
      </c>
      <c r="C121" s="864"/>
      <c r="D121" s="864"/>
      <c r="E121" s="865"/>
      <c r="F121" s="148"/>
      <c r="G121" s="148"/>
      <c r="H121" s="148"/>
      <c r="I121" s="148"/>
      <c r="J121" s="148"/>
      <c r="K121" s="75"/>
      <c r="L121" s="125"/>
    </row>
    <row r="122" spans="2:12" x14ac:dyDescent="0.4">
      <c r="B122" s="105">
        <v>395</v>
      </c>
      <c r="C122" s="864"/>
      <c r="D122" s="864"/>
      <c r="E122" s="865"/>
      <c r="F122" s="148"/>
      <c r="G122" s="148"/>
      <c r="H122" s="148"/>
      <c r="I122" s="148"/>
      <c r="J122" s="148"/>
      <c r="K122" s="75"/>
      <c r="L122" s="125"/>
    </row>
    <row r="123" spans="2:12" x14ac:dyDescent="0.4">
      <c r="B123" s="105">
        <v>400</v>
      </c>
      <c r="C123" s="864"/>
      <c r="D123" s="864"/>
      <c r="E123" s="865"/>
      <c r="F123" s="148"/>
      <c r="G123" s="148"/>
      <c r="H123" s="148"/>
      <c r="I123" s="148"/>
      <c r="J123" s="148"/>
      <c r="K123" s="75"/>
      <c r="L123" s="125"/>
    </row>
    <row r="124" spans="2:12" x14ac:dyDescent="0.4">
      <c r="B124" s="105">
        <v>405</v>
      </c>
      <c r="C124" s="864"/>
      <c r="D124" s="864"/>
      <c r="E124" s="865"/>
      <c r="F124" s="148"/>
      <c r="G124" s="148"/>
      <c r="H124" s="148"/>
      <c r="I124" s="148"/>
      <c r="J124" s="148"/>
      <c r="K124" s="75"/>
      <c r="L124" s="125"/>
    </row>
    <row r="125" spans="2:12" x14ac:dyDescent="0.4">
      <c r="B125" s="105">
        <v>410</v>
      </c>
      <c r="C125" s="864"/>
      <c r="D125" s="864"/>
      <c r="E125" s="865"/>
      <c r="F125" s="148"/>
      <c r="G125" s="148"/>
      <c r="H125" s="148"/>
      <c r="I125" s="148"/>
      <c r="J125" s="148"/>
      <c r="K125" s="75"/>
      <c r="L125" s="125"/>
    </row>
    <row r="126" spans="2:12" x14ac:dyDescent="0.4">
      <c r="B126" s="105">
        <v>415</v>
      </c>
      <c r="C126" s="864"/>
      <c r="D126" s="864"/>
      <c r="E126" s="865"/>
      <c r="F126" s="148"/>
      <c r="G126" s="148"/>
      <c r="H126" s="148"/>
      <c r="I126" s="148"/>
      <c r="J126" s="148"/>
      <c r="K126" s="75"/>
      <c r="L126" s="125"/>
    </row>
    <row r="127" spans="2:12" x14ac:dyDescent="0.4">
      <c r="B127" s="105">
        <v>420</v>
      </c>
      <c r="C127" s="864"/>
      <c r="D127" s="864"/>
      <c r="E127" s="865"/>
      <c r="F127" s="148"/>
      <c r="G127" s="148"/>
      <c r="H127" s="148"/>
      <c r="I127" s="148"/>
      <c r="J127" s="148"/>
      <c r="K127" s="75"/>
      <c r="L127" s="125"/>
    </row>
    <row r="128" spans="2:12" x14ac:dyDescent="0.4">
      <c r="B128" s="105">
        <v>425</v>
      </c>
      <c r="C128" s="864"/>
      <c r="D128" s="864"/>
      <c r="E128" s="865"/>
      <c r="F128" s="148"/>
      <c r="G128" s="148"/>
      <c r="H128" s="148"/>
      <c r="I128" s="148"/>
      <c r="J128" s="148"/>
      <c r="K128" s="75"/>
      <c r="L128" s="125"/>
    </row>
    <row r="129" spans="2:12" x14ac:dyDescent="0.4">
      <c r="B129" s="105">
        <v>430</v>
      </c>
      <c r="C129" s="864"/>
      <c r="D129" s="864"/>
      <c r="E129" s="865"/>
      <c r="F129" s="148"/>
      <c r="G129" s="148"/>
      <c r="H129" s="148"/>
      <c r="I129" s="148"/>
      <c r="J129" s="148"/>
      <c r="K129" s="75"/>
      <c r="L129" s="125"/>
    </row>
    <row r="130" spans="2:12" x14ac:dyDescent="0.4">
      <c r="B130" s="105">
        <v>435</v>
      </c>
      <c r="C130" s="864"/>
      <c r="D130" s="864"/>
      <c r="E130" s="865"/>
      <c r="F130" s="148"/>
      <c r="G130" s="148"/>
      <c r="H130" s="148"/>
      <c r="I130" s="148"/>
      <c r="J130" s="148"/>
      <c r="K130" s="75"/>
      <c r="L130" s="125"/>
    </row>
    <row r="131" spans="2:12" x14ac:dyDescent="0.4">
      <c r="B131" s="105">
        <v>440</v>
      </c>
      <c r="C131" s="864"/>
      <c r="D131" s="864"/>
      <c r="E131" s="865"/>
      <c r="F131" s="148"/>
      <c r="G131" s="148"/>
      <c r="H131" s="148"/>
      <c r="I131" s="148"/>
      <c r="J131" s="148"/>
      <c r="K131" s="75"/>
      <c r="L131" s="125"/>
    </row>
    <row r="132" spans="2:12" x14ac:dyDescent="0.4">
      <c r="B132" s="105">
        <v>445</v>
      </c>
      <c r="C132" s="864"/>
      <c r="D132" s="864"/>
      <c r="E132" s="865"/>
      <c r="F132" s="148"/>
      <c r="G132" s="148"/>
      <c r="H132" s="148"/>
      <c r="I132" s="148"/>
      <c r="J132" s="148"/>
      <c r="K132" s="75"/>
      <c r="L132" s="125"/>
    </row>
    <row r="133" spans="2:12" x14ac:dyDescent="0.4">
      <c r="B133" s="105">
        <v>450</v>
      </c>
      <c r="C133" s="864"/>
      <c r="D133" s="864"/>
      <c r="E133" s="865"/>
      <c r="F133" s="148"/>
      <c r="G133" s="148"/>
      <c r="H133" s="148"/>
      <c r="I133" s="148"/>
      <c r="J133" s="148"/>
      <c r="K133" s="75"/>
      <c r="L133" s="125"/>
    </row>
    <row r="134" spans="2:12" x14ac:dyDescent="0.4">
      <c r="B134" s="105">
        <v>455</v>
      </c>
      <c r="C134" s="864"/>
      <c r="D134" s="864"/>
      <c r="E134" s="865"/>
      <c r="F134" s="148"/>
      <c r="G134" s="148"/>
      <c r="H134" s="148"/>
      <c r="I134" s="148"/>
      <c r="J134" s="148"/>
      <c r="K134" s="75"/>
      <c r="L134" s="125"/>
    </row>
    <row r="135" spans="2:12" x14ac:dyDescent="0.4">
      <c r="B135" s="105">
        <v>460</v>
      </c>
      <c r="C135" s="864"/>
      <c r="D135" s="864"/>
      <c r="E135" s="865"/>
      <c r="F135" s="148"/>
      <c r="G135" s="148"/>
      <c r="H135" s="148"/>
      <c r="I135" s="148"/>
      <c r="J135" s="148"/>
      <c r="K135" s="75"/>
      <c r="L135" s="125"/>
    </row>
    <row r="136" spans="2:12" x14ac:dyDescent="0.4">
      <c r="B136" s="105">
        <v>465</v>
      </c>
      <c r="C136" s="864"/>
      <c r="D136" s="864"/>
      <c r="E136" s="865"/>
      <c r="F136" s="148"/>
      <c r="G136" s="148"/>
      <c r="H136" s="148"/>
      <c r="I136" s="148"/>
      <c r="J136" s="148"/>
      <c r="K136" s="75"/>
      <c r="L136" s="125"/>
    </row>
    <row r="137" spans="2:12" x14ac:dyDescent="0.4">
      <c r="B137" s="105">
        <v>470</v>
      </c>
      <c r="C137" s="864"/>
      <c r="D137" s="864"/>
      <c r="E137" s="865"/>
      <c r="F137" s="148"/>
      <c r="G137" s="148"/>
      <c r="H137" s="148"/>
      <c r="I137" s="148"/>
      <c r="J137" s="148"/>
      <c r="K137" s="75"/>
      <c r="L137" s="125"/>
    </row>
    <row r="138" spans="2:12" x14ac:dyDescent="0.4">
      <c r="B138" s="105">
        <v>475</v>
      </c>
      <c r="C138" s="864"/>
      <c r="D138" s="864"/>
      <c r="E138" s="865"/>
      <c r="F138" s="148"/>
      <c r="G138" s="148"/>
      <c r="H138" s="148"/>
      <c r="I138" s="148"/>
      <c r="J138" s="148"/>
      <c r="K138" s="75"/>
      <c r="L138" s="125"/>
    </row>
    <row r="139" spans="2:12" x14ac:dyDescent="0.4">
      <c r="B139" s="105">
        <v>480</v>
      </c>
      <c r="C139" s="864"/>
      <c r="D139" s="864"/>
      <c r="E139" s="865"/>
      <c r="F139" s="148"/>
      <c r="G139" s="148"/>
      <c r="H139" s="148"/>
      <c r="I139" s="148"/>
      <c r="J139" s="148"/>
      <c r="K139" s="75"/>
      <c r="L139" s="125"/>
    </row>
    <row r="140" spans="2:12" x14ac:dyDescent="0.4">
      <c r="B140" s="105">
        <v>485</v>
      </c>
      <c r="C140" s="864"/>
      <c r="D140" s="864"/>
      <c r="E140" s="865"/>
      <c r="F140" s="148"/>
      <c r="G140" s="148"/>
      <c r="H140" s="148"/>
      <c r="I140" s="148"/>
      <c r="J140" s="148"/>
      <c r="K140" s="75"/>
      <c r="L140" s="125"/>
    </row>
    <row r="141" spans="2:12" x14ac:dyDescent="0.4">
      <c r="B141" s="105">
        <v>490</v>
      </c>
      <c r="C141" s="864"/>
      <c r="D141" s="864"/>
      <c r="E141" s="865"/>
      <c r="F141" s="148"/>
      <c r="G141" s="148"/>
      <c r="H141" s="148"/>
      <c r="I141" s="148"/>
      <c r="J141" s="148"/>
      <c r="K141" s="75"/>
      <c r="L141" s="125"/>
    </row>
    <row r="142" spans="2:12" x14ac:dyDescent="0.4">
      <c r="B142" s="105">
        <v>495</v>
      </c>
      <c r="C142" s="864"/>
      <c r="D142" s="864"/>
      <c r="E142" s="865"/>
      <c r="F142" s="148"/>
      <c r="G142" s="148"/>
      <c r="H142" s="148"/>
      <c r="I142" s="148"/>
      <c r="J142" s="148"/>
      <c r="K142" s="75"/>
      <c r="L142" s="125"/>
    </row>
    <row r="143" spans="2:12" x14ac:dyDescent="0.4">
      <c r="B143" s="105">
        <v>500</v>
      </c>
      <c r="C143" s="864"/>
      <c r="D143" s="864"/>
      <c r="E143" s="865"/>
      <c r="F143" s="148"/>
      <c r="G143" s="148"/>
      <c r="H143" s="148"/>
      <c r="I143" s="148"/>
      <c r="J143" s="148"/>
      <c r="K143" s="75"/>
      <c r="L143" s="125"/>
    </row>
    <row r="144" spans="2:12" x14ac:dyDescent="0.4">
      <c r="B144" s="105">
        <v>505</v>
      </c>
      <c r="C144" s="864"/>
      <c r="D144" s="864"/>
      <c r="E144" s="865"/>
      <c r="F144" s="148"/>
      <c r="G144" s="148"/>
      <c r="H144" s="148"/>
      <c r="I144" s="148"/>
      <c r="J144" s="148"/>
      <c r="K144" s="75"/>
      <c r="L144" s="125"/>
    </row>
    <row r="145" spans="2:12" x14ac:dyDescent="0.4">
      <c r="B145" s="105">
        <v>510</v>
      </c>
      <c r="C145" s="864"/>
      <c r="D145" s="864"/>
      <c r="E145" s="865"/>
      <c r="F145" s="148"/>
      <c r="G145" s="148"/>
      <c r="H145" s="148"/>
      <c r="I145" s="148"/>
      <c r="J145" s="148"/>
      <c r="K145" s="75"/>
      <c r="L145" s="125"/>
    </row>
    <row r="146" spans="2:12" x14ac:dyDescent="0.4">
      <c r="B146" s="105">
        <v>515</v>
      </c>
      <c r="C146" s="864"/>
      <c r="D146" s="864"/>
      <c r="E146" s="865"/>
      <c r="F146" s="148"/>
      <c r="G146" s="148"/>
      <c r="H146" s="148"/>
      <c r="I146" s="148"/>
      <c r="J146" s="148"/>
      <c r="K146" s="75"/>
      <c r="L146" s="125"/>
    </row>
    <row r="147" spans="2:12" x14ac:dyDescent="0.4">
      <c r="B147" s="105">
        <v>520</v>
      </c>
      <c r="C147" s="864"/>
      <c r="D147" s="864"/>
      <c r="E147" s="865"/>
      <c r="F147" s="148"/>
      <c r="G147" s="148"/>
      <c r="H147" s="148"/>
      <c r="I147" s="148"/>
      <c r="J147" s="148"/>
      <c r="K147" s="75"/>
      <c r="L147" s="125"/>
    </row>
    <row r="148" spans="2:12" x14ac:dyDescent="0.4">
      <c r="B148" s="105">
        <v>525</v>
      </c>
      <c r="C148" s="864"/>
      <c r="D148" s="864"/>
      <c r="E148" s="865"/>
      <c r="F148" s="148"/>
      <c r="G148" s="148"/>
      <c r="H148" s="148"/>
      <c r="I148" s="148"/>
      <c r="J148" s="148"/>
      <c r="K148" s="75"/>
      <c r="L148" s="125"/>
    </row>
    <row r="149" spans="2:12" x14ac:dyDescent="0.4">
      <c r="B149" s="105">
        <v>530</v>
      </c>
      <c r="C149" s="864"/>
      <c r="D149" s="864"/>
      <c r="E149" s="865"/>
      <c r="F149" s="148"/>
      <c r="G149" s="148"/>
      <c r="H149" s="148"/>
      <c r="I149" s="148"/>
      <c r="J149" s="148"/>
      <c r="K149" s="75"/>
      <c r="L149" s="125"/>
    </row>
    <row r="150" spans="2:12" x14ac:dyDescent="0.4">
      <c r="B150" s="105">
        <v>535</v>
      </c>
      <c r="C150" s="864"/>
      <c r="D150" s="864"/>
      <c r="E150" s="865"/>
      <c r="F150" s="148"/>
      <c r="G150" s="148"/>
      <c r="H150" s="148"/>
      <c r="I150" s="148"/>
      <c r="J150" s="148"/>
      <c r="K150" s="75"/>
      <c r="L150" s="125"/>
    </row>
    <row r="151" spans="2:12" x14ac:dyDescent="0.4">
      <c r="B151" s="105">
        <v>540</v>
      </c>
      <c r="C151" s="864"/>
      <c r="D151" s="864"/>
      <c r="E151" s="865"/>
      <c r="F151" s="148"/>
      <c r="G151" s="148"/>
      <c r="H151" s="148"/>
      <c r="I151" s="148"/>
      <c r="J151" s="148"/>
      <c r="K151" s="75"/>
      <c r="L151" s="125"/>
    </row>
    <row r="152" spans="2:12" x14ac:dyDescent="0.4">
      <c r="B152" s="105">
        <v>545</v>
      </c>
      <c r="C152" s="864"/>
      <c r="D152" s="864"/>
      <c r="E152" s="865"/>
      <c r="F152" s="148"/>
      <c r="G152" s="148"/>
      <c r="H152" s="148"/>
      <c r="I152" s="148"/>
      <c r="J152" s="148"/>
      <c r="K152" s="75"/>
      <c r="L152" s="125"/>
    </row>
    <row r="153" spans="2:12" x14ac:dyDescent="0.4">
      <c r="B153" s="105">
        <v>550</v>
      </c>
      <c r="C153" s="864"/>
      <c r="D153" s="864"/>
      <c r="E153" s="865"/>
      <c r="F153" s="148"/>
      <c r="G153" s="148"/>
      <c r="H153" s="148"/>
      <c r="I153" s="148"/>
      <c r="J153" s="148"/>
      <c r="K153" s="75"/>
      <c r="L153" s="125"/>
    </row>
    <row r="154" spans="2:12" x14ac:dyDescent="0.4">
      <c r="B154" s="105">
        <v>555</v>
      </c>
      <c r="C154" s="864"/>
      <c r="D154" s="864"/>
      <c r="E154" s="865"/>
      <c r="F154" s="148"/>
      <c r="G154" s="148"/>
      <c r="H154" s="148"/>
      <c r="I154" s="148"/>
      <c r="J154" s="148"/>
      <c r="K154" s="75"/>
      <c r="L154" s="125"/>
    </row>
    <row r="155" spans="2:12" x14ac:dyDescent="0.4">
      <c r="B155" s="105">
        <v>560</v>
      </c>
      <c r="C155" s="864"/>
      <c r="D155" s="864"/>
      <c r="E155" s="865"/>
      <c r="F155" s="148"/>
      <c r="G155" s="148"/>
      <c r="H155" s="148"/>
      <c r="I155" s="148"/>
      <c r="J155" s="148"/>
      <c r="K155" s="75"/>
      <c r="L155" s="125"/>
    </row>
    <row r="156" spans="2:12" x14ac:dyDescent="0.4">
      <c r="B156" s="105">
        <v>565</v>
      </c>
      <c r="C156" s="864"/>
      <c r="D156" s="864"/>
      <c r="E156" s="865"/>
      <c r="F156" s="148"/>
      <c r="G156" s="148"/>
      <c r="H156" s="148"/>
      <c r="I156" s="148"/>
      <c r="J156" s="148"/>
      <c r="K156" s="75"/>
      <c r="L156" s="125"/>
    </row>
    <row r="157" spans="2:12" x14ac:dyDescent="0.4">
      <c r="B157" s="105">
        <v>570</v>
      </c>
      <c r="C157" s="864"/>
      <c r="D157" s="864"/>
      <c r="E157" s="865"/>
      <c r="F157" s="148"/>
      <c r="G157" s="148"/>
      <c r="H157" s="148"/>
      <c r="I157" s="148"/>
      <c r="J157" s="148"/>
      <c r="K157" s="75"/>
      <c r="L157" s="125"/>
    </row>
    <row r="158" spans="2:12" x14ac:dyDescent="0.4">
      <c r="B158" s="105">
        <v>575</v>
      </c>
      <c r="C158" s="864"/>
      <c r="D158" s="864"/>
      <c r="E158" s="865"/>
      <c r="F158" s="148"/>
      <c r="G158" s="148"/>
      <c r="H158" s="148"/>
      <c r="I158" s="148"/>
      <c r="J158" s="148"/>
      <c r="K158" s="75"/>
      <c r="L158" s="125"/>
    </row>
    <row r="159" spans="2:12" x14ac:dyDescent="0.4">
      <c r="B159" s="105">
        <v>580</v>
      </c>
      <c r="C159" s="864"/>
      <c r="D159" s="864"/>
      <c r="E159" s="865"/>
      <c r="F159" s="148"/>
      <c r="G159" s="148"/>
      <c r="H159" s="148"/>
      <c r="I159" s="148"/>
      <c r="J159" s="148"/>
      <c r="K159" s="75"/>
      <c r="L159" s="125"/>
    </row>
    <row r="160" spans="2:12" x14ac:dyDescent="0.4">
      <c r="B160" s="105">
        <v>585</v>
      </c>
      <c r="C160" s="864"/>
      <c r="D160" s="864"/>
      <c r="E160" s="865"/>
      <c r="F160" s="148"/>
      <c r="G160" s="148"/>
      <c r="H160" s="148"/>
      <c r="I160" s="148"/>
      <c r="J160" s="148"/>
      <c r="K160" s="75"/>
      <c r="L160" s="125"/>
    </row>
    <row r="161" spans="1:12" x14ac:dyDescent="0.4">
      <c r="B161" s="105">
        <v>590</v>
      </c>
      <c r="C161" s="864"/>
      <c r="D161" s="864"/>
      <c r="E161" s="865"/>
      <c r="F161" s="148"/>
      <c r="G161" s="148"/>
      <c r="H161" s="148"/>
      <c r="I161" s="148"/>
      <c r="J161" s="148"/>
      <c r="K161" s="75"/>
      <c r="L161" s="125"/>
    </row>
    <row r="162" spans="1:12" ht="16" thickBot="1" x14ac:dyDescent="0.45">
      <c r="B162" s="105">
        <v>595</v>
      </c>
      <c r="C162" s="864"/>
      <c r="D162" s="864"/>
      <c r="E162" s="866"/>
      <c r="F162" s="148"/>
      <c r="G162" s="148"/>
      <c r="H162" s="148"/>
      <c r="I162" s="148"/>
      <c r="J162" s="148"/>
      <c r="K162" s="75"/>
      <c r="L162" s="125"/>
    </row>
    <row r="163" spans="1:12" ht="16" thickBot="1" x14ac:dyDescent="0.45">
      <c r="B163" s="106">
        <v>600</v>
      </c>
      <c r="C163" s="867"/>
      <c r="D163" s="868"/>
      <c r="E163" s="869"/>
      <c r="F163" s="75" t="s">
        <v>142</v>
      </c>
      <c r="G163" s="148"/>
      <c r="H163" s="148"/>
      <c r="I163" s="148"/>
      <c r="J163" s="148"/>
      <c r="K163" s="75"/>
      <c r="L163" s="125"/>
    </row>
    <row r="164" spans="1:12" x14ac:dyDescent="0.4">
      <c r="F164" s="77"/>
      <c r="G164" s="77"/>
      <c r="H164" s="77"/>
      <c r="I164" s="77"/>
      <c r="J164" s="77"/>
      <c r="K164" s="75"/>
      <c r="L164" s="125"/>
    </row>
    <row r="165" spans="1:12" x14ac:dyDescent="0.4">
      <c r="A165" s="125"/>
      <c r="B165" s="125"/>
      <c r="C165" s="97"/>
      <c r="D165" s="97"/>
      <c r="E165" s="97"/>
      <c r="F165" s="97"/>
      <c r="G165" s="97"/>
      <c r="H165" s="97"/>
      <c r="I165" s="97"/>
      <c r="J165" s="97"/>
      <c r="K165" s="125"/>
      <c r="L165" s="125"/>
    </row>
  </sheetData>
  <sheetProtection algorithmName="SHA-512" hashValue="EA1HyPZ+oTJn5miW8IO+ectVGbEV4144h2WXNvDYZyrQ7ZKq5cnbfiqGYaJ9c+11ekirRvto9GSzaKksAul2WA==" saltValue="FjcLjRygnQk42+VPVcAtxg==" spinCount="100000" sheet="1" selectLockedCells="1"/>
  <mergeCells count="21">
    <mergeCell ref="C7:D7"/>
    <mergeCell ref="D18:F18"/>
    <mergeCell ref="B2:D2"/>
    <mergeCell ref="C3:D3"/>
    <mergeCell ref="C4:D4"/>
    <mergeCell ref="C5:D5"/>
    <mergeCell ref="C6:D6"/>
    <mergeCell ref="B16:F16"/>
    <mergeCell ref="D11:E11"/>
    <mergeCell ref="D12:E12"/>
    <mergeCell ref="B10:F10"/>
    <mergeCell ref="B13:F13"/>
    <mergeCell ref="B15:F15"/>
    <mergeCell ref="B14:F14"/>
    <mergeCell ref="G43:H43"/>
    <mergeCell ref="I28:J28"/>
    <mergeCell ref="H27:J27"/>
    <mergeCell ref="C44:D44"/>
    <mergeCell ref="B43:E43"/>
    <mergeCell ref="B44:B45"/>
    <mergeCell ref="H28:H29"/>
  </mergeCells>
  <dataValidations count="2">
    <dataValidation type="list" allowBlank="1" showInputMessage="1" showErrorMessage="1" sqref="C18" xr:uid="{00000000-0002-0000-0700-000000000000}">
      <formula1>DD_MassVolume</formula1>
    </dataValidation>
    <dataValidation type="list" allowBlank="1" showInputMessage="1" showErrorMessage="1" sqref="C12" xr:uid="{00000000-0002-0000-0700-000001000000}">
      <formula1>DD_InputControl</formula1>
    </dataValidation>
  </dataValidations>
  <hyperlinks>
    <hyperlink ref="F2" location="Instructions!A1" display="Back to Instructions tab"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70C0"/>
  </sheetPr>
  <dimension ref="A1:AK1856"/>
  <sheetViews>
    <sheetView showGridLines="0" zoomScale="80" zoomScaleNormal="80" workbookViewId="0">
      <selection activeCell="D111" sqref="D111"/>
    </sheetView>
  </sheetViews>
  <sheetFormatPr defaultColWidth="9.08984375" defaultRowHeight="15.5" x14ac:dyDescent="0.4"/>
  <cols>
    <col min="1" max="1" width="3.453125" style="75" customWidth="1"/>
    <col min="2" max="2" width="30.54296875" style="261" customWidth="1"/>
    <col min="3" max="3" width="82.6328125" style="75" bestFit="1" customWidth="1"/>
    <col min="4" max="4" width="38.36328125" style="75" customWidth="1"/>
    <col min="5" max="5" width="48" style="75" customWidth="1"/>
    <col min="6" max="6" width="14.453125" style="75" customWidth="1"/>
    <col min="7" max="7" width="15.36328125" style="75" bestFit="1" customWidth="1"/>
    <col min="8" max="9" width="14.90625" style="75" customWidth="1"/>
    <col min="10" max="10" width="23" style="75" customWidth="1"/>
    <col min="11" max="11" width="22.90625" style="75" customWidth="1"/>
    <col min="12" max="32" width="15.6328125" style="75" customWidth="1"/>
    <col min="33" max="34" width="23.36328125" style="75" customWidth="1"/>
    <col min="35" max="35" width="11.453125" style="75" customWidth="1"/>
    <col min="36" max="36" width="4.08984375" style="75" customWidth="1"/>
    <col min="37" max="37" width="11" style="77" customWidth="1"/>
    <col min="38" max="16384" width="9.08984375" style="75"/>
  </cols>
  <sheetData>
    <row r="1" spans="1:36" ht="16" thickBot="1" x14ac:dyDescent="0.45">
      <c r="AJ1" s="125"/>
    </row>
    <row r="2" spans="1:36" ht="16" thickBot="1" x14ac:dyDescent="0.45">
      <c r="B2" s="951" t="s">
        <v>12</v>
      </c>
      <c r="C2" s="952"/>
      <c r="D2" s="263" t="s">
        <v>51</v>
      </c>
      <c r="AJ2" s="125"/>
    </row>
    <row r="3" spans="1:36" x14ac:dyDescent="0.4">
      <c r="B3" s="141" t="str">
        <f>'Version Control'!B3</f>
        <v>Test Report Template Name:</v>
      </c>
      <c r="C3" s="179" t="str">
        <f>'Version Control'!C3</f>
        <v>Consumer Water Heater, UEF</v>
      </c>
      <c r="E3" s="223"/>
      <c r="F3" s="223"/>
      <c r="I3" s="262"/>
      <c r="AJ3" s="125"/>
    </row>
    <row r="4" spans="1:36" ht="18" customHeight="1" x14ac:dyDescent="0.4">
      <c r="B4" s="141" t="str">
        <f>'Version Control'!B4</f>
        <v>Version Number:</v>
      </c>
      <c r="C4" s="179" t="str">
        <f>'Version Control'!C4</f>
        <v>v1.3</v>
      </c>
      <c r="E4" s="223"/>
      <c r="F4" s="223"/>
      <c r="W4" s="238"/>
      <c r="X4" s="241"/>
      <c r="Y4" s="140"/>
      <c r="Z4" s="264"/>
      <c r="AA4" s="241"/>
      <c r="AB4" s="241"/>
      <c r="AC4" s="140"/>
      <c r="AD4" s="241"/>
      <c r="AJ4" s="125"/>
    </row>
    <row r="5" spans="1:36" x14ac:dyDescent="0.4">
      <c r="B5" s="141" t="str">
        <f>'Version Control'!B5</f>
        <v xml:space="preserve">Latest Template Revision: </v>
      </c>
      <c r="C5" s="622">
        <f>'Version Control'!C5</f>
        <v>43643</v>
      </c>
      <c r="E5" s="223"/>
      <c r="F5" s="223"/>
      <c r="G5" s="265"/>
      <c r="W5" s="140"/>
      <c r="X5" s="140"/>
      <c r="Y5" s="140"/>
      <c r="Z5" s="140"/>
      <c r="AA5" s="238"/>
      <c r="AB5" s="140"/>
      <c r="AC5" s="140"/>
      <c r="AD5" s="140"/>
      <c r="AJ5" s="125"/>
    </row>
    <row r="6" spans="1:36" x14ac:dyDescent="0.4">
      <c r="B6" s="141" t="str">
        <f>'Version Control'!B6</f>
        <v>Tab Name:</v>
      </c>
      <c r="C6" s="179" t="str">
        <f ca="1">MID(CELL("filename",A1), FIND("]", CELL("filename", A1))+ 1, 255)</f>
        <v>24-Hr Simulated Use Test</v>
      </c>
      <c r="E6" s="223"/>
      <c r="F6" s="223"/>
      <c r="U6" s="113"/>
      <c r="V6" s="113"/>
      <c r="W6" s="140"/>
      <c r="X6" s="140"/>
      <c r="Y6" s="140"/>
      <c r="Z6" s="140"/>
      <c r="AA6" s="241"/>
      <c r="AB6" s="140"/>
      <c r="AC6" s="140"/>
      <c r="AD6" s="140"/>
      <c r="AE6" s="113"/>
      <c r="AJ6" s="125"/>
    </row>
    <row r="7" spans="1:36" ht="16" thickBot="1" x14ac:dyDescent="0.45">
      <c r="B7" s="623" t="str">
        <f>'Version Control'!B7</f>
        <v>File Name:</v>
      </c>
      <c r="C7" s="624" t="str">
        <f ca="1">'Version Control'!C7</f>
        <v>Consumer Water Heater, UEF - v1.3.xlsx</v>
      </c>
      <c r="U7" s="113"/>
      <c r="V7" s="113"/>
      <c r="W7" s="140"/>
      <c r="X7" s="140"/>
      <c r="Y7" s="140"/>
      <c r="Z7" s="140"/>
      <c r="AA7" s="241"/>
      <c r="AB7" s="140"/>
      <c r="AC7" s="140"/>
      <c r="AD7" s="140"/>
      <c r="AE7" s="113"/>
      <c r="AJ7" s="125"/>
    </row>
    <row r="8" spans="1:36" x14ac:dyDescent="0.4">
      <c r="U8" s="113"/>
      <c r="V8" s="113"/>
      <c r="W8" s="140"/>
      <c r="X8" s="140"/>
      <c r="Y8" s="140"/>
      <c r="Z8" s="140"/>
      <c r="AA8" s="238"/>
      <c r="AB8" s="140"/>
      <c r="AC8" s="140"/>
      <c r="AD8" s="140"/>
      <c r="AE8" s="113"/>
      <c r="AJ8" s="125"/>
    </row>
    <row r="9" spans="1:36" ht="16" thickBot="1" x14ac:dyDescent="0.45">
      <c r="U9" s="113"/>
      <c r="V9" s="113"/>
      <c r="W9" s="140"/>
      <c r="X9" s="140"/>
      <c r="Y9" s="140"/>
      <c r="Z9" s="140"/>
      <c r="AA9" s="241"/>
      <c r="AB9" s="140"/>
      <c r="AC9" s="140"/>
      <c r="AD9" s="140"/>
      <c r="AE9" s="113"/>
      <c r="AJ9" s="125"/>
    </row>
    <row r="10" spans="1:36" ht="16" thickBot="1" x14ac:dyDescent="0.45">
      <c r="B10" s="266" t="s">
        <v>54</v>
      </c>
      <c r="C10" s="1142" t="s">
        <v>153</v>
      </c>
      <c r="D10" s="1190"/>
      <c r="E10" s="1143"/>
      <c r="F10" s="1143"/>
      <c r="G10" s="1143"/>
      <c r="H10" s="1143"/>
      <c r="I10" s="1143"/>
      <c r="J10" s="1143"/>
      <c r="K10" s="1143"/>
      <c r="L10" s="1143"/>
      <c r="M10" s="1143"/>
      <c r="N10" s="1143"/>
      <c r="O10" s="1143"/>
      <c r="P10" s="1143"/>
      <c r="Q10" s="1143"/>
      <c r="R10" s="1143"/>
      <c r="S10" s="1143"/>
      <c r="T10" s="1144"/>
      <c r="U10" s="267"/>
      <c r="W10" s="140"/>
      <c r="X10" s="140"/>
      <c r="Y10" s="140"/>
      <c r="Z10" s="140"/>
      <c r="AA10" s="241"/>
      <c r="AB10" s="140"/>
      <c r="AC10" s="140"/>
      <c r="AD10" s="140"/>
      <c r="AE10" s="113"/>
      <c r="AJ10" s="125"/>
    </row>
    <row r="11" spans="1:36" x14ac:dyDescent="0.4">
      <c r="B11" s="268"/>
      <c r="C11" s="716" t="s">
        <v>91</v>
      </c>
      <c r="D11" s="174" t="s">
        <v>81</v>
      </c>
      <c r="E11" s="175"/>
      <c r="F11" s="175"/>
      <c r="G11" s="140"/>
      <c r="H11" s="140"/>
      <c r="I11" s="140"/>
      <c r="J11" s="269"/>
      <c r="K11" s="140"/>
      <c r="L11" s="140"/>
      <c r="M11" s="269"/>
      <c r="N11" s="140"/>
      <c r="O11" s="140"/>
      <c r="P11" s="140"/>
      <c r="Q11" s="140"/>
      <c r="R11" s="140"/>
      <c r="S11" s="140"/>
      <c r="T11" s="76"/>
      <c r="U11" s="113"/>
      <c r="W11" s="140"/>
      <c r="X11" s="140"/>
      <c r="Y11" s="140"/>
      <c r="Z11" s="140"/>
      <c r="AA11" s="238"/>
      <c r="AB11" s="140"/>
      <c r="AC11" s="140"/>
      <c r="AD11" s="140"/>
      <c r="AE11" s="113"/>
      <c r="AJ11" s="125"/>
    </row>
    <row r="12" spans="1:36" x14ac:dyDescent="0.4">
      <c r="A12" s="140"/>
      <c r="B12" s="270"/>
      <c r="C12" s="575"/>
      <c r="D12" s="80"/>
      <c r="E12" s="80"/>
      <c r="F12" s="80"/>
      <c r="G12" s="140"/>
      <c r="H12" s="140"/>
      <c r="I12" s="140"/>
      <c r="J12" s="140"/>
      <c r="K12" s="140"/>
      <c r="L12" s="140"/>
      <c r="M12" s="140"/>
      <c r="N12" s="140"/>
      <c r="O12" s="140"/>
      <c r="P12" s="140"/>
      <c r="Q12" s="140"/>
      <c r="R12" s="140"/>
      <c r="S12" s="140"/>
      <c r="T12" s="76"/>
      <c r="U12" s="113"/>
      <c r="W12" s="140"/>
      <c r="X12" s="140"/>
      <c r="Y12" s="140"/>
      <c r="Z12" s="140"/>
      <c r="AA12" s="241"/>
      <c r="AB12" s="140"/>
      <c r="AC12" s="140"/>
      <c r="AD12" s="140"/>
      <c r="AE12" s="113"/>
      <c r="AJ12" s="125"/>
    </row>
    <row r="13" spans="1:36" x14ac:dyDescent="0.4">
      <c r="A13" s="140"/>
      <c r="B13" s="270"/>
      <c r="C13" s="717" t="s">
        <v>126</v>
      </c>
      <c r="D13" s="817"/>
      <c r="E13" s="153" t="s">
        <v>127</v>
      </c>
      <c r="F13" s="272"/>
      <c r="G13" s="140"/>
      <c r="H13" s="140"/>
      <c r="I13" s="140"/>
      <c r="J13" s="140"/>
      <c r="K13" s="140"/>
      <c r="L13" s="140"/>
      <c r="M13" s="140"/>
      <c r="N13" s="140"/>
      <c r="O13" s="140"/>
      <c r="P13" s="140"/>
      <c r="Q13" s="140"/>
      <c r="R13" s="140"/>
      <c r="S13" s="140"/>
      <c r="T13" s="76"/>
      <c r="U13" s="113"/>
      <c r="W13" s="140"/>
      <c r="X13" s="140"/>
      <c r="Y13" s="140"/>
      <c r="Z13" s="140"/>
      <c r="AA13" s="238"/>
      <c r="AB13" s="140"/>
      <c r="AC13" s="140"/>
      <c r="AD13" s="140"/>
      <c r="AE13" s="113"/>
      <c r="AJ13" s="125"/>
    </row>
    <row r="14" spans="1:36" x14ac:dyDescent="0.4">
      <c r="A14" s="140"/>
      <c r="B14" s="270"/>
      <c r="C14" s="717" t="str">
        <f>IF(D13="","Select basis above:",
IF(D13="Volume","Select location for determining density to convert volume to mass:","N/A"))</f>
        <v>Select basis above:</v>
      </c>
      <c r="D14" s="817"/>
      <c r="E14" s="272"/>
      <c r="F14" s="272"/>
      <c r="G14" s="140"/>
      <c r="H14" s="140"/>
      <c r="I14" s="140"/>
      <c r="J14" s="140"/>
      <c r="K14" s="140"/>
      <c r="L14" s="140"/>
      <c r="M14" s="140"/>
      <c r="N14" s="140"/>
      <c r="O14" s="140"/>
      <c r="P14" s="140"/>
      <c r="Q14" s="140"/>
      <c r="R14" s="140"/>
      <c r="S14" s="140"/>
      <c r="T14" s="76"/>
      <c r="U14" s="113"/>
      <c r="W14" s="140"/>
      <c r="X14" s="140"/>
      <c r="Y14" s="140"/>
      <c r="Z14" s="140"/>
      <c r="AA14" s="241"/>
      <c r="AB14" s="140"/>
      <c r="AC14" s="140"/>
      <c r="AD14" s="140"/>
      <c r="AE14" s="113"/>
      <c r="AJ14" s="125"/>
    </row>
    <row r="15" spans="1:36" x14ac:dyDescent="0.4">
      <c r="A15" s="140"/>
      <c r="B15" s="270"/>
      <c r="C15" s="718"/>
      <c r="D15" s="574"/>
      <c r="E15" s="272"/>
      <c r="F15" s="272"/>
      <c r="G15" s="140"/>
      <c r="H15" s="140"/>
      <c r="I15" s="140"/>
      <c r="J15" s="140"/>
      <c r="K15" s="140"/>
      <c r="L15" s="140"/>
      <c r="M15" s="140"/>
      <c r="N15" s="140"/>
      <c r="O15" s="140"/>
      <c r="P15" s="140"/>
      <c r="Q15" s="140"/>
      <c r="R15" s="140"/>
      <c r="S15" s="140"/>
      <c r="T15" s="76"/>
      <c r="U15" s="113"/>
      <c r="W15" s="140"/>
      <c r="X15" s="140"/>
      <c r="Y15" s="140"/>
      <c r="Z15" s="140"/>
      <c r="AA15" s="574"/>
      <c r="AB15" s="140"/>
      <c r="AC15" s="140"/>
      <c r="AD15" s="140"/>
      <c r="AE15" s="113"/>
      <c r="AJ15" s="125"/>
    </row>
    <row r="16" spans="1:36" x14ac:dyDescent="0.4">
      <c r="A16" s="140"/>
      <c r="B16" s="273"/>
      <c r="C16" s="719" t="s">
        <v>129</v>
      </c>
      <c r="D16" s="274">
        <v>1</v>
      </c>
      <c r="E16" s="274">
        <v>2</v>
      </c>
      <c r="F16" s="274">
        <v>3</v>
      </c>
      <c r="G16" s="274">
        <v>4</v>
      </c>
      <c r="H16" s="274">
        <v>5</v>
      </c>
      <c r="I16" s="274">
        <v>6</v>
      </c>
      <c r="J16" s="274">
        <v>7</v>
      </c>
      <c r="K16" s="274">
        <v>8</v>
      </c>
      <c r="L16" s="274">
        <v>9</v>
      </c>
      <c r="M16" s="274">
        <v>10</v>
      </c>
      <c r="N16" s="274">
        <v>11</v>
      </c>
      <c r="O16" s="274">
        <v>12</v>
      </c>
      <c r="P16" s="274">
        <v>13</v>
      </c>
      <c r="Q16" s="274">
        <v>14</v>
      </c>
      <c r="R16" s="275"/>
      <c r="S16" s="140"/>
      <c r="T16" s="76"/>
      <c r="U16" s="275"/>
      <c r="W16" s="140"/>
      <c r="X16" s="140"/>
      <c r="Y16" s="140"/>
      <c r="Z16" s="140"/>
      <c r="AA16" s="241"/>
      <c r="AB16" s="140"/>
      <c r="AC16" s="140"/>
      <c r="AD16" s="140"/>
      <c r="AE16" s="113"/>
      <c r="AJ16" s="125"/>
    </row>
    <row r="17" spans="1:36" ht="16.5" customHeight="1" x14ac:dyDescent="0.4">
      <c r="A17" s="140"/>
      <c r="B17" s="273"/>
      <c r="C17" s="720" t="str">
        <f>IF(D13="","Basis Unselected",
IF(D13="Mass","Total Mass Drawn, lbs",
IF(D14="","Select Location of Density Calculations",
"Total Volume Drawn, gal")))</f>
        <v>Basis Unselected</v>
      </c>
      <c r="D17" s="873"/>
      <c r="E17" s="873"/>
      <c r="F17" s="873"/>
      <c r="G17" s="873"/>
      <c r="H17" s="873"/>
      <c r="I17" s="874"/>
      <c r="J17" s="873"/>
      <c r="K17" s="874"/>
      <c r="L17" s="873"/>
      <c r="M17" s="874"/>
      <c r="N17" s="873"/>
      <c r="O17" s="873"/>
      <c r="P17" s="873"/>
      <c r="Q17" s="873"/>
      <c r="R17" s="311" t="s">
        <v>154</v>
      </c>
      <c r="S17" s="140"/>
      <c r="T17" s="76"/>
      <c r="U17" s="277"/>
      <c r="W17" s="140"/>
      <c r="X17" s="140"/>
      <c r="Y17" s="140"/>
      <c r="Z17" s="140"/>
      <c r="AA17" s="238"/>
      <c r="AB17" s="140"/>
      <c r="AC17" s="140"/>
      <c r="AD17" s="140"/>
      <c r="AE17" s="113"/>
      <c r="AJ17" s="125"/>
    </row>
    <row r="18" spans="1:36" ht="16.5" x14ac:dyDescent="0.4">
      <c r="A18" s="140"/>
      <c r="B18" s="724" t="s">
        <v>496</v>
      </c>
      <c r="C18" s="707" t="s">
        <v>505</v>
      </c>
      <c r="D18" s="791" t="str">
        <f>IFERROR(IF($D$13="Mass",D17,IF($D$13="Volume",D17*IF($D$14="Outlet",D39,D38),"")),"")</f>
        <v/>
      </c>
      <c r="E18" s="791" t="str">
        <f t="shared" ref="E18:Q18" si="0">IFERROR(IF($D$13="Mass",E17,IF($D$13="Volume",E17*IF($D$14="Outlet",E39,E38),"")),"")</f>
        <v/>
      </c>
      <c r="F18" s="791" t="str">
        <f t="shared" si="0"/>
        <v/>
      </c>
      <c r="G18" s="791" t="str">
        <f t="shared" si="0"/>
        <v/>
      </c>
      <c r="H18" s="791" t="str">
        <f t="shared" si="0"/>
        <v/>
      </c>
      <c r="I18" s="791" t="str">
        <f t="shared" si="0"/>
        <v/>
      </c>
      <c r="J18" s="791" t="str">
        <f t="shared" si="0"/>
        <v/>
      </c>
      <c r="K18" s="791" t="str">
        <f t="shared" si="0"/>
        <v/>
      </c>
      <c r="L18" s="791" t="str">
        <f t="shared" si="0"/>
        <v/>
      </c>
      <c r="M18" s="791" t="str">
        <f t="shared" si="0"/>
        <v/>
      </c>
      <c r="N18" s="791" t="str">
        <f t="shared" si="0"/>
        <v/>
      </c>
      <c r="O18" s="791" t="str">
        <f t="shared" si="0"/>
        <v/>
      </c>
      <c r="P18" s="791" t="str">
        <f t="shared" si="0"/>
        <v/>
      </c>
      <c r="Q18" s="791" t="str">
        <f t="shared" si="0"/>
        <v/>
      </c>
      <c r="R18" s="279" t="s">
        <v>142</v>
      </c>
      <c r="S18" s="276"/>
      <c r="T18" s="76"/>
      <c r="U18" s="280"/>
      <c r="W18" s="140"/>
      <c r="X18" s="140"/>
      <c r="Y18" s="140"/>
      <c r="Z18" s="140"/>
      <c r="AA18" s="241"/>
      <c r="AB18" s="140"/>
      <c r="AC18" s="140"/>
      <c r="AD18" s="140"/>
      <c r="AE18" s="113"/>
      <c r="AJ18" s="125"/>
    </row>
    <row r="19" spans="1:36" x14ac:dyDescent="0.4">
      <c r="A19" s="140"/>
      <c r="B19" s="724" t="s">
        <v>497</v>
      </c>
      <c r="C19" s="707" t="s">
        <v>637</v>
      </c>
      <c r="D19" s="791" t="str">
        <f>IF(D17="","",IF($D$13="Mass",D17/D39,
IF($D$13="Volume",D17,"")))</f>
        <v/>
      </c>
      <c r="E19" s="791" t="str">
        <f t="shared" ref="E19:Q19" si="1">IF(E17="","",IF($D$13="Mass",E17/E39,
IF($D$13="Volume",E17,"")))</f>
        <v/>
      </c>
      <c r="F19" s="791" t="str">
        <f t="shared" si="1"/>
        <v/>
      </c>
      <c r="G19" s="791" t="str">
        <f t="shared" si="1"/>
        <v/>
      </c>
      <c r="H19" s="791" t="str">
        <f t="shared" si="1"/>
        <v/>
      </c>
      <c r="I19" s="791" t="str">
        <f t="shared" si="1"/>
        <v/>
      </c>
      <c r="J19" s="791" t="str">
        <f t="shared" si="1"/>
        <v/>
      </c>
      <c r="K19" s="791" t="str">
        <f t="shared" si="1"/>
        <v/>
      </c>
      <c r="L19" s="791" t="str">
        <f t="shared" si="1"/>
        <v/>
      </c>
      <c r="M19" s="791" t="str">
        <f t="shared" si="1"/>
        <v/>
      </c>
      <c r="N19" s="791" t="str">
        <f t="shared" si="1"/>
        <v/>
      </c>
      <c r="O19" s="791" t="str">
        <f t="shared" si="1"/>
        <v/>
      </c>
      <c r="P19" s="791" t="str">
        <f t="shared" si="1"/>
        <v/>
      </c>
      <c r="Q19" s="791" t="str">
        <f t="shared" si="1"/>
        <v/>
      </c>
      <c r="R19" s="824" t="str">
        <f>IF(D19="","",SUM(D19:Q19))</f>
        <v/>
      </c>
      <c r="S19" s="276"/>
      <c r="T19" s="76"/>
      <c r="U19" s="280"/>
      <c r="W19" s="140"/>
      <c r="X19" s="140"/>
      <c r="Y19" s="140"/>
      <c r="Z19" s="140"/>
      <c r="AA19" s="241"/>
      <c r="AB19" s="140"/>
      <c r="AC19" s="140"/>
      <c r="AD19" s="140"/>
      <c r="AE19" s="113"/>
      <c r="AJ19" s="125"/>
    </row>
    <row r="20" spans="1:36" x14ac:dyDescent="0.4">
      <c r="A20" s="140"/>
      <c r="B20" s="273"/>
      <c r="C20" s="708" t="str">
        <f>"Desired Volume, gal - " &amp; IF('General Info &amp; Test Results'!$F$18="","Input Data",TEXT('General Info &amp; Test Results'!$F$18,"")) &amp; " Usage"</f>
        <v>Desired Volume, gal - Input Data Usage</v>
      </c>
      <c r="D20" s="791" t="str">
        <f>IF('General Info &amp; Test Results'!$F$18="","",IF('General Info &amp; Test Results'!$F$18=Constants!$B$11,IF(Constants!F13="","",Constants!F13),IF('General Info &amp; Test Results'!$F$18=Constants!$B$15,IF(Constants!F17="","",Constants!F17),IF('General Info &amp; Test Results'!$F$18=Constants!$B$19,IF(Constants!F21="","",Constants!F21),IF('General Info &amp; Test Results'!$F$18=Constants!$B$23,IF(Constants!F25="","",Constants!F25),"")))))</f>
        <v/>
      </c>
      <c r="E20" s="791" t="str">
        <f>IF('General Info &amp; Test Results'!$F$18="","",IF('General Info &amp; Test Results'!$F$18=Constants!$B$11,IF(Constants!G13="","",Constants!G13),IF('General Info &amp; Test Results'!$F$18=Constants!$B$15,IF(Constants!G17="","",Constants!G17),IF('General Info &amp; Test Results'!$F$18=Constants!$B$19,IF(Constants!G21="","",Constants!G21),IF('General Info &amp; Test Results'!$F$18=Constants!$B$23,IF(Constants!G25="","",Constants!G25),"")))))</f>
        <v/>
      </c>
      <c r="F20" s="791" t="str">
        <f>IF('General Info &amp; Test Results'!$F$18="","",IF('General Info &amp; Test Results'!$F$18=Constants!$B$11,IF(Constants!H13="","",Constants!H13),IF('General Info &amp; Test Results'!$F$18=Constants!$B$15,IF(Constants!H17="","",Constants!H17),IF('General Info &amp; Test Results'!$F$18=Constants!$B$19,IF(Constants!H21="","",Constants!H21),IF('General Info &amp; Test Results'!$F$18=Constants!$B$23,IF(Constants!H25="","",Constants!H25),"")))))</f>
        <v/>
      </c>
      <c r="G20" s="791" t="str">
        <f>IF('General Info &amp; Test Results'!$F$18="","",IF('General Info &amp; Test Results'!$F$18=Constants!$B$11,IF(Constants!I13="","",Constants!I13),IF('General Info &amp; Test Results'!$F$18=Constants!$B$15,IF(Constants!I17="","",Constants!I17),IF('General Info &amp; Test Results'!$F$18=Constants!$B$19,IF(Constants!I21="","",Constants!I21),IF('General Info &amp; Test Results'!$F$18=Constants!$B$23,IF(Constants!I25="","",Constants!I25),"")))))</f>
        <v/>
      </c>
      <c r="H20" s="791" t="str">
        <f>IF('General Info &amp; Test Results'!$F$18="","",IF('General Info &amp; Test Results'!$F$18=Constants!$B$11,IF(Constants!J13="","",Constants!J13),IF('General Info &amp; Test Results'!$F$18=Constants!$B$15,IF(Constants!J17="","",Constants!J17),IF('General Info &amp; Test Results'!$F$18=Constants!$B$19,IF(Constants!J21="","",Constants!J21),IF('General Info &amp; Test Results'!$F$18=Constants!$B$23,IF(Constants!J25="","",Constants!J25),"")))))</f>
        <v/>
      </c>
      <c r="I20" s="791" t="str">
        <f>IF('General Info &amp; Test Results'!$F$18="","",IF('General Info &amp; Test Results'!$F$18=Constants!$B$11,IF(Constants!K13="","",Constants!K13),IF('General Info &amp; Test Results'!$F$18=Constants!$B$15,IF(Constants!K17="","",Constants!K17),IF('General Info &amp; Test Results'!$F$18=Constants!$B$19,IF(Constants!K21="","",Constants!K21),IF('General Info &amp; Test Results'!$F$18=Constants!$B$23,IF(Constants!K25="","",Constants!K25),"")))))</f>
        <v/>
      </c>
      <c r="J20" s="791" t="str">
        <f>IF('General Info &amp; Test Results'!$F$18="","",IF('General Info &amp; Test Results'!$F$18=Constants!$B$11,IF(Constants!L13="","",Constants!L13),IF('General Info &amp; Test Results'!$F$18=Constants!$B$15,IF(Constants!L17="","",Constants!L17),IF('General Info &amp; Test Results'!$F$18=Constants!$B$19,IF(Constants!L21="","",Constants!L21),IF('General Info &amp; Test Results'!$F$18=Constants!$B$23,IF(Constants!L25="","",Constants!L25),"")))))</f>
        <v/>
      </c>
      <c r="K20" s="791" t="str">
        <f>IF('General Info &amp; Test Results'!$F$18="","",IF('General Info &amp; Test Results'!$F$18=Constants!$B$11,IF(Constants!M13="","",Constants!M13),IF('General Info &amp; Test Results'!$F$18=Constants!$B$15,IF(Constants!M17="","",Constants!M17),IF('General Info &amp; Test Results'!$F$18=Constants!$B$19,IF(Constants!M21="","",Constants!M21),IF('General Info &amp; Test Results'!$F$18=Constants!$B$23,IF(Constants!M25="","",Constants!M25),"")))))</f>
        <v/>
      </c>
      <c r="L20" s="791" t="str">
        <f>IF('General Info &amp; Test Results'!$F$18="","",IF('General Info &amp; Test Results'!$F$18=Constants!$B$11,IF(Constants!N13="","",Constants!N13),IF('General Info &amp; Test Results'!$F$18=Constants!$B$15,IF(Constants!N17="","",Constants!N17),IF('General Info &amp; Test Results'!$F$18=Constants!$B$19,IF(Constants!N21="","",Constants!N21),IF('General Info &amp; Test Results'!$F$18=Constants!$B$23,IF(Constants!N25="","",Constants!N25),"")))))</f>
        <v/>
      </c>
      <c r="M20" s="791" t="str">
        <f>IF('General Info &amp; Test Results'!$F$18="","",IF('General Info &amp; Test Results'!$F$18=Constants!$B$11,IF(Constants!O13="","",Constants!O13),IF('General Info &amp; Test Results'!$F$18=Constants!$B$15,IF(Constants!O17="","",Constants!O17),IF('General Info &amp; Test Results'!$F$18=Constants!$B$19,IF(Constants!O21="","",Constants!O21),IF('General Info &amp; Test Results'!$F$18=Constants!$B$23,IF(Constants!O25="","",Constants!O25),"")))))</f>
        <v/>
      </c>
      <c r="N20" s="791" t="str">
        <f>IF('General Info &amp; Test Results'!$F$18="","",IF('General Info &amp; Test Results'!$F$18=Constants!$B$11,IF(Constants!P13="","",Constants!P13),IF('General Info &amp; Test Results'!$F$18=Constants!$B$15,IF(Constants!P17="","",Constants!P17),IF('General Info &amp; Test Results'!$F$18=Constants!$B$19,IF(Constants!P21="","",Constants!P21),IF('General Info &amp; Test Results'!$F$18=Constants!$B$23,IF(Constants!P25="","",Constants!P25),"")))))</f>
        <v/>
      </c>
      <c r="O20" s="791" t="str">
        <f>IF('General Info &amp; Test Results'!$F$18="","",IF('General Info &amp; Test Results'!$F$18=Constants!$B$11,IF(Constants!Q13="","",Constants!Q13),IF('General Info &amp; Test Results'!$F$18=Constants!$B$15,IF(Constants!Q17="","",Constants!Q17),IF('General Info &amp; Test Results'!$F$18=Constants!$B$19,IF(Constants!Q21="","",Constants!Q21),IF('General Info &amp; Test Results'!$F$18=Constants!$B$23,IF(Constants!Q25="","",Constants!Q25),"")))))</f>
        <v/>
      </c>
      <c r="P20" s="791" t="str">
        <f>IF('General Info &amp; Test Results'!$F$18="","",IF('General Info &amp; Test Results'!$F$18=Constants!$B$11,IF(Constants!R13="","",Constants!R13),IF('General Info &amp; Test Results'!$F$18=Constants!$B$15,IF(Constants!R17="","",Constants!R17),IF('General Info &amp; Test Results'!$F$18=Constants!$B$19,IF(Constants!R21="","",Constants!R21),IF('General Info &amp; Test Results'!$F$18=Constants!$B$23,IF(Constants!R25="","",Constants!R25),"")))))</f>
        <v/>
      </c>
      <c r="Q20" s="791" t="str">
        <f>IF('General Info &amp; Test Results'!$F$18="","",IF('General Info &amp; Test Results'!$F$18=Constants!$B$11,IF(Constants!S13="","",Constants!S13),IF('General Info &amp; Test Results'!$F$18=Constants!$B$15,IF(Constants!S17="","",Constants!S17),IF('General Info &amp; Test Results'!$F$18=Constants!$B$19,IF(Constants!S21="","",Constants!S21),IF('General Info &amp; Test Results'!$F$18=Constants!$B$23,IF(Constants!S25="","",Constants!S25),"")))))</f>
        <v/>
      </c>
      <c r="R20" s="824" t="str">
        <f>IF(D20="","",SUM(D20:Q20))</f>
        <v/>
      </c>
      <c r="S20" s="276"/>
      <c r="T20" s="76"/>
      <c r="U20" s="280"/>
      <c r="W20" s="140"/>
      <c r="X20" s="140"/>
      <c r="Y20" s="140"/>
      <c r="Z20" s="140"/>
      <c r="AA20" s="238"/>
      <c r="AB20" s="140"/>
      <c r="AC20" s="140"/>
      <c r="AD20" s="140"/>
      <c r="AE20" s="113"/>
      <c r="AJ20" s="125"/>
    </row>
    <row r="21" spans="1:36" x14ac:dyDescent="0.4">
      <c r="A21" s="140"/>
      <c r="B21" s="273"/>
      <c r="C21" s="707" t="s">
        <v>465</v>
      </c>
      <c r="D21" s="791" t="str">
        <f>IF(D20="","",IF(AND('General Info &amp; Test Results'!$F$18=Constants!$B$11,D26&lt;Constants!F14),VLOOKUP(Constants!F14,Constants!$C$30:$E$32,3,FALSE),VLOOKUP(D26,Constants!$C$30:$E$32,3,FALSE)))</f>
        <v/>
      </c>
      <c r="E21" s="791" t="str">
        <f>IF(E20="","",IF(AND('General Info &amp; Test Results'!$F$18=Constants!$B$11,E26&lt;Constants!G14),VLOOKUP(Constants!G14,Constants!$C$30:$E$32,3,FALSE),VLOOKUP(E26,Constants!$C$30:$E$32,3,FALSE)))</f>
        <v/>
      </c>
      <c r="F21" s="791" t="str">
        <f>IF(F20="","",IF(AND('General Info &amp; Test Results'!$F$18=Constants!$B$11,F26&lt;Constants!H14),VLOOKUP(Constants!H14,Constants!$C$30:$E$32,3,FALSE),VLOOKUP(F26,Constants!$C$30:$E$32,3,FALSE)))</f>
        <v/>
      </c>
      <c r="G21" s="791" t="str">
        <f>IF(G20="","",IF(AND('General Info &amp; Test Results'!$F$18=Constants!$B$11,G26&lt;Constants!I14),VLOOKUP(Constants!I14,Constants!$C$30:$E$32,3,FALSE),VLOOKUP(G26,Constants!$C$30:$E$32,3,FALSE)))</f>
        <v/>
      </c>
      <c r="H21" s="791" t="str">
        <f>IF(H20="","",IF(AND('General Info &amp; Test Results'!$F$18=Constants!$B$11,H26&lt;Constants!J14),VLOOKUP(Constants!J14,Constants!$C$30:$E$32,3,FALSE),VLOOKUP(H26,Constants!$C$30:$E$32,3,FALSE)))</f>
        <v/>
      </c>
      <c r="I21" s="791" t="str">
        <f>IF(I20="","",IF(AND('General Info &amp; Test Results'!$F$18=Constants!$B$11,I26&lt;Constants!K14),VLOOKUP(Constants!K14,Constants!$C$30:$E$32,3,FALSE),VLOOKUP(I26,Constants!$C$30:$E$32,3,FALSE)))</f>
        <v/>
      </c>
      <c r="J21" s="791" t="str">
        <f>IF(J20="","",IF(AND('General Info &amp; Test Results'!$F$18=Constants!$B$11,J26&lt;Constants!L14),VLOOKUP(Constants!L14,Constants!$C$30:$E$32,3,FALSE),VLOOKUP(J26,Constants!$C$30:$E$32,3,FALSE)))</f>
        <v/>
      </c>
      <c r="K21" s="791" t="str">
        <f>IF(K20="","",IF(AND('General Info &amp; Test Results'!$F$18=Constants!$B$11,K26&lt;Constants!M14),VLOOKUP(Constants!M14,Constants!$C$30:$E$32,3,FALSE),VLOOKUP(K26,Constants!$C$30:$E$32,3,FALSE)))</f>
        <v/>
      </c>
      <c r="L21" s="791" t="str">
        <f>IF(L20="","",IF(AND('General Info &amp; Test Results'!$F$18=Constants!$B$11,L26&lt;Constants!N14),VLOOKUP(Constants!N14,Constants!$C$30:$E$32,3,FALSE),VLOOKUP(L26,Constants!$C$30:$E$32,3,FALSE)))</f>
        <v/>
      </c>
      <c r="M21" s="791" t="str">
        <f>IF(M20="","",IF(AND('General Info &amp; Test Results'!$F$18=Constants!$B$11,M26&lt;Constants!O14),VLOOKUP(Constants!O14,Constants!$C$30:$E$32,3,FALSE),VLOOKUP(M26,Constants!$C$30:$E$32,3,FALSE)))</f>
        <v/>
      </c>
      <c r="N21" s="791" t="str">
        <f>IF(N20="","",IF(AND('General Info &amp; Test Results'!$F$18=Constants!$B$11,N26&lt;Constants!P14),VLOOKUP(Constants!P14,Constants!$C$30:$E$32,3,FALSE),VLOOKUP(N26,Constants!$C$30:$E$32,3,FALSE)))</f>
        <v/>
      </c>
      <c r="O21" s="791" t="str">
        <f>IF(O20="","",IF(AND('General Info &amp; Test Results'!$F$18=Constants!$B$11,O26&lt;Constants!Q14),VLOOKUP(Constants!Q14,Constants!$C$30:$E$32,3,FALSE),VLOOKUP(O26,Constants!$C$30:$E$32,3,FALSE)))</f>
        <v/>
      </c>
      <c r="P21" s="791" t="str">
        <f>IF(P20="","",IF(AND('General Info &amp; Test Results'!$F$18=Constants!$B$11,P26&lt;Constants!R14),VLOOKUP(Constants!R14,Constants!$C$30:$E$32,3,FALSE),VLOOKUP(P26,Constants!$C$30:$E$32,3,FALSE)))</f>
        <v/>
      </c>
      <c r="Q21" s="791" t="str">
        <f>IF(Q20="","",IF(AND('General Info &amp; Test Results'!$F$18=Constants!$B$11,Q26&lt;Constants!S14),VLOOKUP(Constants!S14,Constants!$C$30:$E$32,3,FALSE),VLOOKUP(Q26,Constants!$C$30:$E$32,3,FALSE)))</f>
        <v/>
      </c>
      <c r="R21" s="824" t="str">
        <f>IF(AND(R20="",R19=""),"",Constants!$E$34)</f>
        <v/>
      </c>
      <c r="S21" s="276"/>
      <c r="T21" s="76"/>
      <c r="U21" s="280"/>
      <c r="AB21" s="113"/>
      <c r="AC21" s="113"/>
      <c r="AD21" s="113"/>
      <c r="AE21" s="113"/>
      <c r="AJ21" s="125"/>
    </row>
    <row r="22" spans="1:36" x14ac:dyDescent="0.4">
      <c r="A22" s="140"/>
      <c r="B22" s="273"/>
      <c r="C22" s="707" t="s">
        <v>197</v>
      </c>
      <c r="D22" s="875" t="str">
        <f>IF(D19="","",IF(AND(D19&gt;=D20-D21,D19&lt;=D20+D21),"Yes","No"))</f>
        <v/>
      </c>
      <c r="E22" s="875" t="str">
        <f t="shared" ref="E22:R22" si="2">IF(E19="","",IF(AND(E19&gt;=E20-E21,E19&lt;=E20+E21),"Yes","No"))</f>
        <v/>
      </c>
      <c r="F22" s="875" t="str">
        <f t="shared" si="2"/>
        <v/>
      </c>
      <c r="G22" s="875" t="str">
        <f t="shared" si="2"/>
        <v/>
      </c>
      <c r="H22" s="875" t="str">
        <f t="shared" si="2"/>
        <v/>
      </c>
      <c r="I22" s="875" t="str">
        <f t="shared" si="2"/>
        <v/>
      </c>
      <c r="J22" s="875" t="str">
        <f t="shared" si="2"/>
        <v/>
      </c>
      <c r="K22" s="875" t="str">
        <f t="shared" si="2"/>
        <v/>
      </c>
      <c r="L22" s="875" t="str">
        <f t="shared" si="2"/>
        <v/>
      </c>
      <c r="M22" s="875" t="str">
        <f t="shared" si="2"/>
        <v/>
      </c>
      <c r="N22" s="875" t="str">
        <f t="shared" si="2"/>
        <v/>
      </c>
      <c r="O22" s="875" t="str">
        <f t="shared" si="2"/>
        <v/>
      </c>
      <c r="P22" s="875" t="str">
        <f t="shared" si="2"/>
        <v/>
      </c>
      <c r="Q22" s="875" t="str">
        <f t="shared" si="2"/>
        <v/>
      </c>
      <c r="R22" s="875" t="str">
        <f t="shared" si="2"/>
        <v/>
      </c>
      <c r="S22" s="276"/>
      <c r="T22" s="76"/>
      <c r="U22" s="280"/>
      <c r="AB22" s="113"/>
      <c r="AC22" s="113"/>
      <c r="AD22" s="113"/>
      <c r="AE22" s="113"/>
      <c r="AJ22" s="125"/>
    </row>
    <row r="23" spans="1:36" x14ac:dyDescent="0.4">
      <c r="A23" s="140"/>
      <c r="B23" s="273"/>
      <c r="C23" s="140"/>
      <c r="D23" s="140"/>
      <c r="E23" s="140"/>
      <c r="F23" s="140"/>
      <c r="G23" s="140"/>
      <c r="H23" s="140"/>
      <c r="I23" s="140"/>
      <c r="J23" s="140"/>
      <c r="K23" s="140"/>
      <c r="L23" s="140"/>
      <c r="M23" s="140"/>
      <c r="N23" s="140"/>
      <c r="O23" s="140"/>
      <c r="P23" s="140"/>
      <c r="Q23" s="140"/>
      <c r="R23" s="140"/>
      <c r="S23" s="276"/>
      <c r="T23" s="76"/>
      <c r="U23" s="281"/>
      <c r="AB23" s="113"/>
      <c r="AC23" s="113"/>
      <c r="AD23" s="113"/>
      <c r="AE23" s="113"/>
      <c r="AJ23" s="125"/>
    </row>
    <row r="24" spans="1:36" x14ac:dyDescent="0.4">
      <c r="A24" s="140"/>
      <c r="B24" s="273"/>
      <c r="C24" s="708" t="s">
        <v>130</v>
      </c>
      <c r="D24" s="873"/>
      <c r="E24" s="873"/>
      <c r="F24" s="873"/>
      <c r="G24" s="873"/>
      <c r="H24" s="873"/>
      <c r="I24" s="874"/>
      <c r="J24" s="873"/>
      <c r="K24" s="874"/>
      <c r="L24" s="873"/>
      <c r="M24" s="874"/>
      <c r="N24" s="873"/>
      <c r="O24" s="873"/>
      <c r="P24" s="873"/>
      <c r="Q24" s="873"/>
      <c r="R24" s="140"/>
      <c r="S24" s="276"/>
      <c r="T24" s="76"/>
      <c r="V24" s="3"/>
      <c r="W24" s="3"/>
      <c r="X24" s="280"/>
      <c r="Y24" s="282"/>
      <c r="Z24" s="113"/>
      <c r="AA24" s="113"/>
      <c r="AB24" s="113"/>
      <c r="AC24" s="113"/>
      <c r="AD24" s="113"/>
      <c r="AE24" s="113"/>
      <c r="AJ24" s="125"/>
    </row>
    <row r="25" spans="1:36" x14ac:dyDescent="0.4">
      <c r="A25" s="140"/>
      <c r="B25" s="273"/>
      <c r="C25" s="708" t="s">
        <v>131</v>
      </c>
      <c r="D25" s="873"/>
      <c r="E25" s="873"/>
      <c r="F25" s="873"/>
      <c r="G25" s="873"/>
      <c r="H25" s="873"/>
      <c r="I25" s="874"/>
      <c r="J25" s="873"/>
      <c r="K25" s="874"/>
      <c r="L25" s="873"/>
      <c r="M25" s="874"/>
      <c r="N25" s="873"/>
      <c r="O25" s="873"/>
      <c r="P25" s="873"/>
      <c r="Q25" s="873"/>
      <c r="R25" s="140"/>
      <c r="S25" s="276"/>
      <c r="T25" s="76"/>
      <c r="V25" s="3"/>
      <c r="W25" s="3"/>
      <c r="X25" s="280"/>
      <c r="Y25" s="282"/>
      <c r="Z25" s="113"/>
      <c r="AA25" s="113"/>
      <c r="AB25" s="113"/>
      <c r="AC25" s="113"/>
      <c r="AD25" s="113"/>
      <c r="AE25" s="113"/>
      <c r="AJ25" s="125"/>
    </row>
    <row r="26" spans="1:36" x14ac:dyDescent="0.4">
      <c r="A26" s="140"/>
      <c r="B26" s="283"/>
      <c r="C26" s="708" t="str">
        <f>"Desired Flow Rates (gpm) - " &amp; IF('General Info &amp; Test Results'!$F$18="","Input Data",TEXT('General Info &amp; Test Results'!$F$18,"")) &amp; " Usage"</f>
        <v>Desired Flow Rates (gpm) - Input Data Usage</v>
      </c>
      <c r="D26" s="876" t="str">
        <f>IF('General Info &amp; Test Results'!$F$18="","",
IF('General Info &amp; Test Results'!$F$18=Constants!$B$11,IF(Constants!F14="","",IF('General Info &amp; Test Results'!$F$13="Instantaneous",MIN(Constants!F14,'Max GPM Test'!$C$39),Constants!F14)),
IF('General Info &amp; Test Results'!$F$18=Constants!$B$15,IF(Constants!F18="","",Constants!F18),
IF('General Info &amp; Test Results'!$F$18=Constants!$B$19,IF(Constants!F22="","",Constants!F22),
IF('General Info &amp; Test Results'!$F$18=Constants!$B$23,IF(Constants!F26="","",Constants!F26),"")))))</f>
        <v/>
      </c>
      <c r="E26" s="876" t="str">
        <f>IF('General Info &amp; Test Results'!$F$18="","",
IF('General Info &amp; Test Results'!$F$18=Constants!$B$11,IF(Constants!G14="","",IF('General Info &amp; Test Results'!$F$13="Instantaneous",MIN(Constants!G14,'Max GPM Test'!$C$39),Constants!G14)),
IF('General Info &amp; Test Results'!$F$18=Constants!$B$15,IF(Constants!G18="","",Constants!G18),
IF('General Info &amp; Test Results'!$F$18=Constants!$B$19,IF(Constants!G22="","",Constants!G22),
IF('General Info &amp; Test Results'!$F$18=Constants!$B$23,IF(Constants!G26="","",Constants!G26),"")))))</f>
        <v/>
      </c>
      <c r="F26" s="876" t="str">
        <f>IF('General Info &amp; Test Results'!$F$18="","",
IF('General Info &amp; Test Results'!$F$18=Constants!$B$11,IF(Constants!H14="","",IF('General Info &amp; Test Results'!$F$13="Instantaneous",MIN(Constants!H14,'Max GPM Test'!$C$39),Constants!H14)),
IF('General Info &amp; Test Results'!$F$18=Constants!$B$15,IF(Constants!H18="","",Constants!H18),
IF('General Info &amp; Test Results'!$F$18=Constants!$B$19,IF(Constants!H22="","",Constants!H22),
IF('General Info &amp; Test Results'!$F$18=Constants!$B$23,IF(Constants!H26="","",Constants!H26),"")))))</f>
        <v/>
      </c>
      <c r="G26" s="876" t="str">
        <f>IF('General Info &amp; Test Results'!$F$18="","",
IF('General Info &amp; Test Results'!$F$18=Constants!$B$11,IF(Constants!I14="","",IF('General Info &amp; Test Results'!$F$13="Instantaneous",MIN(Constants!I14,'Max GPM Test'!$C$39),Constants!I14)),
IF('General Info &amp; Test Results'!$F$18=Constants!$B$15,IF(Constants!I18="","",Constants!I18),
IF('General Info &amp; Test Results'!$F$18=Constants!$B$19,IF(Constants!I22="","",Constants!I22),
IF('General Info &amp; Test Results'!$F$18=Constants!$B$23,IF(Constants!I26="","",Constants!I26),"")))))</f>
        <v/>
      </c>
      <c r="H26" s="876" t="str">
        <f>IF('General Info &amp; Test Results'!$F$18="","",
IF('General Info &amp; Test Results'!$F$18=Constants!$B$11,IF(Constants!J14="","",IF('General Info &amp; Test Results'!$F$13="Instantaneous",MIN(Constants!J14,'Max GPM Test'!$C$39),Constants!J14)),
IF('General Info &amp; Test Results'!$F$18=Constants!$B$15,IF(Constants!J18="","",Constants!J18),
IF('General Info &amp; Test Results'!$F$18=Constants!$B$19,IF(Constants!J22="","",Constants!J22),
IF('General Info &amp; Test Results'!$F$18=Constants!$B$23,IF(Constants!J26="","",Constants!J26),"")))))</f>
        <v/>
      </c>
      <c r="I26" s="876" t="str">
        <f>IF('General Info &amp; Test Results'!$F$18="","",
IF('General Info &amp; Test Results'!$F$18=Constants!$B$11,IF(Constants!K14="","",IF('General Info &amp; Test Results'!$F$13="Instantaneous",MIN(Constants!K14,'Max GPM Test'!$C$39),Constants!K14)),
IF('General Info &amp; Test Results'!$F$18=Constants!$B$15,IF(Constants!K18="","",Constants!K18),
IF('General Info &amp; Test Results'!$F$18=Constants!$B$19,IF(Constants!K22="","",Constants!K22),
IF('General Info &amp; Test Results'!$F$18=Constants!$B$23,IF(Constants!K26="","",Constants!K26),"")))))</f>
        <v/>
      </c>
      <c r="J26" s="876" t="str">
        <f>IF('General Info &amp; Test Results'!$F$18="","",
IF('General Info &amp; Test Results'!$F$18=Constants!$B$11,IF(Constants!L14="","",IF('General Info &amp; Test Results'!$F$13="Instantaneous",MIN(Constants!L14,'Max GPM Test'!$C$39),Constants!L14)),
IF('General Info &amp; Test Results'!$F$18=Constants!$B$15,IF(Constants!L18="","",Constants!L18),
IF('General Info &amp; Test Results'!$F$18=Constants!$B$19,IF(Constants!L22="","",Constants!L22),
IF('General Info &amp; Test Results'!$F$18=Constants!$B$23,IF(Constants!L26="","",Constants!L26),"")))))</f>
        <v/>
      </c>
      <c r="K26" s="876" t="str">
        <f>IF('General Info &amp; Test Results'!$F$18="","",
IF('General Info &amp; Test Results'!$F$18=Constants!$B$11,IF(Constants!M14="","",IF('General Info &amp; Test Results'!$F$13="Instantaneous",MIN(Constants!M14,'Max GPM Test'!$C$39),Constants!M14)),
IF('General Info &amp; Test Results'!$F$18=Constants!$B$15,IF(Constants!M18="","",Constants!M18),
IF('General Info &amp; Test Results'!$F$18=Constants!$B$19,IF(Constants!M22="","",Constants!M22),
IF('General Info &amp; Test Results'!$F$18=Constants!$B$23,IF(Constants!M26="","",Constants!M26),"")))))</f>
        <v/>
      </c>
      <c r="L26" s="876" t="str">
        <f>IF('General Info &amp; Test Results'!$F$18="","",
IF('General Info &amp; Test Results'!$F$18=Constants!$B$11,IF(Constants!N14="","",IF('General Info &amp; Test Results'!$F$13="Instantaneous",MIN(Constants!N14,'Max GPM Test'!$C$39),Constants!N14)),
IF('General Info &amp; Test Results'!$F$18=Constants!$B$15,IF(Constants!N18="","",Constants!N18),
IF('General Info &amp; Test Results'!$F$18=Constants!$B$19,IF(Constants!N22="","",Constants!N22),
IF('General Info &amp; Test Results'!$F$18=Constants!$B$23,IF(Constants!N26="","",Constants!N26),"")))))</f>
        <v/>
      </c>
      <c r="M26" s="876" t="str">
        <f>IF('General Info &amp; Test Results'!$F$18="","",
IF('General Info &amp; Test Results'!$F$18=Constants!$B$11,IF(Constants!O14="","",IF('General Info &amp; Test Results'!$F$13="Instantaneous",MIN(Constants!O14,'Max GPM Test'!$C$39),Constants!O14)),
IF('General Info &amp; Test Results'!$F$18=Constants!$B$15,IF(Constants!O18="","",Constants!O18),
IF('General Info &amp; Test Results'!$F$18=Constants!$B$19,IF(Constants!O22="","",Constants!O22),
IF('General Info &amp; Test Results'!$F$18=Constants!$B$23,IF(Constants!O26="","",Constants!O26),"")))))</f>
        <v/>
      </c>
      <c r="N26" s="876" t="str">
        <f>IF('General Info &amp; Test Results'!$F$18="","",
IF('General Info &amp; Test Results'!$F$18=Constants!$B$11,IF(Constants!P14="","",IF('General Info &amp; Test Results'!$F$13="Instantaneous",MIN(Constants!P14,'Max GPM Test'!$C$39),Constants!P14)),
IF('General Info &amp; Test Results'!$F$18=Constants!$B$15,IF(Constants!P18="","",Constants!P18),
IF('General Info &amp; Test Results'!$F$18=Constants!$B$19,IF(Constants!P22="","",Constants!P22),
IF('General Info &amp; Test Results'!$F$18=Constants!$B$23,IF(Constants!P26="","",Constants!P26),"")))))</f>
        <v/>
      </c>
      <c r="O26" s="876" t="str">
        <f>IF('General Info &amp; Test Results'!$F$18="","",
IF('General Info &amp; Test Results'!$F$18=Constants!$B$11,IF(Constants!Q14="","",IF('General Info &amp; Test Results'!$F$13="Instantaneous",MIN(Constants!Q14,'Max GPM Test'!$C$39),Constants!Q14)),
IF('General Info &amp; Test Results'!$F$18=Constants!$B$15,IF(Constants!Q18="","",Constants!Q18),
IF('General Info &amp; Test Results'!$F$18=Constants!$B$19,IF(Constants!Q22="","",Constants!Q22),
IF('General Info &amp; Test Results'!$F$18=Constants!$B$23,IF(Constants!Q26="","",Constants!Q26),"")))))</f>
        <v/>
      </c>
      <c r="P26" s="876" t="str">
        <f>IF('General Info &amp; Test Results'!$F$18="","",
IF('General Info &amp; Test Results'!$F$18=Constants!$B$11,IF(Constants!R14="","",IF('General Info &amp; Test Results'!$F$13="Instantaneous",MIN(Constants!R14,'Max GPM Test'!$C$39),Constants!R14)),
IF('General Info &amp; Test Results'!$F$18=Constants!$B$15,IF(Constants!R18="","",Constants!R18),
IF('General Info &amp; Test Results'!$F$18=Constants!$B$19,IF(Constants!R22="","",Constants!R22),
IF('General Info &amp; Test Results'!$F$18=Constants!$B$23,IF(Constants!R26="","",Constants!R26),"")))))</f>
        <v/>
      </c>
      <c r="Q26" s="876" t="str">
        <f>IF('General Info &amp; Test Results'!$F$18="","",
IF('General Info &amp; Test Results'!$F$18=Constants!$B$11,IF(Constants!S14="","",IF('General Info &amp; Test Results'!$F$13="Instantaneous",MIN(Constants!S14,'Max GPM Test'!$C$39),Constants!S14)),
IF('General Info &amp; Test Results'!$F$18=Constants!$B$15,IF(Constants!S18="","",Constants!S18),
IF('General Info &amp; Test Results'!$F$18=Constants!$B$19,IF(Constants!S22="","",Constants!S22),
IF('General Info &amp; Test Results'!$F$18=Constants!$B$23,IF(Constants!S26="","",Constants!S26),"")))))</f>
        <v/>
      </c>
      <c r="R26" s="140"/>
      <c r="S26" s="140"/>
      <c r="T26" s="76"/>
      <c r="V26" s="113"/>
      <c r="W26" s="113"/>
      <c r="X26" s="284"/>
      <c r="Y26" s="284"/>
      <c r="Z26" s="113"/>
      <c r="AA26" s="113"/>
      <c r="AB26" s="113"/>
      <c r="AC26" s="113"/>
      <c r="AD26" s="113"/>
      <c r="AE26" s="113"/>
      <c r="AJ26" s="125"/>
    </row>
    <row r="27" spans="1:36" ht="18.75" customHeight="1" x14ac:dyDescent="0.4">
      <c r="A27" s="140"/>
      <c r="B27" s="283"/>
      <c r="C27" s="708" t="s">
        <v>216</v>
      </c>
      <c r="D27" s="876" t="str">
        <f>IF(D26="","",Constants!$E$33)</f>
        <v/>
      </c>
      <c r="E27" s="876" t="str">
        <f>IF(E26="","",Constants!$E$33)</f>
        <v/>
      </c>
      <c r="F27" s="876" t="str">
        <f>IF(F26="","",Constants!$E$33)</f>
        <v/>
      </c>
      <c r="G27" s="876" t="str">
        <f>IF(G26="","",Constants!$E$33)</f>
        <v/>
      </c>
      <c r="H27" s="876" t="str">
        <f>IF(H26="","",Constants!$E$33)</f>
        <v/>
      </c>
      <c r="I27" s="876" t="str">
        <f>IF(I26="","",Constants!$E$33)</f>
        <v/>
      </c>
      <c r="J27" s="876" t="str">
        <f>IF(J26="","",Constants!$E$33)</f>
        <v/>
      </c>
      <c r="K27" s="876" t="str">
        <f>IF(K26="","",Constants!$E$33)</f>
        <v/>
      </c>
      <c r="L27" s="876" t="str">
        <f>IF(L26="","",Constants!$E$33)</f>
        <v/>
      </c>
      <c r="M27" s="876" t="str">
        <f>IF(M26="","",Constants!$E$33)</f>
        <v/>
      </c>
      <c r="N27" s="876" t="str">
        <f>IF(N26="","",Constants!$E$33)</f>
        <v/>
      </c>
      <c r="O27" s="876" t="str">
        <f>IF(O26="","",Constants!$E$33)</f>
        <v/>
      </c>
      <c r="P27" s="876" t="str">
        <f>IF(P26="","",Constants!$E$33)</f>
        <v/>
      </c>
      <c r="Q27" s="876" t="str">
        <f>IF(Q26="","",Constants!$E$33)</f>
        <v/>
      </c>
      <c r="R27" s="140"/>
      <c r="S27" s="140"/>
      <c r="T27" s="76"/>
      <c r="V27" s="113"/>
      <c r="W27" s="113"/>
      <c r="X27" s="284"/>
      <c r="Y27" s="284"/>
      <c r="Z27" s="113"/>
      <c r="AA27" s="113"/>
      <c r="AB27" s="113"/>
      <c r="AC27" s="113"/>
      <c r="AD27" s="113"/>
      <c r="AE27" s="113"/>
      <c r="AJ27" s="125"/>
    </row>
    <row r="28" spans="1:36" ht="18.75" customHeight="1" x14ac:dyDescent="0.4">
      <c r="A28" s="140"/>
      <c r="B28" s="283"/>
      <c r="C28" s="708" t="s">
        <v>196</v>
      </c>
      <c r="D28" s="877" t="str">
        <f t="shared" ref="D28:Q28" si="3">IF(AND(D24="",D25=""),"",IF(AND(D24&lt;&gt;"",D25=""),"Min Flow Rate?",IF(AND(D24="",D25&lt;&gt;""),"Max Flow Rate?",IF(AND(ABS(D26-D25)&lt;=D27,ABS(D26-D24)&lt;=D27),"Yes","No"))))</f>
        <v/>
      </c>
      <c r="E28" s="877" t="str">
        <f t="shared" si="3"/>
        <v/>
      </c>
      <c r="F28" s="877" t="str">
        <f t="shared" si="3"/>
        <v/>
      </c>
      <c r="G28" s="877" t="str">
        <f t="shared" si="3"/>
        <v/>
      </c>
      <c r="H28" s="877" t="str">
        <f t="shared" si="3"/>
        <v/>
      </c>
      <c r="I28" s="877" t="str">
        <f t="shared" si="3"/>
        <v/>
      </c>
      <c r="J28" s="877" t="str">
        <f t="shared" si="3"/>
        <v/>
      </c>
      <c r="K28" s="877" t="str">
        <f t="shared" si="3"/>
        <v/>
      </c>
      <c r="L28" s="877" t="str">
        <f t="shared" si="3"/>
        <v/>
      </c>
      <c r="M28" s="877" t="str">
        <f t="shared" si="3"/>
        <v/>
      </c>
      <c r="N28" s="877" t="str">
        <f t="shared" si="3"/>
        <v/>
      </c>
      <c r="O28" s="877" t="str">
        <f t="shared" si="3"/>
        <v/>
      </c>
      <c r="P28" s="877" t="str">
        <f t="shared" si="3"/>
        <v/>
      </c>
      <c r="Q28" s="877" t="str">
        <f t="shared" si="3"/>
        <v/>
      </c>
      <c r="R28" s="140"/>
      <c r="S28" s="140"/>
      <c r="T28" s="76"/>
      <c r="V28" s="113"/>
      <c r="W28" s="113"/>
      <c r="X28" s="285"/>
      <c r="Y28" s="285"/>
      <c r="Z28" s="113"/>
      <c r="AA28" s="113"/>
      <c r="AB28" s="113"/>
      <c r="AC28" s="113"/>
      <c r="AD28" s="113"/>
      <c r="AE28" s="113"/>
      <c r="AJ28" s="125"/>
    </row>
    <row r="29" spans="1:36" x14ac:dyDescent="0.4">
      <c r="A29" s="140"/>
      <c r="B29" s="283"/>
      <c r="C29" s="140"/>
      <c r="D29" s="878"/>
      <c r="E29" s="878"/>
      <c r="F29" s="878"/>
      <c r="G29" s="878"/>
      <c r="H29" s="878"/>
      <c r="I29" s="878"/>
      <c r="J29" s="878"/>
      <c r="K29" s="878"/>
      <c r="L29" s="878"/>
      <c r="M29" s="878"/>
      <c r="N29" s="878"/>
      <c r="O29" s="878"/>
      <c r="P29" s="878"/>
      <c r="Q29" s="878"/>
      <c r="R29" s="140"/>
      <c r="S29" s="140"/>
      <c r="T29" s="76"/>
      <c r="V29" s="113"/>
      <c r="W29" s="113"/>
      <c r="X29" s="284"/>
      <c r="Y29" s="284"/>
      <c r="Z29" s="113"/>
      <c r="AA29" s="113"/>
      <c r="AB29" s="113"/>
      <c r="AC29" s="113"/>
      <c r="AD29" s="113"/>
      <c r="AE29" s="113"/>
      <c r="AJ29" s="125"/>
    </row>
    <row r="30" spans="1:36" x14ac:dyDescent="0.4">
      <c r="A30" s="140"/>
      <c r="B30" s="283"/>
      <c r="C30" s="708" t="s">
        <v>464</v>
      </c>
      <c r="D30" s="873"/>
      <c r="E30" s="873"/>
      <c r="F30" s="873"/>
      <c r="G30" s="873"/>
      <c r="H30" s="873"/>
      <c r="I30" s="874"/>
      <c r="J30" s="873"/>
      <c r="K30" s="874"/>
      <c r="L30" s="873"/>
      <c r="M30" s="874"/>
      <c r="N30" s="873"/>
      <c r="O30" s="873"/>
      <c r="P30" s="873"/>
      <c r="Q30" s="873"/>
      <c r="R30" s="140"/>
      <c r="S30" s="286"/>
      <c r="T30" s="76"/>
      <c r="V30" s="113"/>
      <c r="W30" s="113"/>
      <c r="X30" s="284"/>
      <c r="Y30" s="284"/>
      <c r="Z30" s="113"/>
      <c r="AA30" s="113"/>
      <c r="AB30" s="113"/>
      <c r="AC30" s="113"/>
      <c r="AD30" s="113"/>
      <c r="AE30" s="113"/>
      <c r="AJ30" s="125"/>
    </row>
    <row r="31" spans="1:36" x14ac:dyDescent="0.4">
      <c r="A31" s="140"/>
      <c r="B31" s="283"/>
      <c r="C31" s="721" t="s">
        <v>492</v>
      </c>
      <c r="D31" s="876" t="str">
        <f>IF('General Info &amp; Test Results'!$F$18="","",IF('General Info &amp; Test Results'!$F$18=Constants!$B$11,IF(Constants!F11="","",Constants!F11),IF('General Info &amp; Test Results'!$F$18=Constants!$B$15,IF(Constants!F15="","",Constants!F15),IF('General Info &amp; Test Results'!$F$18=Constants!$B$19,IF(Constants!F19="","",Constants!F19),IF('General Info &amp; Test Results'!$F$18=Constants!$B$23,IF(Constants!F23="","",Constants!F23),"")))))</f>
        <v/>
      </c>
      <c r="E31" s="876" t="str">
        <f>IF('General Info &amp; Test Results'!$F$18="","",IF('General Info &amp; Test Results'!$F$18=Constants!$B$11,IF(Constants!G11="","",Constants!G11),IF('General Info &amp; Test Results'!$F$18=Constants!$B$15,IF(Constants!G15="","",Constants!G15),IF('General Info &amp; Test Results'!$F$18=Constants!$B$19,IF(Constants!G19="","",Constants!G19),IF('General Info &amp; Test Results'!$F$18=Constants!$B$23,IF(Constants!G23="","",Constants!G23),"")))))</f>
        <v/>
      </c>
      <c r="F31" s="876" t="str">
        <f>IF('General Info &amp; Test Results'!$F$18="","",IF('General Info &amp; Test Results'!$F$18=Constants!$B$11,IF(Constants!H11="","",Constants!H11),IF('General Info &amp; Test Results'!$F$18=Constants!$B$15,IF(Constants!H15="","",Constants!H15),IF('General Info &amp; Test Results'!$F$18=Constants!$B$19,IF(Constants!H19="","",Constants!H19),IF('General Info &amp; Test Results'!$F$18=Constants!$B$23,IF(Constants!H23="","",Constants!H23),"")))))</f>
        <v/>
      </c>
      <c r="G31" s="876" t="str">
        <f>IF('General Info &amp; Test Results'!$F$18="","",IF('General Info &amp; Test Results'!$F$18=Constants!$B$11,IF(Constants!I11="","",Constants!I11),IF('General Info &amp; Test Results'!$F$18=Constants!$B$15,IF(Constants!I15="","",Constants!I15),IF('General Info &amp; Test Results'!$F$18=Constants!$B$19,IF(Constants!I19="","",Constants!I19),IF('General Info &amp; Test Results'!$F$18=Constants!$B$23,IF(Constants!I23="","",Constants!I23),"")))))</f>
        <v/>
      </c>
      <c r="H31" s="876" t="str">
        <f>IF('General Info &amp; Test Results'!$F$18="","",IF('General Info &amp; Test Results'!$F$18=Constants!$B$11,IF(Constants!J11="","",Constants!J11),IF('General Info &amp; Test Results'!$F$18=Constants!$B$15,IF(Constants!J15="","",Constants!J15),IF('General Info &amp; Test Results'!$F$18=Constants!$B$19,IF(Constants!J19="","",Constants!J19),IF('General Info &amp; Test Results'!$F$18=Constants!$B$23,IF(Constants!J23="","",Constants!J23),"")))))</f>
        <v/>
      </c>
      <c r="I31" s="876" t="str">
        <f>IF('General Info &amp; Test Results'!$F$18="","",IF('General Info &amp; Test Results'!$F$18=Constants!$B$11,IF(Constants!K11="","",Constants!K11),IF('General Info &amp; Test Results'!$F$18=Constants!$B$15,IF(Constants!K15="","",Constants!K15),IF('General Info &amp; Test Results'!$F$18=Constants!$B$19,IF(Constants!K19="","",Constants!K19),IF('General Info &amp; Test Results'!$F$18=Constants!$B$23,IF(Constants!K23="","",Constants!K23),"")))))</f>
        <v/>
      </c>
      <c r="J31" s="876" t="str">
        <f>IF('General Info &amp; Test Results'!$F$18="","",IF('General Info &amp; Test Results'!$F$18=Constants!$B$11,IF(Constants!L11="","",Constants!L11),IF('General Info &amp; Test Results'!$F$18=Constants!$B$15,IF(Constants!L15="","",Constants!L15),IF('General Info &amp; Test Results'!$F$18=Constants!$B$19,IF(Constants!L19="","",Constants!L19),IF('General Info &amp; Test Results'!$F$18=Constants!$B$23,IF(Constants!L23="","",Constants!L23),"")))))</f>
        <v/>
      </c>
      <c r="K31" s="876" t="str">
        <f>IF('General Info &amp; Test Results'!$F$18="","",IF('General Info &amp; Test Results'!$F$18=Constants!$B$11,IF(Constants!M11="","",Constants!M11),IF('General Info &amp; Test Results'!$F$18=Constants!$B$15,IF(Constants!M15="","",Constants!M15),IF('General Info &amp; Test Results'!$F$18=Constants!$B$19,IF(Constants!M19="","",Constants!M19),IF('General Info &amp; Test Results'!$F$18=Constants!$B$23,IF(Constants!M23="","",Constants!M23),"")))))</f>
        <v/>
      </c>
      <c r="L31" s="876" t="str">
        <f>IF('General Info &amp; Test Results'!$F$18="","",IF('General Info &amp; Test Results'!$F$18=Constants!$B$11,IF(Constants!N11="","",Constants!N11),IF('General Info &amp; Test Results'!$F$18=Constants!$B$15,IF(Constants!N15="","",Constants!N15),IF('General Info &amp; Test Results'!$F$18=Constants!$B$19,IF(Constants!N19="","",Constants!N19),IF('General Info &amp; Test Results'!$F$18=Constants!$B$23,IF(Constants!N23="","",Constants!N23),"")))))</f>
        <v/>
      </c>
      <c r="M31" s="876" t="str">
        <f>IF('General Info &amp; Test Results'!$F$18="","",IF('General Info &amp; Test Results'!$F$18=Constants!$B$11,IF(Constants!O11="","",Constants!O11),IF('General Info &amp; Test Results'!$F$18=Constants!$B$15,IF(Constants!O15="","",Constants!O15),IF('General Info &amp; Test Results'!$F$18=Constants!$B$19,IF(Constants!O19="","",Constants!O19),IF('General Info &amp; Test Results'!$F$18=Constants!$B$23,IF(Constants!O23="","",Constants!O23),"")))))</f>
        <v/>
      </c>
      <c r="N31" s="876" t="str">
        <f>IF('General Info &amp; Test Results'!$F$18="","",IF('General Info &amp; Test Results'!$F$18=Constants!$B$11,IF(Constants!P11="","",Constants!P11),IF('General Info &amp; Test Results'!$F$18=Constants!$B$15,IF(Constants!P15="","",Constants!P15),IF('General Info &amp; Test Results'!$F$18=Constants!$B$19,IF(Constants!P19="","",Constants!P19),IF('General Info &amp; Test Results'!$F$18=Constants!$B$23,IF(Constants!P23="","",Constants!P23),"")))))</f>
        <v/>
      </c>
      <c r="O31" s="876" t="str">
        <f>IF('General Info &amp; Test Results'!$F$18="","",IF('General Info &amp; Test Results'!$F$18=Constants!$B$11,IF(Constants!Q11="","",Constants!Q11),IF('General Info &amp; Test Results'!$F$18=Constants!$B$15,IF(Constants!Q15="","",Constants!Q15),IF('General Info &amp; Test Results'!$F$18=Constants!$B$19,IF(Constants!Q19="","",Constants!Q19),IF('General Info &amp; Test Results'!$F$18=Constants!$B$23,IF(Constants!Q23="","",Constants!Q23),"")))))</f>
        <v/>
      </c>
      <c r="P31" s="876" t="str">
        <f>IF('General Info &amp; Test Results'!$F$18="","",IF('General Info &amp; Test Results'!$F$18=Constants!$B$11,IF(Constants!R11="","",Constants!R11),IF('General Info &amp; Test Results'!$F$18=Constants!$B$15,IF(Constants!R15="","",Constants!R15),IF('General Info &amp; Test Results'!$F$18=Constants!$B$19,IF(Constants!R19="","",Constants!R19),IF('General Info &amp; Test Results'!$F$18=Constants!$B$23,IF(Constants!R23="","",Constants!R23),"")))))</f>
        <v/>
      </c>
      <c r="Q31" s="876" t="str">
        <f>IF('General Info &amp; Test Results'!$F$18="","",IF('General Info &amp; Test Results'!$F$18=Constants!$B$11,IF(Constants!S11="","",Constants!S11),IF('General Info &amp; Test Results'!$F$18=Constants!$B$15,IF(Constants!S15="","",Constants!S15),IF('General Info &amp; Test Results'!$F$18=Constants!$B$19,IF(Constants!S19="","",Constants!S19),IF('General Info &amp; Test Results'!$F$18=Constants!$B$23,IF(Constants!S23="","",Constants!S23),"")))))</f>
        <v/>
      </c>
      <c r="R31" s="140"/>
      <c r="S31" s="140"/>
      <c r="T31" s="76"/>
      <c r="V31" s="113"/>
      <c r="W31" s="113"/>
      <c r="X31" s="284"/>
      <c r="Y31" s="284"/>
      <c r="Z31" s="113"/>
      <c r="AA31" s="113"/>
      <c r="AB31" s="113"/>
      <c r="AC31" s="113"/>
      <c r="AD31" s="113"/>
      <c r="AE31" s="113"/>
      <c r="AJ31" s="125"/>
    </row>
    <row r="32" spans="1:36" x14ac:dyDescent="0.4">
      <c r="A32" s="140"/>
      <c r="B32" s="283"/>
      <c r="C32" s="722" t="s">
        <v>463</v>
      </c>
      <c r="D32" s="824" t="str">
        <f t="shared" ref="D32:Q32" ca="1" si="4">IF(OR(D$30="",OFFSET($C$193,0,2*D$16-1,1,1)=""),"",((COUNT(OFFSET($C$193,0,2*D$16-1,ROW($C$408)-ROW($C$193)+1,1))-1)*3+5)/60+D$30)</f>
        <v/>
      </c>
      <c r="E32" s="824" t="str">
        <f t="shared" ca="1" si="4"/>
        <v/>
      </c>
      <c r="F32" s="824" t="str">
        <f t="shared" ca="1" si="4"/>
        <v/>
      </c>
      <c r="G32" s="824" t="str">
        <f t="shared" ca="1" si="4"/>
        <v/>
      </c>
      <c r="H32" s="824" t="str">
        <f t="shared" ca="1" si="4"/>
        <v/>
      </c>
      <c r="I32" s="824" t="str">
        <f t="shared" ca="1" si="4"/>
        <v/>
      </c>
      <c r="J32" s="824" t="str">
        <f t="shared" ca="1" si="4"/>
        <v/>
      </c>
      <c r="K32" s="824" t="str">
        <f t="shared" ca="1" si="4"/>
        <v/>
      </c>
      <c r="L32" s="824" t="str">
        <f t="shared" ca="1" si="4"/>
        <v/>
      </c>
      <c r="M32" s="824" t="str">
        <f t="shared" ca="1" si="4"/>
        <v/>
      </c>
      <c r="N32" s="824" t="str">
        <f t="shared" ca="1" si="4"/>
        <v/>
      </c>
      <c r="O32" s="824" t="str">
        <f t="shared" ca="1" si="4"/>
        <v/>
      </c>
      <c r="P32" s="824" t="str">
        <f t="shared" ca="1" si="4"/>
        <v/>
      </c>
      <c r="Q32" s="824" t="str">
        <f t="shared" ca="1" si="4"/>
        <v/>
      </c>
      <c r="R32" s="140"/>
      <c r="S32" s="350"/>
      <c r="T32" s="76"/>
      <c r="V32" s="113"/>
      <c r="W32" s="113"/>
      <c r="X32" s="284"/>
      <c r="Y32" s="284"/>
      <c r="Z32" s="113"/>
      <c r="AA32" s="113"/>
      <c r="AB32" s="113"/>
      <c r="AC32" s="113"/>
      <c r="AD32" s="113"/>
      <c r="AE32" s="113"/>
      <c r="AJ32" s="125"/>
    </row>
    <row r="33" spans="1:36" x14ac:dyDescent="0.4">
      <c r="A33" s="140"/>
      <c r="B33" s="283"/>
      <c r="C33" s="722" t="s">
        <v>491</v>
      </c>
      <c r="D33" s="824" t="str">
        <f ca="1">IF(D32="","",D32-D30)</f>
        <v/>
      </c>
      <c r="E33" s="824" t="str">
        <f t="shared" ref="E33:Q33" ca="1" si="5">IF(E32="","",E32-E30)</f>
        <v/>
      </c>
      <c r="F33" s="824" t="str">
        <f t="shared" ca="1" si="5"/>
        <v/>
      </c>
      <c r="G33" s="824" t="str">
        <f t="shared" ca="1" si="5"/>
        <v/>
      </c>
      <c r="H33" s="824" t="str">
        <f t="shared" ca="1" si="5"/>
        <v/>
      </c>
      <c r="I33" s="824" t="str">
        <f t="shared" ca="1" si="5"/>
        <v/>
      </c>
      <c r="J33" s="824" t="str">
        <f t="shared" ca="1" si="5"/>
        <v/>
      </c>
      <c r="K33" s="824" t="str">
        <f t="shared" ca="1" si="5"/>
        <v/>
      </c>
      <c r="L33" s="824" t="str">
        <f t="shared" ca="1" si="5"/>
        <v/>
      </c>
      <c r="M33" s="824" t="str">
        <f t="shared" ca="1" si="5"/>
        <v/>
      </c>
      <c r="N33" s="824" t="str">
        <f t="shared" ca="1" si="5"/>
        <v/>
      </c>
      <c r="O33" s="824" t="str">
        <f t="shared" ca="1" si="5"/>
        <v/>
      </c>
      <c r="P33" s="824" t="str">
        <f t="shared" ca="1" si="5"/>
        <v/>
      </c>
      <c r="Q33" s="824" t="str">
        <f t="shared" ca="1" si="5"/>
        <v/>
      </c>
      <c r="R33" s="140"/>
      <c r="S33" s="140"/>
      <c r="T33" s="76"/>
      <c r="V33" s="113"/>
      <c r="W33" s="113"/>
      <c r="X33" s="284"/>
      <c r="Y33" s="284"/>
      <c r="Z33" s="113"/>
      <c r="AA33" s="113"/>
      <c r="AB33" s="113"/>
      <c r="AC33" s="113"/>
      <c r="AD33" s="113"/>
      <c r="AE33" s="113"/>
      <c r="AJ33" s="125"/>
    </row>
    <row r="34" spans="1:36" x14ac:dyDescent="0.4">
      <c r="A34" s="140"/>
      <c r="B34" s="283"/>
      <c r="C34" s="720" t="str">
        <f>"Draw Cluster - " &amp; IF('General Info &amp; Test Results'!$F$18="","Input Data",TEXT('General Info &amp; Test Results'!$F$18,"")) &amp; " Usage"</f>
        <v>Draw Cluster - Input Data Usage</v>
      </c>
      <c r="D34" s="876" t="str">
        <f>IF('General Info &amp; Test Results'!$F$18="","",IF('General Info &amp; Test Results'!$F$18=Constants!$B$11,IF(Constants!F12="","",Constants!F12),IF('General Info &amp; Test Results'!$F$18=Constants!$B$15,IF(Constants!F16="","",Constants!F16),IF('General Info &amp; Test Results'!$F$18=Constants!$B$19,IF(Constants!F20="","",Constants!F20),IF('General Info &amp; Test Results'!$F$18=Constants!$B$23,IF(Constants!F24="","",Constants!F24),"")))))</f>
        <v/>
      </c>
      <c r="E34" s="876" t="str">
        <f>IF('General Info &amp; Test Results'!$F$18="","",IF('General Info &amp; Test Results'!$F$18=Constants!$B$11,IF(Constants!G12="","",Constants!G12),IF('General Info &amp; Test Results'!$F$18=Constants!$B$15,IF(Constants!G16="","",Constants!G16),IF('General Info &amp; Test Results'!$F$18=Constants!$B$19,IF(Constants!G20="","",Constants!G20),IF('General Info &amp; Test Results'!$F$18=Constants!$B$23,IF(Constants!G24="","",Constants!G24),"")))))</f>
        <v/>
      </c>
      <c r="F34" s="876" t="str">
        <f>IF('General Info &amp; Test Results'!$F$18="","",IF('General Info &amp; Test Results'!$F$18=Constants!$B$11,IF(Constants!H12="","",Constants!H12),IF('General Info &amp; Test Results'!$F$18=Constants!$B$15,IF(Constants!H16="","",Constants!H16),IF('General Info &amp; Test Results'!$F$18=Constants!$B$19,IF(Constants!H20="","",Constants!H20),IF('General Info &amp; Test Results'!$F$18=Constants!$B$23,IF(Constants!H24="","",Constants!H24),"")))))</f>
        <v/>
      </c>
      <c r="G34" s="876" t="str">
        <f>IF('General Info &amp; Test Results'!$F$18="","",IF('General Info &amp; Test Results'!$F$18=Constants!$B$11,IF(Constants!I12="","",Constants!I12),IF('General Info &amp; Test Results'!$F$18=Constants!$B$15,IF(Constants!I16="","",Constants!I16),IF('General Info &amp; Test Results'!$F$18=Constants!$B$19,IF(Constants!I20="","",Constants!I20),IF('General Info &amp; Test Results'!$F$18=Constants!$B$23,IF(Constants!I24="","",Constants!I24),"")))))</f>
        <v/>
      </c>
      <c r="H34" s="876" t="str">
        <f>IF('General Info &amp; Test Results'!$F$18="","",IF('General Info &amp; Test Results'!$F$18=Constants!$B$11,IF(Constants!J12="","",Constants!J12),IF('General Info &amp; Test Results'!$F$18=Constants!$B$15,IF(Constants!J16="","",Constants!J16),IF('General Info &amp; Test Results'!$F$18=Constants!$B$19,IF(Constants!J20="","",Constants!J20),IF('General Info &amp; Test Results'!$F$18=Constants!$B$23,IF(Constants!J24="","",Constants!J24),"")))))</f>
        <v/>
      </c>
      <c r="I34" s="876" t="str">
        <f>IF('General Info &amp; Test Results'!$F$18="","",IF('General Info &amp; Test Results'!$F$18=Constants!$B$11,IF(Constants!K12="","",Constants!K12),IF('General Info &amp; Test Results'!$F$18=Constants!$B$15,IF(Constants!K16="","",Constants!K16),IF('General Info &amp; Test Results'!$F$18=Constants!$B$19,IF(Constants!K20="","",Constants!K20),IF('General Info &amp; Test Results'!$F$18=Constants!$B$23,IF(Constants!K24="","",Constants!K24),"")))))</f>
        <v/>
      </c>
      <c r="J34" s="876" t="str">
        <f>IF('General Info &amp; Test Results'!$F$18="","",IF('General Info &amp; Test Results'!$F$18=Constants!$B$11,IF(Constants!L12="","",Constants!L12),IF('General Info &amp; Test Results'!$F$18=Constants!$B$15,IF(Constants!L16="","",Constants!L16),IF('General Info &amp; Test Results'!$F$18=Constants!$B$19,IF(Constants!L20="","",Constants!L20),IF('General Info &amp; Test Results'!$F$18=Constants!$B$23,IF(Constants!L24="","",Constants!L24),"")))))</f>
        <v/>
      </c>
      <c r="K34" s="876" t="str">
        <f>IF('General Info &amp; Test Results'!$F$18="","",IF('General Info &amp; Test Results'!$F$18=Constants!$B$11,IF(Constants!M12="","",Constants!M12),IF('General Info &amp; Test Results'!$F$18=Constants!$B$15,IF(Constants!M16="","",Constants!M16),IF('General Info &amp; Test Results'!$F$18=Constants!$B$19,IF(Constants!M20="","",Constants!M20),IF('General Info &amp; Test Results'!$F$18=Constants!$B$23,IF(Constants!M24="","",Constants!M24),"")))))</f>
        <v/>
      </c>
      <c r="L34" s="876" t="str">
        <f>IF('General Info &amp; Test Results'!$F$18="","",IF('General Info &amp; Test Results'!$F$18=Constants!$B$11,IF(Constants!N12="","",Constants!N12),IF('General Info &amp; Test Results'!$F$18=Constants!$B$15,IF(Constants!N16="","",Constants!N16),IF('General Info &amp; Test Results'!$F$18=Constants!$B$19,IF(Constants!N20="","",Constants!N20),IF('General Info &amp; Test Results'!$F$18=Constants!$B$23,IF(Constants!N24="","",Constants!N24),"")))))</f>
        <v/>
      </c>
      <c r="M34" s="876" t="str">
        <f>IF('General Info &amp; Test Results'!$F$18="","",IF('General Info &amp; Test Results'!$F$18=Constants!$B$11,IF(Constants!O12="","",Constants!O12),IF('General Info &amp; Test Results'!$F$18=Constants!$B$15,IF(Constants!O16="","",Constants!O16),IF('General Info &amp; Test Results'!$F$18=Constants!$B$19,IF(Constants!O20="","",Constants!O20),IF('General Info &amp; Test Results'!$F$18=Constants!$B$23,IF(Constants!O24="","",Constants!O24),"")))))</f>
        <v/>
      </c>
      <c r="N34" s="876" t="str">
        <f>IF('General Info &amp; Test Results'!$F$18="","",IF('General Info &amp; Test Results'!$F$18=Constants!$B$11,IF(Constants!P12="","",Constants!P12),IF('General Info &amp; Test Results'!$F$18=Constants!$B$15,IF(Constants!P16="","",Constants!P16),IF('General Info &amp; Test Results'!$F$18=Constants!$B$19,IF(Constants!P20="","",Constants!P20),IF('General Info &amp; Test Results'!$F$18=Constants!$B$23,IF(Constants!P24="","",Constants!P24),"")))))</f>
        <v/>
      </c>
      <c r="O34" s="876" t="str">
        <f>IF('General Info &amp; Test Results'!$F$18="","",IF('General Info &amp; Test Results'!$F$18=Constants!$B$11,IF(Constants!Q12="","",Constants!Q12),IF('General Info &amp; Test Results'!$F$18=Constants!$B$15,IF(Constants!Q16="","",Constants!Q16),IF('General Info &amp; Test Results'!$F$18=Constants!$B$19,IF(Constants!Q20="","",Constants!Q20),IF('General Info &amp; Test Results'!$F$18=Constants!$B$23,IF(Constants!Q24="","",Constants!Q24),"")))))</f>
        <v/>
      </c>
      <c r="P34" s="876" t="str">
        <f>IF('General Info &amp; Test Results'!$F$18="","",IF('General Info &amp; Test Results'!$F$18=Constants!$B$11,IF(Constants!R12="","",Constants!R12),IF('General Info &amp; Test Results'!$F$18=Constants!$B$15,IF(Constants!R16="","",Constants!R16),IF('General Info &amp; Test Results'!$F$18=Constants!$B$19,IF(Constants!R20="","",Constants!R20),IF('General Info &amp; Test Results'!$F$18=Constants!$B$23,IF(Constants!R24="","",Constants!R24),"")))))</f>
        <v/>
      </c>
      <c r="Q34" s="876" t="str">
        <f>IF('General Info &amp; Test Results'!$F$18="","",IF('General Info &amp; Test Results'!$F$18=Constants!$B$11,IF(Constants!S12="","",Constants!S12),IF('General Info &amp; Test Results'!$F$18=Constants!$B$15,IF(Constants!S16="","",Constants!S16),IF('General Info &amp; Test Results'!$F$18=Constants!$B$19,IF(Constants!S20="","",Constants!S20),IF('General Info &amp; Test Results'!$F$18=Constants!$B$23,IF(Constants!S24="","",Constants!S24),"")))))</f>
        <v/>
      </c>
      <c r="R34" s="140"/>
      <c r="S34" s="140"/>
      <c r="T34" s="76"/>
      <c r="V34" s="113"/>
      <c r="W34" s="113"/>
      <c r="X34" s="284"/>
      <c r="Y34" s="287"/>
      <c r="Z34" s="113"/>
      <c r="AA34" s="113"/>
      <c r="AB34" s="113"/>
      <c r="AC34" s="113"/>
      <c r="AD34" s="113"/>
      <c r="AE34" s="113"/>
      <c r="AJ34" s="125"/>
    </row>
    <row r="35" spans="1:36" x14ac:dyDescent="0.4">
      <c r="A35" s="140"/>
      <c r="B35" s="283"/>
      <c r="C35" s="140"/>
      <c r="D35" s="878"/>
      <c r="E35" s="878"/>
      <c r="F35" s="878"/>
      <c r="G35" s="878"/>
      <c r="H35" s="878"/>
      <c r="I35" s="878"/>
      <c r="J35" s="878"/>
      <c r="K35" s="878"/>
      <c r="L35" s="878"/>
      <c r="M35" s="878"/>
      <c r="N35" s="878"/>
      <c r="O35" s="878"/>
      <c r="P35" s="878"/>
      <c r="Q35" s="878"/>
      <c r="R35" s="140"/>
      <c r="S35" s="140"/>
      <c r="T35" s="76"/>
      <c r="U35" s="284"/>
      <c r="V35" s="113"/>
      <c r="AE35" s="113"/>
      <c r="AJ35" s="125"/>
    </row>
    <row r="36" spans="1:36" x14ac:dyDescent="0.4">
      <c r="A36" s="140"/>
      <c r="B36" s="724" t="s">
        <v>494</v>
      </c>
      <c r="C36" s="708" t="s">
        <v>466</v>
      </c>
      <c r="D36" s="876" t="str">
        <f>IF(D193="","",AVERAGE(D193:D408))</f>
        <v/>
      </c>
      <c r="E36" s="876" t="str">
        <f>IF(F193="","",AVERAGE(F193:F408))</f>
        <v/>
      </c>
      <c r="F36" s="876" t="str">
        <f>IF(H193="","",AVERAGE(H193:H408))</f>
        <v/>
      </c>
      <c r="G36" s="876" t="str">
        <f>IF(J193="","",AVERAGE(J193:J408))</f>
        <v/>
      </c>
      <c r="H36" s="876" t="str">
        <f>IF(L193="","",AVERAGE(L193:L408))</f>
        <v/>
      </c>
      <c r="I36" s="876" t="str">
        <f>IF(N193="","",AVERAGE(N193:N408))</f>
        <v/>
      </c>
      <c r="J36" s="876" t="str">
        <f>IF(P193="","",AVERAGE(P193:P408))</f>
        <v/>
      </c>
      <c r="K36" s="876" t="str">
        <f>IF(R193="","",AVERAGE(R193:R408))</f>
        <v/>
      </c>
      <c r="L36" s="876" t="str">
        <f>IF(T193="","",AVERAGE(T193:T408))</f>
        <v/>
      </c>
      <c r="M36" s="876" t="str">
        <f>IF(V193="","",AVERAGE(V193:V408))</f>
        <v/>
      </c>
      <c r="N36" s="876" t="str">
        <f>IF(X193="","",AVERAGE(X193:X408))</f>
        <v/>
      </c>
      <c r="O36" s="876" t="str">
        <f>IF(Z193="","",AVERAGE(Z193:Z408))</f>
        <v/>
      </c>
      <c r="P36" s="876" t="str">
        <f>IF(AB193="","",AVERAGE(AB193:AB408))</f>
        <v/>
      </c>
      <c r="Q36" s="876" t="str">
        <f>IF(AD193="","",AVERAGE(AD193:AD408))</f>
        <v/>
      </c>
      <c r="R36" s="276"/>
      <c r="S36" s="140"/>
      <c r="T36" s="76"/>
      <c r="U36" s="284"/>
      <c r="V36" s="113"/>
      <c r="AE36" s="113"/>
      <c r="AJ36" s="125"/>
    </row>
    <row r="37" spans="1:36" x14ac:dyDescent="0.4">
      <c r="A37" s="140"/>
      <c r="B37" s="724" t="s">
        <v>495</v>
      </c>
      <c r="C37" s="708" t="s">
        <v>506</v>
      </c>
      <c r="D37" s="876" t="str">
        <f>IF(E193="","",AVERAGE(E193:E408))</f>
        <v/>
      </c>
      <c r="E37" s="876" t="str">
        <f>IF(G193="","",AVERAGE(G193:G408))</f>
        <v/>
      </c>
      <c r="F37" s="876" t="str">
        <f>IF(I193="","",AVERAGE(I193:I408))</f>
        <v/>
      </c>
      <c r="G37" s="876" t="str">
        <f>IF(K193="","",AVERAGE(K193:K408))</f>
        <v/>
      </c>
      <c r="H37" s="876" t="str">
        <f>IF(M193="","",AVERAGE(M193:M408))</f>
        <v/>
      </c>
      <c r="I37" s="876" t="str">
        <f>IF(O193="","",AVERAGE(O193:O408))</f>
        <v/>
      </c>
      <c r="J37" s="876" t="str">
        <f>IF(Q193="","",AVERAGE(Q193:Q408))</f>
        <v/>
      </c>
      <c r="K37" s="876" t="str">
        <f>IF(S193="","",AVERAGE(S193:S408))</f>
        <v/>
      </c>
      <c r="L37" s="876" t="str">
        <f>IF(U193="","",AVERAGE(U193:U408))</f>
        <v/>
      </c>
      <c r="M37" s="876" t="str">
        <f>IF(W193="","",AVERAGE(W193:W408))</f>
        <v/>
      </c>
      <c r="N37" s="876" t="str">
        <f>IF(Y193="","",AVERAGE(Y193:Y408))</f>
        <v/>
      </c>
      <c r="O37" s="876" t="str">
        <f>IF(AA193="","",AVERAGE(AA193:AA408))</f>
        <v/>
      </c>
      <c r="P37" s="876" t="str">
        <f>IF(AC193="","",AVERAGE(AC193:AC408))</f>
        <v/>
      </c>
      <c r="Q37" s="876" t="str">
        <f>IF(AE193="","",AVERAGE(AE193:AE408))</f>
        <v/>
      </c>
      <c r="R37" s="276"/>
      <c r="S37" s="140"/>
      <c r="T37" s="76"/>
      <c r="U37" s="284"/>
      <c r="V37" s="113"/>
      <c r="AE37" s="113"/>
      <c r="AJ37" s="125"/>
    </row>
    <row r="38" spans="1:36" x14ac:dyDescent="0.4">
      <c r="A38" s="140"/>
      <c r="B38" s="724" t="s">
        <v>498</v>
      </c>
      <c r="C38" s="709" t="s">
        <v>630</v>
      </c>
      <c r="D38" s="824" t="str">
        <f xml:space="preserve"> IF(D36="","",VLOOKUP(AVERAGE(D36),'Water Properties'!$B$13:$D$1013,2,TRUE)+
(VLOOKUP(AVERAGE(D36)+0.1,'Water Properties'!$B$13:$D$1013,2,TRUE)-VLOOKUP(AVERAGE(D36),'Water Properties'!$B$13:$D$1013,2,TRUE))*
(AVERAGE(D36)-VLOOKUP(AVERAGE(D36),'Water Properties'!$B$13:$D$1013,1,TRUE))/
(VLOOKUP(AVERAGE(D36)+0.1,'Water Properties'!$B$13:$D$1013,1,TRUE)-VLOOKUP(AVERAGE(D36),'Water Properties'!$B$13:$D$1013,1,TRUE)))</f>
        <v/>
      </c>
      <c r="E38" s="824" t="str">
        <f xml:space="preserve"> IF(E36="","",VLOOKUP(AVERAGE(E36),'Water Properties'!$B$13:$D$1013,2,TRUE)+
(VLOOKUP(AVERAGE(E36)+0.1,'Water Properties'!$B$13:$D$1013,2,TRUE)-VLOOKUP(AVERAGE(E36),'Water Properties'!$B$13:$D$1013,2,TRUE))*
(AVERAGE(E36)-VLOOKUP(AVERAGE(E36),'Water Properties'!$B$13:$D$1013,1,TRUE))/
(VLOOKUP(AVERAGE(E36)+0.1,'Water Properties'!$B$13:$D$1013,1,TRUE)-VLOOKUP(AVERAGE(E36),'Water Properties'!$B$13:$D$1013,1,TRUE)))</f>
        <v/>
      </c>
      <c r="F38" s="824" t="str">
        <f xml:space="preserve"> IF(F36="","",VLOOKUP(AVERAGE(F36),'Water Properties'!$B$13:$D$1013,2,TRUE)+
(VLOOKUP(AVERAGE(F36)+0.1,'Water Properties'!$B$13:$D$1013,2,TRUE)-VLOOKUP(AVERAGE(F36),'Water Properties'!$B$13:$D$1013,2,TRUE))*
(AVERAGE(F36)-VLOOKUP(AVERAGE(F36),'Water Properties'!$B$13:$D$1013,1,TRUE))/
(VLOOKUP(AVERAGE(F36)+0.1,'Water Properties'!$B$13:$D$1013,1,TRUE)-VLOOKUP(AVERAGE(F36),'Water Properties'!$B$13:$D$1013,1,TRUE)))</f>
        <v/>
      </c>
      <c r="G38" s="824" t="str">
        <f xml:space="preserve"> IF(G36="","",VLOOKUP(AVERAGE(G36),'Water Properties'!$B$13:$D$1013,2,TRUE)+
(VLOOKUP(AVERAGE(G36)+0.1,'Water Properties'!$B$13:$D$1013,2,TRUE)-VLOOKUP(AVERAGE(G36),'Water Properties'!$B$13:$D$1013,2,TRUE))*
(AVERAGE(G36)-VLOOKUP(AVERAGE(G36),'Water Properties'!$B$13:$D$1013,1,TRUE))/
(VLOOKUP(AVERAGE(G36)+0.1,'Water Properties'!$B$13:$D$1013,1,TRUE)-VLOOKUP(AVERAGE(G36),'Water Properties'!$B$13:$D$1013,1,TRUE)))</f>
        <v/>
      </c>
      <c r="H38" s="824" t="str">
        <f xml:space="preserve"> IF(H36="","",VLOOKUP(AVERAGE(H36),'Water Properties'!$B$13:$D$1013,2,TRUE)+
(VLOOKUP(AVERAGE(H36)+0.1,'Water Properties'!$B$13:$D$1013,2,TRUE)-VLOOKUP(AVERAGE(H36),'Water Properties'!$B$13:$D$1013,2,TRUE))*
(AVERAGE(H36)-VLOOKUP(AVERAGE(H36),'Water Properties'!$B$13:$D$1013,1,TRUE))/
(VLOOKUP(AVERAGE(H36)+0.1,'Water Properties'!$B$13:$D$1013,1,TRUE)-VLOOKUP(AVERAGE(H36),'Water Properties'!$B$13:$D$1013,1,TRUE)))</f>
        <v/>
      </c>
      <c r="I38" s="824" t="str">
        <f xml:space="preserve"> IF(I36="","",VLOOKUP(AVERAGE(I36),'Water Properties'!$B$13:$D$1013,2,TRUE)+
(VLOOKUP(AVERAGE(I36)+0.1,'Water Properties'!$B$13:$D$1013,2,TRUE)-VLOOKUP(AVERAGE(I36),'Water Properties'!$B$13:$D$1013,2,TRUE))*
(AVERAGE(I36)-VLOOKUP(AVERAGE(I36),'Water Properties'!$B$13:$D$1013,1,TRUE))/
(VLOOKUP(AVERAGE(I36)+0.1,'Water Properties'!$B$13:$D$1013,1,TRUE)-VLOOKUP(AVERAGE(I36),'Water Properties'!$B$13:$D$1013,1,TRUE)))</f>
        <v/>
      </c>
      <c r="J38" s="824" t="str">
        <f xml:space="preserve"> IF(J36="","",VLOOKUP(AVERAGE(J36),'Water Properties'!$B$13:$D$1013,2,TRUE)+
(VLOOKUP(AVERAGE(J36)+0.1,'Water Properties'!$B$13:$D$1013,2,TRUE)-VLOOKUP(AVERAGE(J36),'Water Properties'!$B$13:$D$1013,2,TRUE))*
(AVERAGE(J36)-VLOOKUP(AVERAGE(J36),'Water Properties'!$B$13:$D$1013,1,TRUE))/
(VLOOKUP(AVERAGE(J36)+0.1,'Water Properties'!$B$13:$D$1013,1,TRUE)-VLOOKUP(AVERAGE(J36),'Water Properties'!$B$13:$D$1013,1,TRUE)))</f>
        <v/>
      </c>
      <c r="K38" s="824" t="str">
        <f xml:space="preserve"> IF(K36="","",VLOOKUP(AVERAGE(K36),'Water Properties'!$B$13:$D$1013,2,TRUE)+
(VLOOKUP(AVERAGE(K36)+0.1,'Water Properties'!$B$13:$D$1013,2,TRUE)-VLOOKUP(AVERAGE(K36),'Water Properties'!$B$13:$D$1013,2,TRUE))*
(AVERAGE(K36)-VLOOKUP(AVERAGE(K36),'Water Properties'!$B$13:$D$1013,1,TRUE))/
(VLOOKUP(AVERAGE(K36)+0.1,'Water Properties'!$B$13:$D$1013,1,TRUE)-VLOOKUP(AVERAGE(K36),'Water Properties'!$B$13:$D$1013,1,TRUE)))</f>
        <v/>
      </c>
      <c r="L38" s="824" t="str">
        <f xml:space="preserve"> IF(L36="","",VLOOKUP(AVERAGE(L36),'Water Properties'!$B$13:$D$1013,2,TRUE)+
(VLOOKUP(AVERAGE(L36)+0.1,'Water Properties'!$B$13:$D$1013,2,TRUE)-VLOOKUP(AVERAGE(L36),'Water Properties'!$B$13:$D$1013,2,TRUE))*
(AVERAGE(L36)-VLOOKUP(AVERAGE(L36),'Water Properties'!$B$13:$D$1013,1,TRUE))/
(VLOOKUP(AVERAGE(L36)+0.1,'Water Properties'!$B$13:$D$1013,1,TRUE)-VLOOKUP(AVERAGE(L36),'Water Properties'!$B$13:$D$1013,1,TRUE)))</f>
        <v/>
      </c>
      <c r="M38" s="824" t="str">
        <f xml:space="preserve"> IF(M36="","",VLOOKUP(AVERAGE(M36),'Water Properties'!$B$13:$D$1013,2,TRUE)+
(VLOOKUP(AVERAGE(M36)+0.1,'Water Properties'!$B$13:$D$1013,2,TRUE)-VLOOKUP(AVERAGE(M36),'Water Properties'!$B$13:$D$1013,2,TRUE))*
(AVERAGE(M36)-VLOOKUP(AVERAGE(M36),'Water Properties'!$B$13:$D$1013,1,TRUE))/
(VLOOKUP(AVERAGE(M36)+0.1,'Water Properties'!$B$13:$D$1013,1,TRUE)-VLOOKUP(AVERAGE(M36),'Water Properties'!$B$13:$D$1013,1,TRUE)))</f>
        <v/>
      </c>
      <c r="N38" s="824" t="str">
        <f xml:space="preserve"> IF(N36="","",VLOOKUP(AVERAGE(N36),'Water Properties'!$B$13:$D$1013,2,TRUE)+
(VLOOKUP(AVERAGE(N36)+0.1,'Water Properties'!$B$13:$D$1013,2,TRUE)-VLOOKUP(AVERAGE(N36),'Water Properties'!$B$13:$D$1013,2,TRUE))*
(AVERAGE(N36)-VLOOKUP(AVERAGE(N36),'Water Properties'!$B$13:$D$1013,1,TRUE))/
(VLOOKUP(AVERAGE(N36)+0.1,'Water Properties'!$B$13:$D$1013,1,TRUE)-VLOOKUP(AVERAGE(N36),'Water Properties'!$B$13:$D$1013,1,TRUE)))</f>
        <v/>
      </c>
      <c r="O38" s="824" t="str">
        <f xml:space="preserve"> IF(O36="","",VLOOKUP(AVERAGE(O36),'Water Properties'!$B$13:$D$1013,2,TRUE)+
(VLOOKUP(AVERAGE(O36)+0.1,'Water Properties'!$B$13:$D$1013,2,TRUE)-VLOOKUP(AVERAGE(O36),'Water Properties'!$B$13:$D$1013,2,TRUE))*
(AVERAGE(O36)-VLOOKUP(AVERAGE(O36),'Water Properties'!$B$13:$D$1013,1,TRUE))/
(VLOOKUP(AVERAGE(O36)+0.1,'Water Properties'!$B$13:$D$1013,1,TRUE)-VLOOKUP(AVERAGE(O36),'Water Properties'!$B$13:$D$1013,1,TRUE)))</f>
        <v/>
      </c>
      <c r="P38" s="824" t="str">
        <f xml:space="preserve"> IF(P36="","",VLOOKUP(AVERAGE(P36),'Water Properties'!$B$13:$D$1013,2,TRUE)+
(VLOOKUP(AVERAGE(P36)+0.1,'Water Properties'!$B$13:$D$1013,2,TRUE)-VLOOKUP(AVERAGE(P36),'Water Properties'!$B$13:$D$1013,2,TRUE))*
(AVERAGE(P36)-VLOOKUP(AVERAGE(P36),'Water Properties'!$B$13:$D$1013,1,TRUE))/
(VLOOKUP(AVERAGE(P36)+0.1,'Water Properties'!$B$13:$D$1013,1,TRUE)-VLOOKUP(AVERAGE(P36),'Water Properties'!$B$13:$D$1013,1,TRUE)))</f>
        <v/>
      </c>
      <c r="Q38" s="824" t="str">
        <f xml:space="preserve"> IF(Q36="","",VLOOKUP(AVERAGE(Q36),'Water Properties'!$B$13:$D$1013,2,TRUE)+
(VLOOKUP(AVERAGE(Q36)+0.1,'Water Properties'!$B$13:$D$1013,2,TRUE)-VLOOKUP(AVERAGE(Q36),'Water Properties'!$B$13:$D$1013,2,TRUE))*
(AVERAGE(Q36)-VLOOKUP(AVERAGE(Q36),'Water Properties'!$B$13:$D$1013,1,TRUE))/
(VLOOKUP(AVERAGE(Q36)+0.1,'Water Properties'!$B$13:$D$1013,1,TRUE)-VLOOKUP(AVERAGE(Q36),'Water Properties'!$B$13:$D$1013,1,TRUE)))</f>
        <v/>
      </c>
      <c r="R38" s="325"/>
      <c r="S38" s="140"/>
      <c r="T38" s="76"/>
      <c r="U38" s="284"/>
      <c r="V38" s="113"/>
      <c r="AE38" s="113"/>
      <c r="AJ38" s="125"/>
    </row>
    <row r="39" spans="1:36" x14ac:dyDescent="0.4">
      <c r="A39" s="140"/>
      <c r="B39" s="724" t="s">
        <v>498</v>
      </c>
      <c r="C39" s="709" t="s">
        <v>631</v>
      </c>
      <c r="D39" s="824" t="str">
        <f xml:space="preserve"> IF(D37="","",VLOOKUP(AVERAGE(D37),'Water Properties'!$B$13:$D$1013,2,TRUE)+
(VLOOKUP(AVERAGE(D37)+0.1,'Water Properties'!$B$13:$D$1013,2,TRUE)-VLOOKUP(AVERAGE(D37),'Water Properties'!$B$13:$D$1013,2,TRUE))*
(AVERAGE(D37)-VLOOKUP(AVERAGE(D37),'Water Properties'!$B$13:$D$1013,1,TRUE))/
(VLOOKUP(AVERAGE(D37)+0.1,'Water Properties'!$B$13:$D$1013,1,TRUE)-VLOOKUP(AVERAGE(D37),'Water Properties'!$B$13:$D$1013,1,TRUE)))</f>
        <v/>
      </c>
      <c r="E39" s="824" t="str">
        <f xml:space="preserve"> IF(E37="","",VLOOKUP(AVERAGE(E37),'Water Properties'!$B$13:$D$1013,2,TRUE)+
(VLOOKUP(AVERAGE(E37)+0.1,'Water Properties'!$B$13:$D$1013,2,TRUE)-VLOOKUP(AVERAGE(E37),'Water Properties'!$B$13:$D$1013,2,TRUE))*
(AVERAGE(E37)-VLOOKUP(AVERAGE(E37),'Water Properties'!$B$13:$D$1013,1,TRUE))/
(VLOOKUP(AVERAGE(E37)+0.1,'Water Properties'!$B$13:$D$1013,1,TRUE)-VLOOKUP(AVERAGE(E37),'Water Properties'!$B$13:$D$1013,1,TRUE)))</f>
        <v/>
      </c>
      <c r="F39" s="824" t="str">
        <f xml:space="preserve"> IF(F37="","",VLOOKUP(AVERAGE(F37),'Water Properties'!$B$13:$D$1013,2,TRUE)+
(VLOOKUP(AVERAGE(F37)+0.1,'Water Properties'!$B$13:$D$1013,2,TRUE)-VLOOKUP(AVERAGE(F37),'Water Properties'!$B$13:$D$1013,2,TRUE))*
(AVERAGE(F37)-VLOOKUP(AVERAGE(F37),'Water Properties'!$B$13:$D$1013,1,TRUE))/
(VLOOKUP(AVERAGE(F37)+0.1,'Water Properties'!$B$13:$D$1013,1,TRUE)-VLOOKUP(AVERAGE(F37),'Water Properties'!$B$13:$D$1013,1,TRUE)))</f>
        <v/>
      </c>
      <c r="G39" s="824" t="str">
        <f xml:space="preserve"> IF(G37="","",VLOOKUP(AVERAGE(G37),'Water Properties'!$B$13:$D$1013,2,TRUE)+
(VLOOKUP(AVERAGE(G37)+0.1,'Water Properties'!$B$13:$D$1013,2,TRUE)-VLOOKUP(AVERAGE(G37),'Water Properties'!$B$13:$D$1013,2,TRUE))*
(AVERAGE(G37)-VLOOKUP(AVERAGE(G37),'Water Properties'!$B$13:$D$1013,1,TRUE))/
(VLOOKUP(AVERAGE(G37)+0.1,'Water Properties'!$B$13:$D$1013,1,TRUE)-VLOOKUP(AVERAGE(G37),'Water Properties'!$B$13:$D$1013,1,TRUE)))</f>
        <v/>
      </c>
      <c r="H39" s="824" t="str">
        <f xml:space="preserve"> IF(H37="","",VLOOKUP(AVERAGE(H37),'Water Properties'!$B$13:$D$1013,2,TRUE)+
(VLOOKUP(AVERAGE(H37)+0.1,'Water Properties'!$B$13:$D$1013,2,TRUE)-VLOOKUP(AVERAGE(H37),'Water Properties'!$B$13:$D$1013,2,TRUE))*
(AVERAGE(H37)-VLOOKUP(AVERAGE(H37),'Water Properties'!$B$13:$D$1013,1,TRUE))/
(VLOOKUP(AVERAGE(H37)+0.1,'Water Properties'!$B$13:$D$1013,1,TRUE)-VLOOKUP(AVERAGE(H37),'Water Properties'!$B$13:$D$1013,1,TRUE)))</f>
        <v/>
      </c>
      <c r="I39" s="824" t="str">
        <f xml:space="preserve"> IF(I37="","",VLOOKUP(AVERAGE(I37),'Water Properties'!$B$13:$D$1013,2,TRUE)+
(VLOOKUP(AVERAGE(I37)+0.1,'Water Properties'!$B$13:$D$1013,2,TRUE)-VLOOKUP(AVERAGE(I37),'Water Properties'!$B$13:$D$1013,2,TRUE))*
(AVERAGE(I37)-VLOOKUP(AVERAGE(I37),'Water Properties'!$B$13:$D$1013,1,TRUE))/
(VLOOKUP(AVERAGE(I37)+0.1,'Water Properties'!$B$13:$D$1013,1,TRUE)-VLOOKUP(AVERAGE(I37),'Water Properties'!$B$13:$D$1013,1,TRUE)))</f>
        <v/>
      </c>
      <c r="J39" s="824" t="str">
        <f xml:space="preserve"> IF(J37="","",VLOOKUP(AVERAGE(J37),'Water Properties'!$B$13:$D$1013,2,TRUE)+
(VLOOKUP(AVERAGE(J37)+0.1,'Water Properties'!$B$13:$D$1013,2,TRUE)-VLOOKUP(AVERAGE(J37),'Water Properties'!$B$13:$D$1013,2,TRUE))*
(AVERAGE(J37)-VLOOKUP(AVERAGE(J37),'Water Properties'!$B$13:$D$1013,1,TRUE))/
(VLOOKUP(AVERAGE(J37)+0.1,'Water Properties'!$B$13:$D$1013,1,TRUE)-VLOOKUP(AVERAGE(J37),'Water Properties'!$B$13:$D$1013,1,TRUE)))</f>
        <v/>
      </c>
      <c r="K39" s="824" t="str">
        <f xml:space="preserve"> IF(K37="","",VLOOKUP(AVERAGE(K37),'Water Properties'!$B$13:$D$1013,2,TRUE)+
(VLOOKUP(AVERAGE(K37)+0.1,'Water Properties'!$B$13:$D$1013,2,TRUE)-VLOOKUP(AVERAGE(K37),'Water Properties'!$B$13:$D$1013,2,TRUE))*
(AVERAGE(K37)-VLOOKUP(AVERAGE(K37),'Water Properties'!$B$13:$D$1013,1,TRUE))/
(VLOOKUP(AVERAGE(K37)+0.1,'Water Properties'!$B$13:$D$1013,1,TRUE)-VLOOKUP(AVERAGE(K37),'Water Properties'!$B$13:$D$1013,1,TRUE)))</f>
        <v/>
      </c>
      <c r="L39" s="824" t="str">
        <f xml:space="preserve"> IF(L37="","",VLOOKUP(AVERAGE(L37),'Water Properties'!$B$13:$D$1013,2,TRUE)+
(VLOOKUP(AVERAGE(L37)+0.1,'Water Properties'!$B$13:$D$1013,2,TRUE)-VLOOKUP(AVERAGE(L37),'Water Properties'!$B$13:$D$1013,2,TRUE))*
(AVERAGE(L37)-VLOOKUP(AVERAGE(L37),'Water Properties'!$B$13:$D$1013,1,TRUE))/
(VLOOKUP(AVERAGE(L37)+0.1,'Water Properties'!$B$13:$D$1013,1,TRUE)-VLOOKUP(AVERAGE(L37),'Water Properties'!$B$13:$D$1013,1,TRUE)))</f>
        <v/>
      </c>
      <c r="M39" s="824" t="str">
        <f xml:space="preserve"> IF(M37="","",VLOOKUP(AVERAGE(M37),'Water Properties'!$B$13:$D$1013,2,TRUE)+
(VLOOKUP(AVERAGE(M37)+0.1,'Water Properties'!$B$13:$D$1013,2,TRUE)-VLOOKUP(AVERAGE(M37),'Water Properties'!$B$13:$D$1013,2,TRUE))*
(AVERAGE(M37)-VLOOKUP(AVERAGE(M37),'Water Properties'!$B$13:$D$1013,1,TRUE))/
(VLOOKUP(AVERAGE(M37)+0.1,'Water Properties'!$B$13:$D$1013,1,TRUE)-VLOOKUP(AVERAGE(M37),'Water Properties'!$B$13:$D$1013,1,TRUE)))</f>
        <v/>
      </c>
      <c r="N39" s="824" t="str">
        <f xml:space="preserve"> IF(N37="","",VLOOKUP(AVERAGE(N37),'Water Properties'!$B$13:$D$1013,2,TRUE)+
(VLOOKUP(AVERAGE(N37)+0.1,'Water Properties'!$B$13:$D$1013,2,TRUE)-VLOOKUP(AVERAGE(N37),'Water Properties'!$B$13:$D$1013,2,TRUE))*
(AVERAGE(N37)-VLOOKUP(AVERAGE(N37),'Water Properties'!$B$13:$D$1013,1,TRUE))/
(VLOOKUP(AVERAGE(N37)+0.1,'Water Properties'!$B$13:$D$1013,1,TRUE)-VLOOKUP(AVERAGE(N37),'Water Properties'!$B$13:$D$1013,1,TRUE)))</f>
        <v/>
      </c>
      <c r="O39" s="824" t="str">
        <f xml:space="preserve"> IF(O37="","",VLOOKUP(AVERAGE(O37),'Water Properties'!$B$13:$D$1013,2,TRUE)+
(VLOOKUP(AVERAGE(O37)+0.1,'Water Properties'!$B$13:$D$1013,2,TRUE)-VLOOKUP(AVERAGE(O37),'Water Properties'!$B$13:$D$1013,2,TRUE))*
(AVERAGE(O37)-VLOOKUP(AVERAGE(O37),'Water Properties'!$B$13:$D$1013,1,TRUE))/
(VLOOKUP(AVERAGE(O37)+0.1,'Water Properties'!$B$13:$D$1013,1,TRUE)-VLOOKUP(AVERAGE(O37),'Water Properties'!$B$13:$D$1013,1,TRUE)))</f>
        <v/>
      </c>
      <c r="P39" s="824" t="str">
        <f xml:space="preserve"> IF(P37="","",VLOOKUP(AVERAGE(P37),'Water Properties'!$B$13:$D$1013,2,TRUE)+
(VLOOKUP(AVERAGE(P37)+0.1,'Water Properties'!$B$13:$D$1013,2,TRUE)-VLOOKUP(AVERAGE(P37),'Water Properties'!$B$13:$D$1013,2,TRUE))*
(AVERAGE(P37)-VLOOKUP(AVERAGE(P37),'Water Properties'!$B$13:$D$1013,1,TRUE))/
(VLOOKUP(AVERAGE(P37)+0.1,'Water Properties'!$B$13:$D$1013,1,TRUE)-VLOOKUP(AVERAGE(P37),'Water Properties'!$B$13:$D$1013,1,TRUE)))</f>
        <v/>
      </c>
      <c r="Q39" s="824" t="str">
        <f xml:space="preserve"> IF(Q37="","",VLOOKUP(AVERAGE(Q37),'Water Properties'!$B$13:$D$1013,2,TRUE)+
(VLOOKUP(AVERAGE(Q37)+0.1,'Water Properties'!$B$13:$D$1013,2,TRUE)-VLOOKUP(AVERAGE(Q37),'Water Properties'!$B$13:$D$1013,2,TRUE))*
(AVERAGE(Q37)-VLOOKUP(AVERAGE(Q37),'Water Properties'!$B$13:$D$1013,1,TRUE))/
(VLOOKUP(AVERAGE(Q37)+0.1,'Water Properties'!$B$13:$D$1013,1,TRUE)-VLOOKUP(AVERAGE(Q37),'Water Properties'!$B$13:$D$1013,1,TRUE)))</f>
        <v/>
      </c>
      <c r="R39" s="325"/>
      <c r="S39" s="140"/>
      <c r="T39" s="76"/>
      <c r="U39" s="284"/>
      <c r="V39" s="113"/>
      <c r="AE39" s="113"/>
      <c r="AJ39" s="125"/>
    </row>
    <row r="40" spans="1:36" x14ac:dyDescent="0.4">
      <c r="A40" s="140"/>
      <c r="B40" s="724" t="s">
        <v>499</v>
      </c>
      <c r="C40" s="711" t="s">
        <v>507</v>
      </c>
      <c r="D40" s="824" t="str">
        <f xml:space="preserve"> IF(D36="","",VLOOKUP(AVERAGE(D36:D37),'Water Properties'!$B$13:$D$1013,3,TRUE)+
(VLOOKUP(AVERAGE(D36:D37)+0.1,'Water Properties'!$B$13:$D$1013,3,TRUE)-VLOOKUP(AVERAGE(D36:D37),'Water Properties'!$B$13:$D$1013,3,TRUE))*
(AVERAGE(D36:D37)-VLOOKUP(AVERAGE(D36:D37),'Water Properties'!$B$13:$D$1013,1,TRUE))/
(VLOOKUP(AVERAGE(D36:D37)+0.1,'Water Properties'!$B$13:$D$1013,1,TRUE)-VLOOKUP(AVERAGE(D36:D37),'Water Properties'!$B$13:$D$1013,1,TRUE)))</f>
        <v/>
      </c>
      <c r="E40" s="824" t="str">
        <f xml:space="preserve"> IF(E36="","",VLOOKUP(AVERAGE(E36:E37),'Water Properties'!$B$13:$D$1013,3,TRUE)+
(VLOOKUP(AVERAGE(E36:E37)+0.1,'Water Properties'!$B$13:$D$1013,3,TRUE)-VLOOKUP(AVERAGE(E36:E37),'Water Properties'!$B$13:$D$1013,3,TRUE))*
(AVERAGE(E36:E37)-VLOOKUP(AVERAGE(E36:E37),'Water Properties'!$B$13:$D$1013,1,TRUE))/
(VLOOKUP(AVERAGE(E36:E37)+0.1,'Water Properties'!$B$13:$D$1013,1,TRUE)-VLOOKUP(AVERAGE(E36:E37),'Water Properties'!$B$13:$D$1013,1,TRUE)))</f>
        <v/>
      </c>
      <c r="F40" s="824" t="str">
        <f xml:space="preserve"> IF(F36="","",VLOOKUP(AVERAGE(F36:F37),'Water Properties'!$B$13:$D$1013,3,TRUE)+
(VLOOKUP(AVERAGE(F36:F37)+0.1,'Water Properties'!$B$13:$D$1013,3,TRUE)-VLOOKUP(AVERAGE(F36:F37),'Water Properties'!$B$13:$D$1013,3,TRUE))*
(AVERAGE(F36:F37)-VLOOKUP(AVERAGE(F36:F37),'Water Properties'!$B$13:$D$1013,1,TRUE))/
(VLOOKUP(AVERAGE(F36:F37)+0.1,'Water Properties'!$B$13:$D$1013,1,TRUE)-VLOOKUP(AVERAGE(F36:F37),'Water Properties'!$B$13:$D$1013,1,TRUE)))</f>
        <v/>
      </c>
      <c r="G40" s="824" t="str">
        <f xml:space="preserve"> IF(G36="","",VLOOKUP(AVERAGE(G36:G37),'Water Properties'!$B$13:$D$1013,3,TRUE)+
(VLOOKUP(AVERAGE(G36:G37)+0.1,'Water Properties'!$B$13:$D$1013,3,TRUE)-VLOOKUP(AVERAGE(G36:G37),'Water Properties'!$B$13:$D$1013,3,TRUE))*
(AVERAGE(G36:G37)-VLOOKUP(AVERAGE(G36:G37),'Water Properties'!$B$13:$D$1013,1,TRUE))/
(VLOOKUP(AVERAGE(G36:G37)+0.1,'Water Properties'!$B$13:$D$1013,1,TRUE)-VLOOKUP(AVERAGE(G36:G37),'Water Properties'!$B$13:$D$1013,1,TRUE)))</f>
        <v/>
      </c>
      <c r="H40" s="824" t="str">
        <f xml:space="preserve"> IF(H36="","",VLOOKUP(AVERAGE(H36:H37),'Water Properties'!$B$13:$D$1013,3,TRUE)+
(VLOOKUP(AVERAGE(H36:H37)+0.1,'Water Properties'!$B$13:$D$1013,3,TRUE)-VLOOKUP(AVERAGE(H36:H37),'Water Properties'!$B$13:$D$1013,3,TRUE))*
(AVERAGE(H36:H37)-VLOOKUP(AVERAGE(H36:H37),'Water Properties'!$B$13:$D$1013,1,TRUE))/
(VLOOKUP(AVERAGE(H36:H37)+0.1,'Water Properties'!$B$13:$D$1013,1,TRUE)-VLOOKUP(AVERAGE(H36:H37),'Water Properties'!$B$13:$D$1013,1,TRUE)))</f>
        <v/>
      </c>
      <c r="I40" s="824" t="str">
        <f xml:space="preserve"> IF(I36="","",VLOOKUP(AVERAGE(I36:I37),'Water Properties'!$B$13:$D$1013,3,TRUE)+
(VLOOKUP(AVERAGE(I36:I37)+0.1,'Water Properties'!$B$13:$D$1013,3,TRUE)-VLOOKUP(AVERAGE(I36:I37),'Water Properties'!$B$13:$D$1013,3,TRUE))*
(AVERAGE(I36:I37)-VLOOKUP(AVERAGE(I36:I37),'Water Properties'!$B$13:$D$1013,1,TRUE))/
(VLOOKUP(AVERAGE(I36:I37)+0.1,'Water Properties'!$B$13:$D$1013,1,TRUE)-VLOOKUP(AVERAGE(I36:I37),'Water Properties'!$B$13:$D$1013,1,TRUE)))</f>
        <v/>
      </c>
      <c r="J40" s="824" t="str">
        <f xml:space="preserve"> IF(J36="","",VLOOKUP(AVERAGE(J36:J37),'Water Properties'!$B$13:$D$1013,3,TRUE)+
(VLOOKUP(AVERAGE(J36:J37)+0.1,'Water Properties'!$B$13:$D$1013,3,TRUE)-VLOOKUP(AVERAGE(J36:J37),'Water Properties'!$B$13:$D$1013,3,TRUE))*
(AVERAGE(J36:J37)-VLOOKUP(AVERAGE(J36:J37),'Water Properties'!$B$13:$D$1013,1,TRUE))/
(VLOOKUP(AVERAGE(J36:J37)+0.1,'Water Properties'!$B$13:$D$1013,1,TRUE)-VLOOKUP(AVERAGE(J36:J37),'Water Properties'!$B$13:$D$1013,1,TRUE)))</f>
        <v/>
      </c>
      <c r="K40" s="824" t="str">
        <f xml:space="preserve"> IF(K36="","",VLOOKUP(AVERAGE(K36:K37),'Water Properties'!$B$13:$D$1013,3,TRUE)+
(VLOOKUP(AVERAGE(K36:K37)+0.1,'Water Properties'!$B$13:$D$1013,3,TRUE)-VLOOKUP(AVERAGE(K36:K37),'Water Properties'!$B$13:$D$1013,3,TRUE))*
(AVERAGE(K36:K37)-VLOOKUP(AVERAGE(K36:K37),'Water Properties'!$B$13:$D$1013,1,TRUE))/
(VLOOKUP(AVERAGE(K36:K37)+0.1,'Water Properties'!$B$13:$D$1013,1,TRUE)-VLOOKUP(AVERAGE(K36:K37),'Water Properties'!$B$13:$D$1013,1,TRUE)))</f>
        <v/>
      </c>
      <c r="L40" s="824" t="str">
        <f xml:space="preserve"> IF(L36="","",VLOOKUP(AVERAGE(L36:L37),'Water Properties'!$B$13:$D$1013,3,TRUE)+
(VLOOKUP(AVERAGE(L36:L37)+0.1,'Water Properties'!$B$13:$D$1013,3,TRUE)-VLOOKUP(AVERAGE(L36:L37),'Water Properties'!$B$13:$D$1013,3,TRUE))*
(AVERAGE(L36:L37)-VLOOKUP(AVERAGE(L36:L37),'Water Properties'!$B$13:$D$1013,1,TRUE))/
(VLOOKUP(AVERAGE(L36:L37)+0.1,'Water Properties'!$B$13:$D$1013,1,TRUE)-VLOOKUP(AVERAGE(L36:L37),'Water Properties'!$B$13:$D$1013,1,TRUE)))</f>
        <v/>
      </c>
      <c r="M40" s="824" t="str">
        <f xml:space="preserve"> IF(M36="","",VLOOKUP(AVERAGE(M36:M37),'Water Properties'!$B$13:$D$1013,3,TRUE)+
(VLOOKUP(AVERAGE(M36:M37)+0.1,'Water Properties'!$B$13:$D$1013,3,TRUE)-VLOOKUP(AVERAGE(M36:M37),'Water Properties'!$B$13:$D$1013,3,TRUE))*
(AVERAGE(M36:M37)-VLOOKUP(AVERAGE(M36:M37),'Water Properties'!$B$13:$D$1013,1,TRUE))/
(VLOOKUP(AVERAGE(M36:M37)+0.1,'Water Properties'!$B$13:$D$1013,1,TRUE)-VLOOKUP(AVERAGE(M36:M37),'Water Properties'!$B$13:$D$1013,1,TRUE)))</f>
        <v/>
      </c>
      <c r="N40" s="824" t="str">
        <f xml:space="preserve"> IF(N36="","",VLOOKUP(AVERAGE(N36:N37),'Water Properties'!$B$13:$D$1013,3,TRUE)+
(VLOOKUP(AVERAGE(N36:N37)+0.1,'Water Properties'!$B$13:$D$1013,3,TRUE)-VLOOKUP(AVERAGE(N36:N37),'Water Properties'!$B$13:$D$1013,3,TRUE))*
(AVERAGE(N36:N37)-VLOOKUP(AVERAGE(N36:N37),'Water Properties'!$B$13:$D$1013,1,TRUE))/
(VLOOKUP(AVERAGE(N36:N37)+0.1,'Water Properties'!$B$13:$D$1013,1,TRUE)-VLOOKUP(AVERAGE(N36:N37),'Water Properties'!$B$13:$D$1013,1,TRUE)))</f>
        <v/>
      </c>
      <c r="O40" s="824" t="str">
        <f xml:space="preserve"> IF(O36="","",VLOOKUP(AVERAGE(O36:O37),'Water Properties'!$B$13:$D$1013,3,TRUE)+
(VLOOKUP(AVERAGE(O36:O37)+0.1,'Water Properties'!$B$13:$D$1013,3,TRUE)-VLOOKUP(AVERAGE(O36:O37),'Water Properties'!$B$13:$D$1013,3,TRUE))*
(AVERAGE(O36:O37)-VLOOKUP(AVERAGE(O36:O37),'Water Properties'!$B$13:$D$1013,1,TRUE))/
(VLOOKUP(AVERAGE(O36:O37)+0.1,'Water Properties'!$B$13:$D$1013,1,TRUE)-VLOOKUP(AVERAGE(O36:O37),'Water Properties'!$B$13:$D$1013,1,TRUE)))</f>
        <v/>
      </c>
      <c r="P40" s="824" t="str">
        <f xml:space="preserve"> IF(P36="","",VLOOKUP(AVERAGE(P36:P37),'Water Properties'!$B$13:$D$1013,3,TRUE)+
(VLOOKUP(AVERAGE(P36:P37)+0.1,'Water Properties'!$B$13:$D$1013,3,TRUE)-VLOOKUP(AVERAGE(P36:P37),'Water Properties'!$B$13:$D$1013,3,TRUE))*
(AVERAGE(P36:P37)-VLOOKUP(AVERAGE(P36:P37),'Water Properties'!$B$13:$D$1013,1,TRUE))/
(VLOOKUP(AVERAGE(P36:P37)+0.1,'Water Properties'!$B$13:$D$1013,1,TRUE)-VLOOKUP(AVERAGE(P36:P37),'Water Properties'!$B$13:$D$1013,1,TRUE)))</f>
        <v/>
      </c>
      <c r="Q40" s="824" t="str">
        <f xml:space="preserve"> IF(Q36="","",VLOOKUP(AVERAGE(Q36:Q37),'Water Properties'!$B$13:$D$1013,3,TRUE)+
(VLOOKUP(AVERAGE(Q36:Q37)+0.1,'Water Properties'!$B$13:$D$1013,3,TRUE)-VLOOKUP(AVERAGE(Q36:Q37),'Water Properties'!$B$13:$D$1013,3,TRUE))*
(AVERAGE(Q36:Q37)-VLOOKUP(AVERAGE(Q36:Q37),'Water Properties'!$B$13:$D$1013,1,TRUE))/
(VLOOKUP(AVERAGE(Q36:Q37)+0.1,'Water Properties'!$B$13:$D$1013,1,TRUE)-VLOOKUP(AVERAGE(Q36:Q37),'Water Properties'!$B$13:$D$1013,1,TRUE)))</f>
        <v/>
      </c>
      <c r="R40" s="325" t="s">
        <v>543</v>
      </c>
      <c r="S40" s="140"/>
      <c r="T40" s="76"/>
      <c r="U40" s="284"/>
      <c r="V40" s="113"/>
      <c r="AE40" s="113"/>
      <c r="AJ40" s="125"/>
    </row>
    <row r="41" spans="1:36" x14ac:dyDescent="0.4">
      <c r="A41" s="140"/>
      <c r="B41" s="273"/>
      <c r="C41" s="723" t="s">
        <v>500</v>
      </c>
      <c r="D41" s="876" t="str">
        <f>IF(D40="","",D18*D40*(D37-D36))</f>
        <v/>
      </c>
      <c r="E41" s="876" t="str">
        <f t="shared" ref="E41:Q41" si="6">IF(E40="","",E18*E40*(E37-E36))</f>
        <v/>
      </c>
      <c r="F41" s="876" t="str">
        <f t="shared" si="6"/>
        <v/>
      </c>
      <c r="G41" s="876" t="str">
        <f t="shared" si="6"/>
        <v/>
      </c>
      <c r="H41" s="876" t="str">
        <f t="shared" si="6"/>
        <v/>
      </c>
      <c r="I41" s="876" t="str">
        <f t="shared" si="6"/>
        <v/>
      </c>
      <c r="J41" s="876" t="str">
        <f t="shared" si="6"/>
        <v/>
      </c>
      <c r="K41" s="876" t="str">
        <f t="shared" si="6"/>
        <v/>
      </c>
      <c r="L41" s="876" t="str">
        <f t="shared" si="6"/>
        <v/>
      </c>
      <c r="M41" s="876" t="str">
        <f t="shared" si="6"/>
        <v/>
      </c>
      <c r="N41" s="876" t="str">
        <f t="shared" si="6"/>
        <v/>
      </c>
      <c r="O41" s="876" t="str">
        <f t="shared" si="6"/>
        <v/>
      </c>
      <c r="P41" s="876" t="str">
        <f t="shared" si="6"/>
        <v/>
      </c>
      <c r="Q41" s="876" t="str">
        <f t="shared" si="6"/>
        <v/>
      </c>
      <c r="R41" s="288"/>
      <c r="S41" s="140"/>
      <c r="T41" s="76"/>
      <c r="U41" s="284"/>
      <c r="V41" s="113"/>
      <c r="AE41" s="113"/>
      <c r="AJ41" s="125"/>
    </row>
    <row r="42" spans="1:36" ht="16" thickBot="1" x14ac:dyDescent="0.45">
      <c r="A42" s="140"/>
      <c r="B42" s="289"/>
      <c r="C42" s="725" t="s">
        <v>508</v>
      </c>
      <c r="D42" s="879" t="str">
        <f>IF(D40="","",D18*D40*(Constants!$C$44-Constants!$C$45))</f>
        <v/>
      </c>
      <c r="E42" s="879" t="str">
        <f>IF(E40="","",E18*E40*(Constants!$C$44-Constants!$C$45))</f>
        <v/>
      </c>
      <c r="F42" s="879" t="str">
        <f>IF(F40="","",F18*F40*(Constants!$C$44-Constants!$C$45))</f>
        <v/>
      </c>
      <c r="G42" s="879" t="str">
        <f>IF(G40="","",G18*G40*(Constants!$C$44-Constants!$C$45))</f>
        <v/>
      </c>
      <c r="H42" s="879" t="str">
        <f>IF(H40="","",H18*H40*(Constants!$C$44-Constants!$C$45))</f>
        <v/>
      </c>
      <c r="I42" s="879" t="str">
        <f>IF(I40="","",I18*I40*(Constants!$C$44-Constants!$C$45))</f>
        <v/>
      </c>
      <c r="J42" s="879" t="str">
        <f>IF(J40="","",J18*J40*(Constants!$C$44-Constants!$C$45))</f>
        <v/>
      </c>
      <c r="K42" s="879" t="str">
        <f>IF(K40="","",K18*K40*(Constants!$C$44-Constants!$C$45))</f>
        <v/>
      </c>
      <c r="L42" s="879" t="str">
        <f>IF(L40="","",L18*L40*(Constants!$C$44-Constants!$C$45))</f>
        <v/>
      </c>
      <c r="M42" s="879" t="str">
        <f>IF(M40="","",M18*M40*(Constants!$C$44-Constants!$C$45))</f>
        <v/>
      </c>
      <c r="N42" s="879" t="str">
        <f>IF(N40="","",N18*N40*(Constants!$C$44-Constants!$C$45))</f>
        <v/>
      </c>
      <c r="O42" s="879" t="str">
        <f>IF(O40="","",O18*O40*(Constants!$C$44-Constants!$C$45))</f>
        <v/>
      </c>
      <c r="P42" s="879" t="str">
        <f>IF(P40="","",P18*P40*(Constants!$C$44-Constants!$C$45))</f>
        <v/>
      </c>
      <c r="Q42" s="879" t="str">
        <f>IF(Q40="","",Q18*Q40*(Constants!$C$44-Constants!$C$45))</f>
        <v/>
      </c>
      <c r="R42" s="290"/>
      <c r="S42" s="291"/>
      <c r="T42" s="292"/>
      <c r="U42" s="284"/>
      <c r="V42" s="113"/>
      <c r="AE42" s="113"/>
      <c r="AJ42" s="125"/>
    </row>
    <row r="43" spans="1:36" ht="16" thickBot="1" x14ac:dyDescent="0.45">
      <c r="A43" s="140"/>
      <c r="B43" s="293"/>
      <c r="R43" s="288"/>
      <c r="S43" s="140"/>
      <c r="T43" s="140"/>
      <c r="U43" s="284"/>
      <c r="V43" s="113"/>
      <c r="AE43" s="113"/>
      <c r="AJ43" s="125"/>
    </row>
    <row r="44" spans="1:36" ht="17.25" customHeight="1" thickBot="1" x14ac:dyDescent="0.45">
      <c r="A44" s="140"/>
      <c r="B44" s="266" t="s">
        <v>54</v>
      </c>
      <c r="C44" s="1180" t="s">
        <v>155</v>
      </c>
      <c r="D44" s="1181"/>
      <c r="E44" s="1181"/>
      <c r="F44" s="1181"/>
      <c r="G44" s="1181"/>
      <c r="H44" s="1181"/>
      <c r="I44" s="1181"/>
      <c r="J44" s="1181"/>
      <c r="K44" s="1181"/>
      <c r="L44" s="1181"/>
      <c r="M44" s="1181"/>
      <c r="N44" s="1181"/>
      <c r="O44" s="1181"/>
      <c r="P44" s="1181"/>
      <c r="Q44" s="1181"/>
      <c r="R44" s="1181"/>
      <c r="S44" s="1181"/>
      <c r="T44" s="1181"/>
      <c r="U44" s="1181"/>
      <c r="V44" s="1181"/>
      <c r="W44" s="1181"/>
      <c r="X44" s="1181"/>
      <c r="Y44" s="1181"/>
      <c r="Z44" s="1181"/>
      <c r="AA44" s="1181"/>
      <c r="AB44" s="1181"/>
      <c r="AC44" s="1181"/>
      <c r="AD44" s="1181"/>
      <c r="AE44" s="1181"/>
      <c r="AF44" s="1181"/>
      <c r="AG44" s="1181"/>
      <c r="AH44" s="1182"/>
      <c r="AJ44" s="125"/>
    </row>
    <row r="45" spans="1:36" x14ac:dyDescent="0.4">
      <c r="A45" s="140"/>
      <c r="B45" s="308"/>
      <c r="C45" s="726" t="str">
        <f>IF('General Info &amp; Test Results'!$F$13="Storage","Number of Burner Cut-ins During Test","Number of Draws")</f>
        <v>Number of Draws</v>
      </c>
      <c r="D45" s="824" t="str">
        <f>IF(D47="","",COUNT(D47:AG47))</f>
        <v/>
      </c>
      <c r="E45" s="294"/>
      <c r="F45" s="294"/>
      <c r="G45" s="294"/>
      <c r="H45" s="294"/>
      <c r="I45" s="294"/>
      <c r="J45" s="294"/>
      <c r="K45" s="294"/>
      <c r="L45" s="294"/>
      <c r="M45" s="294"/>
      <c r="N45" s="294"/>
      <c r="O45" s="294"/>
      <c r="P45" s="294"/>
      <c r="Q45" s="294"/>
      <c r="R45" s="294"/>
      <c r="S45" s="294"/>
      <c r="T45" s="295"/>
      <c r="U45" s="294"/>
      <c r="V45" s="294"/>
      <c r="W45" s="294"/>
      <c r="X45" s="294"/>
      <c r="Y45" s="140"/>
      <c r="Z45" s="113"/>
      <c r="AA45" s="113"/>
      <c r="AB45" s="113"/>
      <c r="AC45" s="113"/>
      <c r="AD45" s="113"/>
      <c r="AE45" s="113"/>
      <c r="AF45" s="140"/>
      <c r="AG45" s="140"/>
      <c r="AH45" s="76"/>
      <c r="AJ45" s="125"/>
    </row>
    <row r="46" spans="1:36" x14ac:dyDescent="0.4">
      <c r="A46" s="140"/>
      <c r="B46" s="273"/>
      <c r="C46" s="727" t="s">
        <v>156</v>
      </c>
      <c r="D46" s="712">
        <v>1</v>
      </c>
      <c r="E46" s="274">
        <v>2</v>
      </c>
      <c r="F46" s="274">
        <v>3</v>
      </c>
      <c r="G46" s="274">
        <v>4</v>
      </c>
      <c r="H46" s="274">
        <v>5</v>
      </c>
      <c r="I46" s="274">
        <v>6</v>
      </c>
      <c r="J46" s="274">
        <v>7</v>
      </c>
      <c r="K46" s="274">
        <v>8</v>
      </c>
      <c r="L46" s="274">
        <v>9</v>
      </c>
      <c r="M46" s="274">
        <v>10</v>
      </c>
      <c r="N46" s="274">
        <v>11</v>
      </c>
      <c r="O46" s="274">
        <v>12</v>
      </c>
      <c r="P46" s="274">
        <v>13</v>
      </c>
      <c r="Q46" s="274">
        <v>14</v>
      </c>
      <c r="R46" s="274">
        <v>15</v>
      </c>
      <c r="S46" s="274">
        <v>16</v>
      </c>
      <c r="T46" s="274">
        <v>17</v>
      </c>
      <c r="U46" s="274">
        <v>18</v>
      </c>
      <c r="V46" s="274">
        <v>19</v>
      </c>
      <c r="W46" s="274">
        <v>20</v>
      </c>
      <c r="X46" s="274">
        <v>21</v>
      </c>
      <c r="Y46" s="274">
        <v>22</v>
      </c>
      <c r="Z46" s="274">
        <v>23</v>
      </c>
      <c r="AA46" s="274">
        <v>24</v>
      </c>
      <c r="AB46" s="274">
        <v>25</v>
      </c>
      <c r="AC46" s="274">
        <v>26</v>
      </c>
      <c r="AD46" s="274">
        <v>27</v>
      </c>
      <c r="AE46" s="274">
        <v>28</v>
      </c>
      <c r="AF46" s="274">
        <v>29</v>
      </c>
      <c r="AG46" s="274">
        <v>30</v>
      </c>
      <c r="AH46" s="296"/>
      <c r="AI46" s="297"/>
      <c r="AJ46" s="125"/>
    </row>
    <row r="47" spans="1:36" x14ac:dyDescent="0.4">
      <c r="A47" s="140"/>
      <c r="B47" s="273"/>
      <c r="C47" s="728" t="s">
        <v>467</v>
      </c>
      <c r="D47" s="832"/>
      <c r="E47" s="832"/>
      <c r="F47" s="832"/>
      <c r="G47" s="832"/>
      <c r="H47" s="832"/>
      <c r="I47" s="832"/>
      <c r="J47" s="832"/>
      <c r="K47" s="832"/>
      <c r="L47" s="832"/>
      <c r="M47" s="832"/>
      <c r="N47" s="832"/>
      <c r="O47" s="832"/>
      <c r="P47" s="832"/>
      <c r="Q47" s="832"/>
      <c r="R47" s="832"/>
      <c r="S47" s="832"/>
      <c r="T47" s="832"/>
      <c r="U47" s="832"/>
      <c r="V47" s="832"/>
      <c r="W47" s="832"/>
      <c r="X47" s="832"/>
      <c r="Y47" s="832"/>
      <c r="Z47" s="832"/>
      <c r="AA47" s="832"/>
      <c r="AB47" s="832"/>
      <c r="AC47" s="832"/>
      <c r="AD47" s="832"/>
      <c r="AE47" s="832"/>
      <c r="AF47" s="832"/>
      <c r="AG47" s="832"/>
      <c r="AH47" s="780"/>
      <c r="AI47" s="163"/>
      <c r="AJ47" s="125"/>
    </row>
    <row r="48" spans="1:36" x14ac:dyDescent="0.4">
      <c r="A48" s="140"/>
      <c r="B48" s="273"/>
      <c r="C48" s="728" t="s">
        <v>468</v>
      </c>
      <c r="D48" s="832"/>
      <c r="E48" s="832"/>
      <c r="F48" s="832"/>
      <c r="G48" s="832"/>
      <c r="H48" s="832"/>
      <c r="I48" s="832"/>
      <c r="J48" s="832"/>
      <c r="K48" s="832"/>
      <c r="L48" s="832"/>
      <c r="M48" s="832"/>
      <c r="N48" s="832"/>
      <c r="O48" s="832"/>
      <c r="P48" s="832"/>
      <c r="Q48" s="832"/>
      <c r="R48" s="832"/>
      <c r="S48" s="832"/>
      <c r="T48" s="832"/>
      <c r="U48" s="832"/>
      <c r="V48" s="832"/>
      <c r="W48" s="832"/>
      <c r="X48" s="832"/>
      <c r="Y48" s="832"/>
      <c r="Z48" s="832"/>
      <c r="AA48" s="832"/>
      <c r="AB48" s="832"/>
      <c r="AC48" s="832"/>
      <c r="AD48" s="832"/>
      <c r="AE48" s="832"/>
      <c r="AF48" s="832"/>
      <c r="AG48" s="832"/>
      <c r="AH48" s="780"/>
      <c r="AI48" s="163"/>
      <c r="AJ48" s="125"/>
    </row>
    <row r="49" spans="1:36" ht="18.75" customHeight="1" x14ac:dyDescent="0.4">
      <c r="A49" s="140"/>
      <c r="B49" s="283"/>
      <c r="C49" s="729" t="s">
        <v>469</v>
      </c>
      <c r="D49" s="824" t="str">
        <f>IF(OR(D47="",D48=""),"",D48-D47)</f>
        <v/>
      </c>
      <c r="E49" s="824" t="str">
        <f t="shared" ref="E49:AG49" si="7">IF(OR(E47="",E48=""),"",E48-E47)</f>
        <v/>
      </c>
      <c r="F49" s="824" t="str">
        <f t="shared" si="7"/>
        <v/>
      </c>
      <c r="G49" s="824" t="str">
        <f t="shared" si="7"/>
        <v/>
      </c>
      <c r="H49" s="824" t="str">
        <f t="shared" si="7"/>
        <v/>
      </c>
      <c r="I49" s="824" t="str">
        <f t="shared" si="7"/>
        <v/>
      </c>
      <c r="J49" s="824" t="str">
        <f t="shared" si="7"/>
        <v/>
      </c>
      <c r="K49" s="824" t="str">
        <f t="shared" si="7"/>
        <v/>
      </c>
      <c r="L49" s="824" t="str">
        <f t="shared" si="7"/>
        <v/>
      </c>
      <c r="M49" s="824" t="str">
        <f t="shared" si="7"/>
        <v/>
      </c>
      <c r="N49" s="824" t="str">
        <f t="shared" si="7"/>
        <v/>
      </c>
      <c r="O49" s="824" t="str">
        <f t="shared" si="7"/>
        <v/>
      </c>
      <c r="P49" s="824" t="str">
        <f t="shared" si="7"/>
        <v/>
      </c>
      <c r="Q49" s="824" t="str">
        <f t="shared" si="7"/>
        <v/>
      </c>
      <c r="R49" s="824" t="str">
        <f t="shared" si="7"/>
        <v/>
      </c>
      <c r="S49" s="824" t="str">
        <f t="shared" si="7"/>
        <v/>
      </c>
      <c r="T49" s="824" t="str">
        <f t="shared" si="7"/>
        <v/>
      </c>
      <c r="U49" s="824" t="str">
        <f t="shared" si="7"/>
        <v/>
      </c>
      <c r="V49" s="824" t="str">
        <f t="shared" si="7"/>
        <v/>
      </c>
      <c r="W49" s="824" t="str">
        <f t="shared" si="7"/>
        <v/>
      </c>
      <c r="X49" s="824" t="str">
        <f t="shared" si="7"/>
        <v/>
      </c>
      <c r="Y49" s="824" t="str">
        <f t="shared" si="7"/>
        <v/>
      </c>
      <c r="Z49" s="824" t="str">
        <f t="shared" si="7"/>
        <v/>
      </c>
      <c r="AA49" s="824" t="str">
        <f t="shared" si="7"/>
        <v/>
      </c>
      <c r="AB49" s="824" t="str">
        <f t="shared" si="7"/>
        <v/>
      </c>
      <c r="AC49" s="824" t="str">
        <f t="shared" si="7"/>
        <v/>
      </c>
      <c r="AD49" s="824" t="str">
        <f t="shared" si="7"/>
        <v/>
      </c>
      <c r="AE49" s="824" t="str">
        <f t="shared" si="7"/>
        <v/>
      </c>
      <c r="AF49" s="824" t="str">
        <f t="shared" si="7"/>
        <v/>
      </c>
      <c r="AG49" s="824" t="str">
        <f t="shared" si="7"/>
        <v/>
      </c>
      <c r="AH49" s="76"/>
      <c r="AI49" s="298"/>
      <c r="AJ49" s="125"/>
    </row>
    <row r="50" spans="1:36" x14ac:dyDescent="0.4">
      <c r="A50" s="140"/>
      <c r="B50" s="283"/>
      <c r="C50" s="140"/>
      <c r="D50" s="878"/>
      <c r="E50" s="878"/>
      <c r="F50" s="878"/>
      <c r="G50" s="878"/>
      <c r="H50" s="878"/>
      <c r="I50" s="878"/>
      <c r="J50" s="878"/>
      <c r="K50" s="878"/>
      <c r="L50" s="878"/>
      <c r="M50" s="878"/>
      <c r="N50" s="878"/>
      <c r="O50" s="878"/>
      <c r="P50" s="878"/>
      <c r="Q50" s="878"/>
      <c r="R50" s="878"/>
      <c r="S50" s="878"/>
      <c r="T50" s="878"/>
      <c r="U50" s="878"/>
      <c r="V50" s="878"/>
      <c r="W50" s="878"/>
      <c r="X50" s="878"/>
      <c r="Y50" s="878"/>
      <c r="Z50" s="878"/>
      <c r="AA50" s="878"/>
      <c r="AB50" s="878"/>
      <c r="AC50" s="878"/>
      <c r="AD50" s="878"/>
      <c r="AE50" s="878"/>
      <c r="AF50" s="878"/>
      <c r="AG50" s="878"/>
      <c r="AH50" s="76"/>
      <c r="AI50" s="299"/>
      <c r="AJ50" s="125"/>
    </row>
    <row r="51" spans="1:36" x14ac:dyDescent="0.4">
      <c r="A51" s="140"/>
      <c r="B51" s="283"/>
      <c r="C51" s="730" t="s">
        <v>470</v>
      </c>
      <c r="D51" s="878"/>
      <c r="E51" s="878"/>
      <c r="F51" s="878"/>
      <c r="G51" s="878"/>
      <c r="H51" s="878"/>
      <c r="I51" s="878"/>
      <c r="J51" s="878"/>
      <c r="K51" s="878"/>
      <c r="L51" s="878"/>
      <c r="M51" s="878"/>
      <c r="N51" s="878"/>
      <c r="O51" s="878"/>
      <c r="P51" s="878"/>
      <c r="Q51" s="878"/>
      <c r="R51" s="878"/>
      <c r="S51" s="878"/>
      <c r="T51" s="878"/>
      <c r="U51" s="878"/>
      <c r="V51" s="878"/>
      <c r="W51" s="878"/>
      <c r="X51" s="878"/>
      <c r="Y51" s="878"/>
      <c r="Z51" s="878"/>
      <c r="AA51" s="878"/>
      <c r="AB51" s="878"/>
      <c r="AC51" s="878"/>
      <c r="AD51" s="878"/>
      <c r="AE51" s="878"/>
      <c r="AF51" s="878"/>
      <c r="AG51" s="878"/>
      <c r="AH51" s="76"/>
      <c r="AI51" s="300"/>
      <c r="AJ51" s="125"/>
    </row>
    <row r="52" spans="1:36" x14ac:dyDescent="0.4">
      <c r="A52" s="140"/>
      <c r="B52" s="283"/>
      <c r="C52" s="729" t="s">
        <v>471</v>
      </c>
      <c r="D52" s="873"/>
      <c r="E52" s="873"/>
      <c r="F52" s="873"/>
      <c r="G52" s="873"/>
      <c r="H52" s="873"/>
      <c r="I52" s="873"/>
      <c r="J52" s="873"/>
      <c r="K52" s="873"/>
      <c r="L52" s="832"/>
      <c r="M52" s="832"/>
      <c r="N52" s="832"/>
      <c r="O52" s="832"/>
      <c r="P52" s="832"/>
      <c r="Q52" s="832"/>
      <c r="R52" s="873"/>
      <c r="S52" s="873"/>
      <c r="T52" s="873"/>
      <c r="U52" s="873"/>
      <c r="V52" s="873"/>
      <c r="W52" s="873"/>
      <c r="X52" s="873"/>
      <c r="Y52" s="873"/>
      <c r="Z52" s="873"/>
      <c r="AA52" s="873"/>
      <c r="AB52" s="873"/>
      <c r="AC52" s="873"/>
      <c r="AD52" s="873"/>
      <c r="AE52" s="873"/>
      <c r="AF52" s="873"/>
      <c r="AG52" s="873"/>
      <c r="AH52" s="301" t="s">
        <v>157</v>
      </c>
      <c r="AI52" s="299"/>
      <c r="AJ52" s="125"/>
    </row>
    <row r="53" spans="1:36" x14ac:dyDescent="0.4">
      <c r="A53" s="140"/>
      <c r="B53" s="283"/>
      <c r="C53" s="731" t="s">
        <v>472</v>
      </c>
      <c r="D53" s="873"/>
      <c r="E53" s="873"/>
      <c r="F53" s="873"/>
      <c r="G53" s="873"/>
      <c r="H53" s="873"/>
      <c r="I53" s="873"/>
      <c r="J53" s="873"/>
      <c r="K53" s="873"/>
      <c r="L53" s="832"/>
      <c r="M53" s="832"/>
      <c r="N53" s="832"/>
      <c r="O53" s="832"/>
      <c r="P53" s="832"/>
      <c r="Q53" s="832"/>
      <c r="R53" s="873"/>
      <c r="S53" s="873"/>
      <c r="T53" s="873"/>
      <c r="U53" s="873"/>
      <c r="V53" s="873"/>
      <c r="W53" s="873"/>
      <c r="X53" s="873"/>
      <c r="Y53" s="873"/>
      <c r="Z53" s="873"/>
      <c r="AA53" s="873"/>
      <c r="AB53" s="873"/>
      <c r="AC53" s="873"/>
      <c r="AD53" s="873"/>
      <c r="AE53" s="873"/>
      <c r="AF53" s="873"/>
      <c r="AG53" s="873"/>
      <c r="AH53" s="302"/>
      <c r="AI53" s="163"/>
      <c r="AJ53" s="125"/>
    </row>
    <row r="54" spans="1:36" x14ac:dyDescent="0.4">
      <c r="A54" s="140"/>
      <c r="B54" s="283"/>
      <c r="C54" s="731" t="s">
        <v>473</v>
      </c>
      <c r="D54" s="873"/>
      <c r="E54" s="873"/>
      <c r="F54" s="873"/>
      <c r="G54" s="873"/>
      <c r="H54" s="873"/>
      <c r="I54" s="873"/>
      <c r="J54" s="873"/>
      <c r="K54" s="873"/>
      <c r="L54" s="832"/>
      <c r="M54" s="832"/>
      <c r="N54" s="832"/>
      <c r="O54" s="832"/>
      <c r="P54" s="832"/>
      <c r="Q54" s="832"/>
      <c r="R54" s="873"/>
      <c r="S54" s="873"/>
      <c r="T54" s="873"/>
      <c r="U54" s="873"/>
      <c r="V54" s="873"/>
      <c r="W54" s="873"/>
      <c r="X54" s="873"/>
      <c r="Y54" s="873"/>
      <c r="Z54" s="873"/>
      <c r="AA54" s="873"/>
      <c r="AB54" s="873"/>
      <c r="AC54" s="873"/>
      <c r="AD54" s="873"/>
      <c r="AE54" s="873"/>
      <c r="AF54" s="873"/>
      <c r="AG54" s="873"/>
      <c r="AH54" s="303"/>
      <c r="AI54" s="163"/>
      <c r="AJ54" s="125"/>
    </row>
    <row r="55" spans="1:36" x14ac:dyDescent="0.4">
      <c r="A55" s="140"/>
      <c r="B55" s="283"/>
      <c r="C55" s="731" t="s">
        <v>474</v>
      </c>
      <c r="D55" s="824" t="str">
        <f>IF(OR(D54="",D53=""),"",D53*D54)</f>
        <v/>
      </c>
      <c r="E55" s="824" t="str">
        <f t="shared" ref="E55:AF55" si="8">IF(OR(E54="",E53=""),"",E53*E54)</f>
        <v/>
      </c>
      <c r="F55" s="824" t="str">
        <f t="shared" si="8"/>
        <v/>
      </c>
      <c r="G55" s="824" t="str">
        <f t="shared" si="8"/>
        <v/>
      </c>
      <c r="H55" s="824" t="str">
        <f t="shared" si="8"/>
        <v/>
      </c>
      <c r="I55" s="824" t="str">
        <f t="shared" si="8"/>
        <v/>
      </c>
      <c r="J55" s="824" t="str">
        <f t="shared" si="8"/>
        <v/>
      </c>
      <c r="K55" s="824" t="str">
        <f t="shared" si="8"/>
        <v/>
      </c>
      <c r="L55" s="824" t="str">
        <f t="shared" si="8"/>
        <v/>
      </c>
      <c r="M55" s="824" t="str">
        <f t="shared" si="8"/>
        <v/>
      </c>
      <c r="N55" s="824" t="str">
        <f t="shared" si="8"/>
        <v/>
      </c>
      <c r="O55" s="824" t="str">
        <f t="shared" si="8"/>
        <v/>
      </c>
      <c r="P55" s="824" t="str">
        <f t="shared" si="8"/>
        <v/>
      </c>
      <c r="Q55" s="824" t="str">
        <f t="shared" si="8"/>
        <v/>
      </c>
      <c r="R55" s="824" t="str">
        <f t="shared" si="8"/>
        <v/>
      </c>
      <c r="S55" s="824" t="str">
        <f t="shared" si="8"/>
        <v/>
      </c>
      <c r="T55" s="824" t="str">
        <f t="shared" si="8"/>
        <v/>
      </c>
      <c r="U55" s="824" t="str">
        <f t="shared" si="8"/>
        <v/>
      </c>
      <c r="V55" s="824" t="str">
        <f t="shared" si="8"/>
        <v/>
      </c>
      <c r="W55" s="824" t="str">
        <f t="shared" si="8"/>
        <v/>
      </c>
      <c r="X55" s="824" t="str">
        <f t="shared" si="8"/>
        <v/>
      </c>
      <c r="Y55" s="824" t="str">
        <f t="shared" si="8"/>
        <v/>
      </c>
      <c r="Z55" s="824" t="str">
        <f t="shared" si="8"/>
        <v/>
      </c>
      <c r="AA55" s="824" t="str">
        <f t="shared" si="8"/>
        <v/>
      </c>
      <c r="AB55" s="824" t="str">
        <f t="shared" si="8"/>
        <v/>
      </c>
      <c r="AC55" s="824" t="str">
        <f t="shared" si="8"/>
        <v/>
      </c>
      <c r="AD55" s="824" t="str">
        <f t="shared" si="8"/>
        <v/>
      </c>
      <c r="AE55" s="824" t="str">
        <f t="shared" si="8"/>
        <v/>
      </c>
      <c r="AF55" s="824" t="str">
        <f t="shared" si="8"/>
        <v/>
      </c>
      <c r="AG55" s="824" t="str">
        <f>IF(OR(AG54="",AG53=""),"",AG53*AG54)</f>
        <v/>
      </c>
      <c r="AH55" s="76"/>
      <c r="AI55" s="304"/>
      <c r="AJ55" s="125"/>
    </row>
    <row r="56" spans="1:36" x14ac:dyDescent="0.4">
      <c r="A56" s="140"/>
      <c r="B56" s="283"/>
      <c r="C56" s="731" t="s">
        <v>475</v>
      </c>
      <c r="D56" s="832"/>
      <c r="E56" s="832"/>
      <c r="F56" s="832"/>
      <c r="G56" s="832"/>
      <c r="H56" s="832"/>
      <c r="I56" s="832"/>
      <c r="J56" s="832"/>
      <c r="K56" s="832"/>
      <c r="L56" s="832"/>
      <c r="M56" s="832"/>
      <c r="N56" s="832"/>
      <c r="O56" s="832"/>
      <c r="P56" s="832"/>
      <c r="Q56" s="832"/>
      <c r="R56" s="873"/>
      <c r="S56" s="873"/>
      <c r="T56" s="873"/>
      <c r="U56" s="873"/>
      <c r="V56" s="873"/>
      <c r="W56" s="873"/>
      <c r="X56" s="873"/>
      <c r="Y56" s="873"/>
      <c r="Z56" s="873"/>
      <c r="AA56" s="873"/>
      <c r="AB56" s="873"/>
      <c r="AC56" s="873"/>
      <c r="AD56" s="873"/>
      <c r="AE56" s="873"/>
      <c r="AF56" s="873"/>
      <c r="AG56" s="873"/>
      <c r="AH56" s="76"/>
      <c r="AI56" s="163"/>
      <c r="AJ56" s="125"/>
    </row>
    <row r="57" spans="1:36" x14ac:dyDescent="0.4">
      <c r="A57" s="140"/>
      <c r="B57" s="283"/>
      <c r="C57" s="729" t="s">
        <v>476</v>
      </c>
      <c r="D57" s="832"/>
      <c r="E57" s="832"/>
      <c r="F57" s="832"/>
      <c r="G57" s="832"/>
      <c r="H57" s="832"/>
      <c r="I57" s="832"/>
      <c r="J57" s="832"/>
      <c r="K57" s="832"/>
      <c r="L57" s="832"/>
      <c r="M57" s="832"/>
      <c r="N57" s="832"/>
      <c r="O57" s="832"/>
      <c r="P57" s="832"/>
      <c r="Q57" s="832"/>
      <c r="R57" s="873"/>
      <c r="S57" s="873"/>
      <c r="T57" s="873"/>
      <c r="U57" s="873"/>
      <c r="V57" s="873"/>
      <c r="W57" s="873"/>
      <c r="X57" s="873"/>
      <c r="Y57" s="873"/>
      <c r="Z57" s="873"/>
      <c r="AA57" s="873"/>
      <c r="AB57" s="873"/>
      <c r="AC57" s="873"/>
      <c r="AD57" s="873"/>
      <c r="AE57" s="873"/>
      <c r="AF57" s="873"/>
      <c r="AG57" s="873"/>
      <c r="AH57" s="76"/>
      <c r="AI57" s="299"/>
      <c r="AJ57" s="125"/>
    </row>
    <row r="58" spans="1:36" x14ac:dyDescent="0.4">
      <c r="A58" s="140"/>
      <c r="B58" s="283"/>
      <c r="C58" s="729" t="s">
        <v>477</v>
      </c>
      <c r="D58" s="832"/>
      <c r="E58" s="832"/>
      <c r="F58" s="832"/>
      <c r="G58" s="832"/>
      <c r="H58" s="832"/>
      <c r="I58" s="832"/>
      <c r="J58" s="832"/>
      <c r="K58" s="832"/>
      <c r="L58" s="832"/>
      <c r="M58" s="832"/>
      <c r="N58" s="832"/>
      <c r="O58" s="832"/>
      <c r="P58" s="832"/>
      <c r="Q58" s="832"/>
      <c r="R58" s="873"/>
      <c r="S58" s="873"/>
      <c r="T58" s="873"/>
      <c r="U58" s="873"/>
      <c r="V58" s="873"/>
      <c r="W58" s="873"/>
      <c r="X58" s="873"/>
      <c r="Y58" s="873"/>
      <c r="Z58" s="873"/>
      <c r="AA58" s="873"/>
      <c r="AB58" s="873"/>
      <c r="AC58" s="873"/>
      <c r="AD58" s="873"/>
      <c r="AE58" s="873"/>
      <c r="AF58" s="873"/>
      <c r="AG58" s="873"/>
      <c r="AH58" s="76"/>
      <c r="AI58" s="121"/>
      <c r="AJ58" s="125"/>
    </row>
    <row r="59" spans="1:36" x14ac:dyDescent="0.4">
      <c r="A59" s="140"/>
      <c r="B59" s="283"/>
      <c r="C59" s="729" t="s">
        <v>478</v>
      </c>
      <c r="D59" s="876" t="str">
        <f>IF(OR(D58="",D57="",D56="",D52=""),"",D52*((D56+0.0735559*D57)/30)*((5*(459.67+60)/9)/(5*(459.67+D58)/9)))</f>
        <v/>
      </c>
      <c r="E59" s="876" t="str">
        <f t="shared" ref="E59:AG59" si="9">IF(OR(E58="",E57="",E56="",E52=""),"",E52*((E56+0.0735559*E57)/30)*((5*(459.67+60)/9)/(5*(459.67+E58)/9)))</f>
        <v/>
      </c>
      <c r="F59" s="876" t="str">
        <f t="shared" si="9"/>
        <v/>
      </c>
      <c r="G59" s="876" t="str">
        <f t="shared" si="9"/>
        <v/>
      </c>
      <c r="H59" s="876" t="str">
        <f>IF(OR(H58="",H57="",H56="",H52=""),"",H52*((H56+0.0735559*H57)/30)*((5*(459.67+60)/9)/(5*(459.67+H58)/9)))</f>
        <v/>
      </c>
      <c r="I59" s="876" t="str">
        <f t="shared" si="9"/>
        <v/>
      </c>
      <c r="J59" s="876" t="str">
        <f t="shared" si="9"/>
        <v/>
      </c>
      <c r="K59" s="876" t="str">
        <f t="shared" si="9"/>
        <v/>
      </c>
      <c r="L59" s="876" t="str">
        <f t="shared" si="9"/>
        <v/>
      </c>
      <c r="M59" s="876" t="str">
        <f t="shared" si="9"/>
        <v/>
      </c>
      <c r="N59" s="876" t="str">
        <f t="shared" si="9"/>
        <v/>
      </c>
      <c r="O59" s="876" t="str">
        <f t="shared" si="9"/>
        <v/>
      </c>
      <c r="P59" s="876" t="str">
        <f t="shared" si="9"/>
        <v/>
      </c>
      <c r="Q59" s="876" t="str">
        <f t="shared" si="9"/>
        <v/>
      </c>
      <c r="R59" s="876" t="str">
        <f t="shared" si="9"/>
        <v/>
      </c>
      <c r="S59" s="876" t="str">
        <f t="shared" si="9"/>
        <v/>
      </c>
      <c r="T59" s="876" t="str">
        <f t="shared" si="9"/>
        <v/>
      </c>
      <c r="U59" s="876" t="str">
        <f t="shared" si="9"/>
        <v/>
      </c>
      <c r="V59" s="876" t="str">
        <f t="shared" si="9"/>
        <v/>
      </c>
      <c r="W59" s="876" t="str">
        <f t="shared" si="9"/>
        <v/>
      </c>
      <c r="X59" s="876" t="str">
        <f t="shared" si="9"/>
        <v/>
      </c>
      <c r="Y59" s="876" t="str">
        <f t="shared" si="9"/>
        <v/>
      </c>
      <c r="Z59" s="876" t="str">
        <f t="shared" si="9"/>
        <v/>
      </c>
      <c r="AA59" s="876" t="str">
        <f t="shared" si="9"/>
        <v/>
      </c>
      <c r="AB59" s="876" t="str">
        <f t="shared" si="9"/>
        <v/>
      </c>
      <c r="AC59" s="876" t="str">
        <f t="shared" si="9"/>
        <v/>
      </c>
      <c r="AD59" s="876" t="str">
        <f t="shared" si="9"/>
        <v/>
      </c>
      <c r="AE59" s="876" t="str">
        <f t="shared" si="9"/>
        <v/>
      </c>
      <c r="AF59" s="876" t="str">
        <f t="shared" si="9"/>
        <v/>
      </c>
      <c r="AG59" s="876" t="str">
        <f t="shared" si="9"/>
        <v/>
      </c>
      <c r="AH59" s="76"/>
      <c r="AI59" s="281"/>
      <c r="AJ59" s="125"/>
    </row>
    <row r="60" spans="1:36" x14ac:dyDescent="0.4">
      <c r="A60" s="140"/>
      <c r="B60" s="283"/>
      <c r="C60" s="140"/>
      <c r="D60" s="878"/>
      <c r="E60" s="878"/>
      <c r="F60" s="878"/>
      <c r="G60" s="878"/>
      <c r="H60" s="878"/>
      <c r="I60" s="878"/>
      <c r="J60" s="878"/>
      <c r="K60" s="878"/>
      <c r="L60" s="878"/>
      <c r="M60" s="878"/>
      <c r="N60" s="878"/>
      <c r="O60" s="878"/>
      <c r="P60" s="878"/>
      <c r="Q60" s="878"/>
      <c r="R60" s="878"/>
      <c r="S60" s="878"/>
      <c r="T60" s="878"/>
      <c r="U60" s="878"/>
      <c r="V60" s="878"/>
      <c r="W60" s="878"/>
      <c r="X60" s="878"/>
      <c r="Y60" s="878"/>
      <c r="Z60" s="878"/>
      <c r="AA60" s="878"/>
      <c r="AB60" s="878"/>
      <c r="AC60" s="878"/>
      <c r="AD60" s="878"/>
      <c r="AE60" s="878"/>
      <c r="AF60" s="878"/>
      <c r="AG60" s="878"/>
      <c r="AH60" s="76"/>
      <c r="AI60" s="305"/>
      <c r="AJ60" s="125"/>
    </row>
    <row r="61" spans="1:36" x14ac:dyDescent="0.4">
      <c r="A61" s="140"/>
      <c r="B61" s="283"/>
      <c r="C61" s="730" t="s">
        <v>479</v>
      </c>
      <c r="D61" s="878"/>
      <c r="E61" s="878"/>
      <c r="F61" s="878"/>
      <c r="G61" s="878"/>
      <c r="H61" s="878"/>
      <c r="I61" s="878"/>
      <c r="J61" s="878"/>
      <c r="K61" s="878"/>
      <c r="L61" s="878"/>
      <c r="M61" s="878"/>
      <c r="N61" s="878"/>
      <c r="O61" s="878"/>
      <c r="P61" s="878"/>
      <c r="Q61" s="878"/>
      <c r="R61" s="878"/>
      <c r="S61" s="878"/>
      <c r="T61" s="878"/>
      <c r="U61" s="878"/>
      <c r="V61" s="878"/>
      <c r="W61" s="878"/>
      <c r="X61" s="878"/>
      <c r="Y61" s="878"/>
      <c r="Z61" s="878"/>
      <c r="AA61" s="878"/>
      <c r="AB61" s="878"/>
      <c r="AC61" s="878"/>
      <c r="AD61" s="878"/>
      <c r="AE61" s="878"/>
      <c r="AF61" s="878"/>
      <c r="AG61" s="878"/>
      <c r="AH61" s="76"/>
      <c r="AJ61" s="125"/>
    </row>
    <row r="62" spans="1:36" x14ac:dyDescent="0.4">
      <c r="A62" s="140"/>
      <c r="B62" s="283"/>
      <c r="C62" s="729" t="s">
        <v>480</v>
      </c>
      <c r="D62" s="873"/>
      <c r="E62" s="873"/>
      <c r="F62" s="873"/>
      <c r="G62" s="873"/>
      <c r="H62" s="873"/>
      <c r="I62" s="873"/>
      <c r="J62" s="873"/>
      <c r="K62" s="873"/>
      <c r="L62" s="873"/>
      <c r="M62" s="873"/>
      <c r="N62" s="873"/>
      <c r="O62" s="873"/>
      <c r="P62" s="873"/>
      <c r="Q62" s="873"/>
      <c r="R62" s="873"/>
      <c r="S62" s="873"/>
      <c r="T62" s="873"/>
      <c r="U62" s="873"/>
      <c r="V62" s="873"/>
      <c r="W62" s="873"/>
      <c r="X62" s="873"/>
      <c r="Y62" s="873"/>
      <c r="Z62" s="873"/>
      <c r="AA62" s="873"/>
      <c r="AB62" s="873"/>
      <c r="AC62" s="873"/>
      <c r="AD62" s="873"/>
      <c r="AE62" s="873"/>
      <c r="AF62" s="873"/>
      <c r="AG62" s="873"/>
      <c r="AH62" s="301" t="s">
        <v>157</v>
      </c>
      <c r="AJ62" s="125"/>
    </row>
    <row r="63" spans="1:36" x14ac:dyDescent="0.4">
      <c r="A63" s="140"/>
      <c r="B63" s="283"/>
      <c r="C63" s="729" t="s">
        <v>481</v>
      </c>
      <c r="D63" s="873"/>
      <c r="E63" s="873"/>
      <c r="F63" s="873"/>
      <c r="G63" s="873"/>
      <c r="H63" s="873"/>
      <c r="I63" s="873"/>
      <c r="J63" s="873"/>
      <c r="K63" s="873"/>
      <c r="L63" s="873"/>
      <c r="M63" s="873"/>
      <c r="N63" s="873"/>
      <c r="O63" s="873"/>
      <c r="P63" s="873"/>
      <c r="Q63" s="873"/>
      <c r="R63" s="873"/>
      <c r="S63" s="873"/>
      <c r="T63" s="873"/>
      <c r="U63" s="873"/>
      <c r="V63" s="873"/>
      <c r="W63" s="873"/>
      <c r="X63" s="873"/>
      <c r="Y63" s="873"/>
      <c r="Z63" s="873"/>
      <c r="AA63" s="873"/>
      <c r="AB63" s="873"/>
      <c r="AC63" s="873"/>
      <c r="AD63" s="873"/>
      <c r="AE63" s="873"/>
      <c r="AF63" s="873"/>
      <c r="AG63" s="873"/>
      <c r="AH63" s="302"/>
      <c r="AJ63" s="125"/>
    </row>
    <row r="64" spans="1:36" x14ac:dyDescent="0.4">
      <c r="A64" s="140"/>
      <c r="B64" s="283"/>
      <c r="C64" s="140"/>
      <c r="D64" s="878"/>
      <c r="E64" s="878"/>
      <c r="F64" s="878"/>
      <c r="G64" s="878"/>
      <c r="H64" s="878"/>
      <c r="I64" s="878"/>
      <c r="J64" s="878"/>
      <c r="K64" s="878"/>
      <c r="L64" s="878"/>
      <c r="M64" s="878"/>
      <c r="N64" s="878"/>
      <c r="O64" s="878"/>
      <c r="P64" s="878"/>
      <c r="Q64" s="878"/>
      <c r="R64" s="878"/>
      <c r="S64" s="878"/>
      <c r="T64" s="878"/>
      <c r="U64" s="878"/>
      <c r="V64" s="878"/>
      <c r="W64" s="878"/>
      <c r="X64" s="878"/>
      <c r="Y64" s="878"/>
      <c r="Z64" s="878"/>
      <c r="AA64" s="878"/>
      <c r="AB64" s="878"/>
      <c r="AC64" s="878"/>
      <c r="AD64" s="878"/>
      <c r="AE64" s="878"/>
      <c r="AF64" s="878"/>
      <c r="AG64" s="878"/>
      <c r="AH64" s="76"/>
      <c r="AJ64" s="125"/>
    </row>
    <row r="65" spans="1:36" x14ac:dyDescent="0.4">
      <c r="A65" s="140"/>
      <c r="B65" s="283"/>
      <c r="C65" s="730" t="s">
        <v>482</v>
      </c>
      <c r="D65" s="878"/>
      <c r="E65" s="878"/>
      <c r="F65" s="878"/>
      <c r="G65" s="878"/>
      <c r="H65" s="878"/>
      <c r="I65" s="878"/>
      <c r="J65" s="878"/>
      <c r="K65" s="878"/>
      <c r="L65" s="878"/>
      <c r="M65" s="878"/>
      <c r="N65" s="878"/>
      <c r="O65" s="878"/>
      <c r="P65" s="878"/>
      <c r="Q65" s="878"/>
      <c r="R65" s="878"/>
      <c r="S65" s="878"/>
      <c r="T65" s="878"/>
      <c r="U65" s="878"/>
      <c r="V65" s="878"/>
      <c r="W65" s="878"/>
      <c r="X65" s="878"/>
      <c r="Y65" s="878"/>
      <c r="Z65" s="878"/>
      <c r="AA65" s="878"/>
      <c r="AB65" s="878"/>
      <c r="AC65" s="878"/>
      <c r="AD65" s="878"/>
      <c r="AE65" s="878"/>
      <c r="AF65" s="878"/>
      <c r="AG65" s="878"/>
      <c r="AH65" s="76"/>
      <c r="AJ65" s="125"/>
    </row>
    <row r="66" spans="1:36" x14ac:dyDescent="0.4">
      <c r="A66" s="140"/>
      <c r="B66" s="283"/>
      <c r="C66" s="729" t="s">
        <v>488</v>
      </c>
      <c r="D66" s="873"/>
      <c r="E66" s="873"/>
      <c r="F66" s="873"/>
      <c r="G66" s="873"/>
      <c r="H66" s="873"/>
      <c r="I66" s="873"/>
      <c r="J66" s="873"/>
      <c r="K66" s="873"/>
      <c r="L66" s="832"/>
      <c r="M66" s="832"/>
      <c r="N66" s="832"/>
      <c r="O66" s="832"/>
      <c r="P66" s="832"/>
      <c r="Q66" s="832"/>
      <c r="R66" s="873"/>
      <c r="S66" s="873"/>
      <c r="T66" s="873"/>
      <c r="U66" s="873"/>
      <c r="V66" s="873"/>
      <c r="W66" s="873"/>
      <c r="X66" s="873"/>
      <c r="Y66" s="873"/>
      <c r="Z66" s="873"/>
      <c r="AA66" s="873"/>
      <c r="AB66" s="873"/>
      <c r="AC66" s="873"/>
      <c r="AD66" s="873"/>
      <c r="AE66" s="873"/>
      <c r="AF66" s="873"/>
      <c r="AG66" s="873"/>
      <c r="AH66" s="301" t="s">
        <v>157</v>
      </c>
      <c r="AJ66" s="125"/>
    </row>
    <row r="67" spans="1:36" x14ac:dyDescent="0.4">
      <c r="A67" s="140"/>
      <c r="B67" s="283"/>
      <c r="C67" s="140"/>
      <c r="D67" s="878"/>
      <c r="E67" s="878"/>
      <c r="F67" s="878"/>
      <c r="G67" s="878"/>
      <c r="H67" s="878"/>
      <c r="I67" s="878"/>
      <c r="J67" s="878"/>
      <c r="K67" s="878"/>
      <c r="L67" s="878"/>
      <c r="M67" s="878"/>
      <c r="N67" s="878"/>
      <c r="O67" s="878"/>
      <c r="P67" s="878"/>
      <c r="Q67" s="878"/>
      <c r="R67" s="878"/>
      <c r="S67" s="878"/>
      <c r="T67" s="878"/>
      <c r="U67" s="878"/>
      <c r="V67" s="878"/>
      <c r="W67" s="878"/>
      <c r="X67" s="878"/>
      <c r="Y67" s="878"/>
      <c r="Z67" s="878"/>
      <c r="AA67" s="878"/>
      <c r="AB67" s="878"/>
      <c r="AC67" s="878"/>
      <c r="AD67" s="878"/>
      <c r="AE67" s="878"/>
      <c r="AF67" s="878"/>
      <c r="AG67" s="878"/>
      <c r="AH67" s="76"/>
      <c r="AJ67" s="125"/>
    </row>
    <row r="68" spans="1:36" x14ac:dyDescent="0.4">
      <c r="A68" s="140"/>
      <c r="B68" s="283"/>
      <c r="C68" s="730" t="s">
        <v>484</v>
      </c>
      <c r="D68" s="878"/>
      <c r="E68" s="878"/>
      <c r="F68" s="878"/>
      <c r="G68" s="878"/>
      <c r="H68" s="878"/>
      <c r="I68" s="878"/>
      <c r="J68" s="878"/>
      <c r="K68" s="878"/>
      <c r="L68" s="878"/>
      <c r="M68" s="878"/>
      <c r="N68" s="878"/>
      <c r="O68" s="878"/>
      <c r="P68" s="878"/>
      <c r="Q68" s="878"/>
      <c r="R68" s="878"/>
      <c r="S68" s="878"/>
      <c r="T68" s="878"/>
      <c r="U68" s="878"/>
      <c r="V68" s="878"/>
      <c r="W68" s="878"/>
      <c r="X68" s="878"/>
      <c r="Y68" s="878"/>
      <c r="Z68" s="878"/>
      <c r="AA68" s="878"/>
      <c r="AB68" s="878"/>
      <c r="AC68" s="878"/>
      <c r="AD68" s="878"/>
      <c r="AE68" s="878"/>
      <c r="AF68" s="878"/>
      <c r="AG68" s="878"/>
      <c r="AH68" s="76"/>
      <c r="AJ68" s="125"/>
    </row>
    <row r="69" spans="1:36" x14ac:dyDescent="0.4">
      <c r="A69" s="140"/>
      <c r="B69" s="283"/>
      <c r="C69" s="729" t="s">
        <v>483</v>
      </c>
      <c r="D69" s="824">
        <f>IF(D$46&gt;$D$45,"",IF(OR(D55="",D59=""),0,D55*D59))</f>
        <v>0</v>
      </c>
      <c r="E69" s="824">
        <f t="shared" ref="E69:AG69" si="10">IF(E$46&gt;$D$45,"",IF(OR(E55="",E59=""),0,E55*E59))</f>
        <v>0</v>
      </c>
      <c r="F69" s="824">
        <f t="shared" si="10"/>
        <v>0</v>
      </c>
      <c r="G69" s="824">
        <f t="shared" si="10"/>
        <v>0</v>
      </c>
      <c r="H69" s="824">
        <f t="shared" si="10"/>
        <v>0</v>
      </c>
      <c r="I69" s="824">
        <f t="shared" si="10"/>
        <v>0</v>
      </c>
      <c r="J69" s="824">
        <f t="shared" si="10"/>
        <v>0</v>
      </c>
      <c r="K69" s="824">
        <f t="shared" si="10"/>
        <v>0</v>
      </c>
      <c r="L69" s="824">
        <f t="shared" si="10"/>
        <v>0</v>
      </c>
      <c r="M69" s="824">
        <f t="shared" si="10"/>
        <v>0</v>
      </c>
      <c r="N69" s="824">
        <f t="shared" si="10"/>
        <v>0</v>
      </c>
      <c r="O69" s="824">
        <f t="shared" si="10"/>
        <v>0</v>
      </c>
      <c r="P69" s="824">
        <f t="shared" si="10"/>
        <v>0</v>
      </c>
      <c r="Q69" s="824">
        <f t="shared" si="10"/>
        <v>0</v>
      </c>
      <c r="R69" s="824">
        <f t="shared" si="10"/>
        <v>0</v>
      </c>
      <c r="S69" s="824">
        <f t="shared" si="10"/>
        <v>0</v>
      </c>
      <c r="T69" s="824">
        <f t="shared" si="10"/>
        <v>0</v>
      </c>
      <c r="U69" s="824">
        <f t="shared" si="10"/>
        <v>0</v>
      </c>
      <c r="V69" s="824">
        <f t="shared" si="10"/>
        <v>0</v>
      </c>
      <c r="W69" s="824">
        <f t="shared" si="10"/>
        <v>0</v>
      </c>
      <c r="X69" s="824">
        <f t="shared" si="10"/>
        <v>0</v>
      </c>
      <c r="Y69" s="824">
        <f t="shared" si="10"/>
        <v>0</v>
      </c>
      <c r="Z69" s="824">
        <f t="shared" si="10"/>
        <v>0</v>
      </c>
      <c r="AA69" s="824">
        <f t="shared" si="10"/>
        <v>0</v>
      </c>
      <c r="AB69" s="824">
        <f t="shared" si="10"/>
        <v>0</v>
      </c>
      <c r="AC69" s="824">
        <f t="shared" si="10"/>
        <v>0</v>
      </c>
      <c r="AD69" s="824">
        <f t="shared" si="10"/>
        <v>0</v>
      </c>
      <c r="AE69" s="824">
        <f t="shared" si="10"/>
        <v>0</v>
      </c>
      <c r="AF69" s="824">
        <f t="shared" si="10"/>
        <v>0</v>
      </c>
      <c r="AG69" s="824">
        <f t="shared" si="10"/>
        <v>0</v>
      </c>
      <c r="AH69" s="76"/>
      <c r="AJ69" s="125"/>
    </row>
    <row r="70" spans="1:36" x14ac:dyDescent="0.4">
      <c r="A70" s="140"/>
      <c r="B70" s="283"/>
      <c r="C70" s="729" t="s">
        <v>485</v>
      </c>
      <c r="D70" s="824">
        <f>IF(D$46&gt;$D$45,"",IF(OR(D62="",D63=""),0,D62*D63))</f>
        <v>0</v>
      </c>
      <c r="E70" s="824">
        <f t="shared" ref="E70:AG70" si="11">IF(E$46&gt;$D$45,"",IF(OR(E62="",E63=""),0,E62*E63))</f>
        <v>0</v>
      </c>
      <c r="F70" s="824">
        <f t="shared" si="11"/>
        <v>0</v>
      </c>
      <c r="G70" s="824">
        <f t="shared" si="11"/>
        <v>0</v>
      </c>
      <c r="H70" s="824">
        <f t="shared" si="11"/>
        <v>0</v>
      </c>
      <c r="I70" s="824">
        <f t="shared" si="11"/>
        <v>0</v>
      </c>
      <c r="J70" s="824">
        <f t="shared" si="11"/>
        <v>0</v>
      </c>
      <c r="K70" s="824">
        <f t="shared" si="11"/>
        <v>0</v>
      </c>
      <c r="L70" s="824">
        <f t="shared" si="11"/>
        <v>0</v>
      </c>
      <c r="M70" s="824">
        <f t="shared" si="11"/>
        <v>0</v>
      </c>
      <c r="N70" s="824">
        <f t="shared" si="11"/>
        <v>0</v>
      </c>
      <c r="O70" s="824">
        <f t="shared" si="11"/>
        <v>0</v>
      </c>
      <c r="P70" s="824">
        <f t="shared" si="11"/>
        <v>0</v>
      </c>
      <c r="Q70" s="824">
        <f t="shared" si="11"/>
        <v>0</v>
      </c>
      <c r="R70" s="824">
        <f t="shared" si="11"/>
        <v>0</v>
      </c>
      <c r="S70" s="824">
        <f t="shared" si="11"/>
        <v>0</v>
      </c>
      <c r="T70" s="824">
        <f t="shared" si="11"/>
        <v>0</v>
      </c>
      <c r="U70" s="824">
        <f t="shared" si="11"/>
        <v>0</v>
      </c>
      <c r="V70" s="824">
        <f t="shared" si="11"/>
        <v>0</v>
      </c>
      <c r="W70" s="824">
        <f t="shared" si="11"/>
        <v>0</v>
      </c>
      <c r="X70" s="824">
        <f t="shared" si="11"/>
        <v>0</v>
      </c>
      <c r="Y70" s="824">
        <f t="shared" si="11"/>
        <v>0</v>
      </c>
      <c r="Z70" s="824">
        <f t="shared" si="11"/>
        <v>0</v>
      </c>
      <c r="AA70" s="824">
        <f t="shared" si="11"/>
        <v>0</v>
      </c>
      <c r="AB70" s="824">
        <f t="shared" si="11"/>
        <v>0</v>
      </c>
      <c r="AC70" s="824">
        <f t="shared" si="11"/>
        <v>0</v>
      </c>
      <c r="AD70" s="824">
        <f t="shared" si="11"/>
        <v>0</v>
      </c>
      <c r="AE70" s="824">
        <f t="shared" si="11"/>
        <v>0</v>
      </c>
      <c r="AF70" s="824">
        <f t="shared" si="11"/>
        <v>0</v>
      </c>
      <c r="AG70" s="824">
        <f t="shared" si="11"/>
        <v>0</v>
      </c>
      <c r="AH70" s="76"/>
      <c r="AJ70" s="125"/>
    </row>
    <row r="71" spans="1:36" x14ac:dyDescent="0.4">
      <c r="A71" s="140"/>
      <c r="B71" s="283"/>
      <c r="C71" s="729" t="s">
        <v>486</v>
      </c>
      <c r="D71" s="824">
        <f>IF(D$46&gt;$D$45,"",IF(D66="",0,D66*3.412))</f>
        <v>0</v>
      </c>
      <c r="E71" s="824">
        <f t="shared" ref="E71:AG71" si="12">IF(E$46&gt;$D$45,"",IF(E66="",0,E66*3.412))</f>
        <v>0</v>
      </c>
      <c r="F71" s="824">
        <f t="shared" si="12"/>
        <v>0</v>
      </c>
      <c r="G71" s="824">
        <f t="shared" si="12"/>
        <v>0</v>
      </c>
      <c r="H71" s="824">
        <f t="shared" si="12"/>
        <v>0</v>
      </c>
      <c r="I71" s="824">
        <f t="shared" si="12"/>
        <v>0</v>
      </c>
      <c r="J71" s="824">
        <f t="shared" si="12"/>
        <v>0</v>
      </c>
      <c r="K71" s="824">
        <f t="shared" si="12"/>
        <v>0</v>
      </c>
      <c r="L71" s="824">
        <f t="shared" si="12"/>
        <v>0</v>
      </c>
      <c r="M71" s="824">
        <f t="shared" si="12"/>
        <v>0</v>
      </c>
      <c r="N71" s="824">
        <f t="shared" si="12"/>
        <v>0</v>
      </c>
      <c r="O71" s="824">
        <f t="shared" si="12"/>
        <v>0</v>
      </c>
      <c r="P71" s="824">
        <f t="shared" si="12"/>
        <v>0</v>
      </c>
      <c r="Q71" s="824">
        <f t="shared" si="12"/>
        <v>0</v>
      </c>
      <c r="R71" s="824">
        <f t="shared" si="12"/>
        <v>0</v>
      </c>
      <c r="S71" s="824">
        <f t="shared" si="12"/>
        <v>0</v>
      </c>
      <c r="T71" s="824">
        <f t="shared" si="12"/>
        <v>0</v>
      </c>
      <c r="U71" s="824">
        <f t="shared" si="12"/>
        <v>0</v>
      </c>
      <c r="V71" s="824">
        <f t="shared" si="12"/>
        <v>0</v>
      </c>
      <c r="W71" s="824">
        <f t="shared" si="12"/>
        <v>0</v>
      </c>
      <c r="X71" s="824">
        <f t="shared" si="12"/>
        <v>0</v>
      </c>
      <c r="Y71" s="824">
        <f t="shared" si="12"/>
        <v>0</v>
      </c>
      <c r="Z71" s="824">
        <f t="shared" si="12"/>
        <v>0</v>
      </c>
      <c r="AA71" s="824">
        <f t="shared" si="12"/>
        <v>0</v>
      </c>
      <c r="AB71" s="824">
        <f t="shared" si="12"/>
        <v>0</v>
      </c>
      <c r="AC71" s="824">
        <f t="shared" si="12"/>
        <v>0</v>
      </c>
      <c r="AD71" s="824">
        <f t="shared" si="12"/>
        <v>0</v>
      </c>
      <c r="AE71" s="824">
        <f t="shared" si="12"/>
        <v>0</v>
      </c>
      <c r="AF71" s="824">
        <f t="shared" si="12"/>
        <v>0</v>
      </c>
      <c r="AG71" s="824">
        <f t="shared" si="12"/>
        <v>0</v>
      </c>
      <c r="AH71" s="76"/>
      <c r="AJ71" s="125"/>
    </row>
    <row r="72" spans="1:36" x14ac:dyDescent="0.4">
      <c r="A72" s="140"/>
      <c r="B72" s="724" t="s">
        <v>205</v>
      </c>
      <c r="C72" s="729" t="s">
        <v>487</v>
      </c>
      <c r="D72" s="824">
        <f>IF(AND(D69="",D70="",D71=""),"",SUM(D69:D71))</f>
        <v>0</v>
      </c>
      <c r="E72" s="824">
        <f t="shared" ref="E72:AG72" si="13">IF(AND(E69="",E70="",E71=""),"",SUM(E69:E71))</f>
        <v>0</v>
      </c>
      <c r="F72" s="824">
        <f t="shared" si="13"/>
        <v>0</v>
      </c>
      <c r="G72" s="824">
        <f t="shared" si="13"/>
        <v>0</v>
      </c>
      <c r="H72" s="824">
        <f t="shared" si="13"/>
        <v>0</v>
      </c>
      <c r="I72" s="824">
        <f t="shared" si="13"/>
        <v>0</v>
      </c>
      <c r="J72" s="824">
        <f t="shared" si="13"/>
        <v>0</v>
      </c>
      <c r="K72" s="824">
        <f t="shared" si="13"/>
        <v>0</v>
      </c>
      <c r="L72" s="824">
        <f t="shared" si="13"/>
        <v>0</v>
      </c>
      <c r="M72" s="824">
        <f t="shared" si="13"/>
        <v>0</v>
      </c>
      <c r="N72" s="824">
        <f t="shared" si="13"/>
        <v>0</v>
      </c>
      <c r="O72" s="824">
        <f t="shared" si="13"/>
        <v>0</v>
      </c>
      <c r="P72" s="824">
        <f t="shared" si="13"/>
        <v>0</v>
      </c>
      <c r="Q72" s="824">
        <f t="shared" si="13"/>
        <v>0</v>
      </c>
      <c r="R72" s="824">
        <f t="shared" si="13"/>
        <v>0</v>
      </c>
      <c r="S72" s="824">
        <f t="shared" si="13"/>
        <v>0</v>
      </c>
      <c r="T72" s="824">
        <f t="shared" si="13"/>
        <v>0</v>
      </c>
      <c r="U72" s="824">
        <f t="shared" si="13"/>
        <v>0</v>
      </c>
      <c r="V72" s="824">
        <f t="shared" si="13"/>
        <v>0</v>
      </c>
      <c r="W72" s="824">
        <f t="shared" si="13"/>
        <v>0</v>
      </c>
      <c r="X72" s="824">
        <f t="shared" si="13"/>
        <v>0</v>
      </c>
      <c r="Y72" s="824">
        <f t="shared" si="13"/>
        <v>0</v>
      </c>
      <c r="Z72" s="824">
        <f t="shared" si="13"/>
        <v>0</v>
      </c>
      <c r="AA72" s="824">
        <f t="shared" si="13"/>
        <v>0</v>
      </c>
      <c r="AB72" s="824">
        <f t="shared" si="13"/>
        <v>0</v>
      </c>
      <c r="AC72" s="824">
        <f t="shared" si="13"/>
        <v>0</v>
      </c>
      <c r="AD72" s="824">
        <f t="shared" si="13"/>
        <v>0</v>
      </c>
      <c r="AE72" s="824">
        <f t="shared" si="13"/>
        <v>0</v>
      </c>
      <c r="AF72" s="824">
        <f t="shared" si="13"/>
        <v>0</v>
      </c>
      <c r="AG72" s="824">
        <f t="shared" si="13"/>
        <v>0</v>
      </c>
      <c r="AH72" s="76"/>
      <c r="AJ72" s="125"/>
    </row>
    <row r="73" spans="1:36" ht="16" thickBot="1" x14ac:dyDescent="0.45">
      <c r="A73" s="140"/>
      <c r="B73" s="306"/>
      <c r="C73" s="732" t="s">
        <v>489</v>
      </c>
      <c r="D73" s="880" t="str">
        <f>IF(OR(D72="",D49=""),"",D72/D49*60)</f>
        <v/>
      </c>
      <c r="E73" s="880" t="str">
        <f t="shared" ref="E73:AG73" si="14">IF(OR(E72="",E49=""),"",E72/E49*60)</f>
        <v/>
      </c>
      <c r="F73" s="880" t="str">
        <f t="shared" si="14"/>
        <v/>
      </c>
      <c r="G73" s="880" t="str">
        <f t="shared" si="14"/>
        <v/>
      </c>
      <c r="H73" s="880" t="str">
        <f t="shared" si="14"/>
        <v/>
      </c>
      <c r="I73" s="880" t="str">
        <f t="shared" si="14"/>
        <v/>
      </c>
      <c r="J73" s="880" t="str">
        <f t="shared" si="14"/>
        <v/>
      </c>
      <c r="K73" s="880" t="str">
        <f t="shared" si="14"/>
        <v/>
      </c>
      <c r="L73" s="880" t="str">
        <f t="shared" si="14"/>
        <v/>
      </c>
      <c r="M73" s="880" t="str">
        <f t="shared" si="14"/>
        <v/>
      </c>
      <c r="N73" s="880" t="str">
        <f t="shared" si="14"/>
        <v/>
      </c>
      <c r="O73" s="880" t="str">
        <f t="shared" si="14"/>
        <v/>
      </c>
      <c r="P73" s="880" t="str">
        <f t="shared" si="14"/>
        <v/>
      </c>
      <c r="Q73" s="880" t="str">
        <f t="shared" si="14"/>
        <v/>
      </c>
      <c r="R73" s="880" t="str">
        <f t="shared" si="14"/>
        <v/>
      </c>
      <c r="S73" s="880" t="str">
        <f t="shared" si="14"/>
        <v/>
      </c>
      <c r="T73" s="880" t="str">
        <f t="shared" si="14"/>
        <v/>
      </c>
      <c r="U73" s="880" t="str">
        <f t="shared" si="14"/>
        <v/>
      </c>
      <c r="V73" s="880" t="str">
        <f t="shared" si="14"/>
        <v/>
      </c>
      <c r="W73" s="880" t="str">
        <f t="shared" si="14"/>
        <v/>
      </c>
      <c r="X73" s="880" t="str">
        <f t="shared" si="14"/>
        <v/>
      </c>
      <c r="Y73" s="880" t="str">
        <f t="shared" si="14"/>
        <v/>
      </c>
      <c r="Z73" s="880" t="str">
        <f t="shared" si="14"/>
        <v/>
      </c>
      <c r="AA73" s="880" t="str">
        <f t="shared" si="14"/>
        <v/>
      </c>
      <c r="AB73" s="880" t="str">
        <f t="shared" si="14"/>
        <v/>
      </c>
      <c r="AC73" s="880" t="str">
        <f t="shared" si="14"/>
        <v/>
      </c>
      <c r="AD73" s="880" t="str">
        <f t="shared" si="14"/>
        <v/>
      </c>
      <c r="AE73" s="880" t="str">
        <f t="shared" si="14"/>
        <v/>
      </c>
      <c r="AF73" s="880" t="str">
        <f t="shared" si="14"/>
        <v/>
      </c>
      <c r="AG73" s="880" t="str">
        <f t="shared" si="14"/>
        <v/>
      </c>
      <c r="AH73" s="292"/>
      <c r="AJ73" s="125"/>
    </row>
    <row r="74" spans="1:36" ht="16" thickBot="1" x14ac:dyDescent="0.45">
      <c r="A74" s="140"/>
      <c r="B74" s="75"/>
      <c r="AJ74" s="125"/>
    </row>
    <row r="75" spans="1:36" ht="16" thickBot="1" x14ac:dyDescent="0.45">
      <c r="A75" s="140"/>
      <c r="B75" s="307" t="s">
        <v>54</v>
      </c>
      <c r="C75" s="1180" t="s">
        <v>592</v>
      </c>
      <c r="D75" s="1181"/>
      <c r="E75" s="1182"/>
      <c r="AJ75" s="125"/>
    </row>
    <row r="76" spans="1:36" ht="65.25" customHeight="1" x14ac:dyDescent="0.4">
      <c r="A76" s="140"/>
      <c r="B76" s="308"/>
      <c r="C76" s="236"/>
      <c r="D76" s="1183" t="str">
        <f>IF(OR('General Info &amp; Test Results'!$F$13="Storage",'General Info &amp; Test Results'!$F$13=""),"During Standby Period Following First Draw Cluster (From Tsu,0 to Tsu,f)","NOT USED FOR THIS WATER HEATER TYPE")</f>
        <v>During Standby Period Following First Draw Cluster (From Tsu,0 to Tsu,f)</v>
      </c>
      <c r="E76" s="1185" t="s">
        <v>490</v>
      </c>
      <c r="AJ76" s="125"/>
    </row>
    <row r="77" spans="1:36" x14ac:dyDescent="0.4">
      <c r="A77" s="140"/>
      <c r="B77" s="283"/>
      <c r="C77" s="730" t="s">
        <v>470</v>
      </c>
      <c r="D77" s="1184"/>
      <c r="E77" s="1186"/>
      <c r="AJ77" s="125"/>
    </row>
    <row r="78" spans="1:36" x14ac:dyDescent="0.4">
      <c r="A78" s="140"/>
      <c r="B78" s="283"/>
      <c r="C78" s="729" t="s">
        <v>471</v>
      </c>
      <c r="D78" s="873"/>
      <c r="E78" s="881"/>
      <c r="AJ78" s="125"/>
    </row>
    <row r="79" spans="1:36" x14ac:dyDescent="0.4">
      <c r="A79" s="140"/>
      <c r="B79" s="283"/>
      <c r="C79" s="731" t="s">
        <v>472</v>
      </c>
      <c r="D79" s="873"/>
      <c r="E79" s="881"/>
      <c r="AJ79" s="125"/>
    </row>
    <row r="80" spans="1:36" x14ac:dyDescent="0.4">
      <c r="A80" s="140"/>
      <c r="B80" s="283"/>
      <c r="C80" s="731" t="s">
        <v>473</v>
      </c>
      <c r="D80" s="873"/>
      <c r="E80" s="881"/>
      <c r="AJ80" s="125"/>
    </row>
    <row r="81" spans="1:36" x14ac:dyDescent="0.4">
      <c r="A81" s="140"/>
      <c r="B81" s="283"/>
      <c r="C81" s="731" t="s">
        <v>474</v>
      </c>
      <c r="D81" s="824" t="str">
        <f>IF(OR(D80="",D79=""),"",D79*D80)</f>
        <v/>
      </c>
      <c r="E81" s="882" t="str">
        <f t="shared" ref="E81" si="15">IF(OR(E80="",E79=""),"",E79*E80)</f>
        <v/>
      </c>
      <c r="AJ81" s="125"/>
    </row>
    <row r="82" spans="1:36" x14ac:dyDescent="0.4">
      <c r="A82" s="140"/>
      <c r="B82" s="283"/>
      <c r="C82" s="731" t="s">
        <v>475</v>
      </c>
      <c r="D82" s="832"/>
      <c r="E82" s="883"/>
      <c r="AJ82" s="125"/>
    </row>
    <row r="83" spans="1:36" x14ac:dyDescent="0.4">
      <c r="A83" s="140"/>
      <c r="B83" s="283"/>
      <c r="C83" s="729" t="s">
        <v>476</v>
      </c>
      <c r="D83" s="832"/>
      <c r="E83" s="883"/>
      <c r="AJ83" s="125"/>
    </row>
    <row r="84" spans="1:36" x14ac:dyDescent="0.4">
      <c r="A84" s="140"/>
      <c r="B84" s="283"/>
      <c r="C84" s="729" t="s">
        <v>477</v>
      </c>
      <c r="D84" s="832"/>
      <c r="E84" s="883"/>
      <c r="AJ84" s="125"/>
    </row>
    <row r="85" spans="1:36" x14ac:dyDescent="0.4">
      <c r="A85" s="140"/>
      <c r="B85" s="283"/>
      <c r="C85" s="729" t="s">
        <v>478</v>
      </c>
      <c r="D85" s="876" t="str">
        <f>IF(OR(D84="",D83="",D82="",D78=""),"",D78*((D82+0.0735559*D83)/30)*((5*(459.67+60)/9)/(5*(459.67+D84)/9)))</f>
        <v/>
      </c>
      <c r="E85" s="884" t="str">
        <f t="shared" ref="E85" si="16">IF(OR(E84="",E83="",E82="",E78=""),"",E78*((E82+0.0735559*E83)/30)*((5*(459.67+60)/9)/(5*(459.67+E84)/9)))</f>
        <v/>
      </c>
      <c r="AJ85" s="125"/>
    </row>
    <row r="86" spans="1:36" x14ac:dyDescent="0.4">
      <c r="A86" s="140"/>
      <c r="B86" s="283"/>
      <c r="C86" s="140"/>
      <c r="D86" s="878"/>
      <c r="E86" s="885"/>
      <c r="AJ86" s="125"/>
    </row>
    <row r="87" spans="1:36" x14ac:dyDescent="0.4">
      <c r="A87" s="140"/>
      <c r="B87" s="283"/>
      <c r="C87" s="730" t="s">
        <v>479</v>
      </c>
      <c r="D87" s="878"/>
      <c r="E87" s="885"/>
      <c r="AJ87" s="125"/>
    </row>
    <row r="88" spans="1:36" x14ac:dyDescent="0.4">
      <c r="A88" s="140"/>
      <c r="B88" s="283"/>
      <c r="C88" s="729" t="s">
        <v>480</v>
      </c>
      <c r="D88" s="873"/>
      <c r="E88" s="881"/>
      <c r="AJ88" s="125"/>
    </row>
    <row r="89" spans="1:36" x14ac:dyDescent="0.4">
      <c r="A89" s="140"/>
      <c r="B89" s="283"/>
      <c r="C89" s="729" t="s">
        <v>481</v>
      </c>
      <c r="D89" s="873"/>
      <c r="E89" s="881"/>
      <c r="AJ89" s="125"/>
    </row>
    <row r="90" spans="1:36" x14ac:dyDescent="0.4">
      <c r="A90" s="140"/>
      <c r="B90" s="283"/>
      <c r="C90" s="140"/>
      <c r="D90" s="878"/>
      <c r="E90" s="885"/>
      <c r="AJ90" s="125"/>
    </row>
    <row r="91" spans="1:36" x14ac:dyDescent="0.4">
      <c r="A91" s="140"/>
      <c r="B91" s="283"/>
      <c r="C91" s="730" t="s">
        <v>482</v>
      </c>
      <c r="D91" s="878"/>
      <c r="E91" s="885"/>
      <c r="AJ91" s="125"/>
    </row>
    <row r="92" spans="1:36" x14ac:dyDescent="0.4">
      <c r="A92" s="140"/>
      <c r="B92" s="283"/>
      <c r="C92" s="729" t="s">
        <v>488</v>
      </c>
      <c r="D92" s="873"/>
      <c r="E92" s="881"/>
      <c r="AJ92" s="125"/>
    </row>
    <row r="93" spans="1:36" x14ac:dyDescent="0.4">
      <c r="A93" s="140"/>
      <c r="B93" s="283"/>
      <c r="C93" s="140"/>
      <c r="D93" s="878"/>
      <c r="E93" s="885"/>
      <c r="AJ93" s="125"/>
    </row>
    <row r="94" spans="1:36" x14ac:dyDescent="0.4">
      <c r="A94" s="140"/>
      <c r="B94" s="283"/>
      <c r="C94" s="730" t="s">
        <v>484</v>
      </c>
      <c r="D94" s="878"/>
      <c r="E94" s="885"/>
      <c r="AJ94" s="125"/>
    </row>
    <row r="95" spans="1:36" x14ac:dyDescent="0.4">
      <c r="A95" s="140"/>
      <c r="B95" s="283"/>
      <c r="C95" s="729" t="s">
        <v>483</v>
      </c>
      <c r="D95" s="824">
        <f>IF(D$46&gt;$D$45,"",IF(OR(D81="",D85=""),0,D81*D85))</f>
        <v>0</v>
      </c>
      <c r="E95" s="882">
        <f t="shared" ref="E95" si="17">IF(E$46&gt;$D$45,"",IF(OR(E81="",E85=""),0,E81*E85))</f>
        <v>0</v>
      </c>
      <c r="AJ95" s="125"/>
    </row>
    <row r="96" spans="1:36" x14ac:dyDescent="0.4">
      <c r="A96" s="140"/>
      <c r="B96" s="283"/>
      <c r="C96" s="729" t="s">
        <v>485</v>
      </c>
      <c r="D96" s="824">
        <f>IF(D$46&gt;$D$45,"",IF(OR(D88="",D89=""),0,D88*D89))</f>
        <v>0</v>
      </c>
      <c r="E96" s="882">
        <f t="shared" ref="E96" si="18">IF(E$46&gt;$D$45,"",IF(OR(E88="",E89=""),0,E88*E89))</f>
        <v>0</v>
      </c>
      <c r="AJ96" s="125"/>
    </row>
    <row r="97" spans="1:36" x14ac:dyDescent="0.4">
      <c r="A97" s="140"/>
      <c r="B97" s="283"/>
      <c r="C97" s="729" t="s">
        <v>486</v>
      </c>
      <c r="D97" s="824">
        <f>IF(D$46&gt;$D$45,"",IF(D92="",0,D92*3.412))</f>
        <v>0</v>
      </c>
      <c r="E97" s="882">
        <f>IF(E$46&gt;$D$45,"",IF(E92="",0,E92*3.412))</f>
        <v>0</v>
      </c>
      <c r="AJ97" s="125"/>
    </row>
    <row r="98" spans="1:36" x14ac:dyDescent="0.4">
      <c r="A98" s="140"/>
      <c r="B98" s="283"/>
      <c r="C98" s="729" t="s">
        <v>487</v>
      </c>
      <c r="D98" s="824">
        <f>IF(AND(D95="",D96="",D97=""),"",SUM(D95:D97))</f>
        <v>0</v>
      </c>
      <c r="E98" s="882">
        <f t="shared" ref="E98" si="19">IF(AND(E95="",E96="",E97=""),"",SUM(E95:E97))</f>
        <v>0</v>
      </c>
      <c r="AJ98" s="125"/>
    </row>
    <row r="99" spans="1:36" ht="16" thickBot="1" x14ac:dyDescent="0.45">
      <c r="A99" s="140"/>
      <c r="B99" s="306"/>
      <c r="C99" s="732" t="s">
        <v>489</v>
      </c>
      <c r="D99" s="880" t="str">
        <f>IF(OR(D98="",D126="",D128=""),"",D98/(D128-D126)*60)</f>
        <v/>
      </c>
      <c r="E99" s="886">
        <f>IF(OR(E98=""),"",E98/(IF(D122="No",1440,1440+COUNT(J413:J892))-SUM(D49:AG49))*60)</f>
        <v>0</v>
      </c>
      <c r="AJ99" s="125"/>
    </row>
    <row r="100" spans="1:36" ht="16" thickBot="1" x14ac:dyDescent="0.45">
      <c r="A100" s="140"/>
      <c r="B100" s="75"/>
      <c r="AJ100" s="125"/>
    </row>
    <row r="101" spans="1:36" ht="18" customHeight="1" thickBot="1" x14ac:dyDescent="0.45">
      <c r="A101" s="140"/>
      <c r="B101" s="307" t="s">
        <v>54</v>
      </c>
      <c r="C101" s="979" t="s">
        <v>509</v>
      </c>
      <c r="D101" s="980"/>
      <c r="E101" s="980"/>
      <c r="F101" s="980"/>
      <c r="G101" s="980"/>
      <c r="H101" s="980"/>
      <c r="I101" s="981"/>
      <c r="AJ101" s="125"/>
    </row>
    <row r="102" spans="1:36" ht="17.25" customHeight="1" x14ac:dyDescent="0.4">
      <c r="A102" s="140"/>
      <c r="B102" s="308"/>
      <c r="C102" s="933" t="str">
        <f>IF(OR('General Info &amp; Test Results'!F12="Electric Storage",'General Info &amp; Test Results'!F13="Instantaneous"),"NOT USED FOR THIS WATER HEATER TYPE","After which draw did the first recovery end?")</f>
        <v>After which draw did the first recovery end?</v>
      </c>
      <c r="D102" s="934" t="str">
        <f>IF(OR('General Info &amp; Test Results'!F12="Electric Storage",D48=""),"",COUNTIF(D31:Q31,"&lt;" &amp; D48))</f>
        <v/>
      </c>
      <c r="E102" s="1187" t="s">
        <v>158</v>
      </c>
      <c r="F102" s="1188"/>
      <c r="G102" s="1188"/>
      <c r="H102" s="1188"/>
      <c r="I102" s="1189"/>
      <c r="AJ102" s="125"/>
    </row>
    <row r="103" spans="1:36" x14ac:dyDescent="0.4">
      <c r="A103" s="140"/>
      <c r="B103" s="273"/>
      <c r="C103" s="935"/>
      <c r="D103" s="887"/>
      <c r="E103" s="309"/>
      <c r="F103" s="706"/>
      <c r="G103" s="140"/>
      <c r="H103" s="140"/>
      <c r="I103" s="76"/>
      <c r="AJ103" s="125"/>
    </row>
    <row r="104" spans="1:36" ht="31" x14ac:dyDescent="0.4">
      <c r="A104" s="140"/>
      <c r="B104" s="735" t="s">
        <v>339</v>
      </c>
      <c r="C104" s="936" t="str">
        <f>IF('General Info &amp; Test Results'!F12="Electric Storage","NOT USED FOR THIS WATER HEATER TYPE","Total mass removed from the start of the 24-hour simulated-use test to the end of the first recovery period, lbs")</f>
        <v>Total mass removed from the start of the 24-hour simulated-use test to the end of the first recovery period, lbs</v>
      </c>
      <c r="D104" s="824" t="str">
        <f ca="1">IF(D102="","",IF('General Info &amp; Test Results'!$F$13="Storage",SUM(OFFSET($C$18,0,1,1,$D$102)),$D$18))</f>
        <v/>
      </c>
      <c r="E104" s="140"/>
      <c r="F104" s="140"/>
      <c r="G104" s="140"/>
      <c r="H104" s="140"/>
      <c r="I104" s="76"/>
      <c r="AJ104" s="125"/>
    </row>
    <row r="105" spans="1:36" x14ac:dyDescent="0.4">
      <c r="A105" s="140"/>
      <c r="B105" s="735" t="s">
        <v>493</v>
      </c>
      <c r="C105" s="937" t="str">
        <f>IF('General Info &amp; Test Results'!F12="Electric Storage","NOT USED FOR THIS WATER HEATER TYPE","Specific heat of the withdrawn water , Btu/(lb °F)")</f>
        <v>Specific heat of the withdrawn water , Btu/(lb °F)</v>
      </c>
      <c r="D105" s="385" t="str">
        <f ca="1">IFERROR(VLOOKUP(AVERAGE($D$106:$D$107),'Water Properties'!$B$13:$D$1013,3,TRUE)+
(VLOOKUP(AVERAGE($D$106:$D$107)+0.1,'Water Properties'!$B$13:$D$1013,3,TRUE)-VLOOKUP(AVERAGE($D$106:$D$107),'Water Properties'!$B$13:$D$1013,3,TRUE))*
(AVERAGE($D$106:$D$107)-VLOOKUP(AVERAGE($D$106:$D$107),'Water Properties'!$B$13:$D$1013,1,TRUE))/
(VLOOKUP(AVERAGE($D$106:$D$107)+0.1,'Water Properties'!$B$13:$D$1013,1,TRUE)-VLOOKUP(AVERAGE($D$106:$D$107),'Water Properties'!$B$13:$D$1013,1,TRUE)),"")</f>
        <v/>
      </c>
      <c r="E105" s="713" t="s">
        <v>525</v>
      </c>
      <c r="F105" s="140"/>
      <c r="G105" s="140"/>
      <c r="H105" s="140"/>
      <c r="I105" s="76"/>
      <c r="AJ105" s="125"/>
    </row>
    <row r="106" spans="1:36" ht="31" x14ac:dyDescent="0.4">
      <c r="A106" s="140"/>
      <c r="B106" s="735" t="s">
        <v>340</v>
      </c>
      <c r="C106" s="936" t="str">
        <f>IF('General Info &amp; Test Results'!F12="Electric Storage","NOT USED FOR THIS WATER HEATER TYPE","Average water outlet temperature measured during the draws from the start of the 24-hour simulated-use test to the end of the first recovery period, °F")</f>
        <v>Average water outlet temperature measured during the draws from the start of the 24-hour simulated-use test to the end of the first recovery period, °F</v>
      </c>
      <c r="D106" s="824" t="str">
        <f t="array" aca="1" ref="D106" ca="1">IFERROR(SUM(IF(MOD(COLUMN(OFFSET($D$193,0,0,ROW($C$408)-ROW($C$193)+1,$D$102*2))-COLUMN(D192)+1,2)=0,OFFSET($D$193,0,0,ROW($C$408)-ROW($C$193)+1,$D$102*2),0))/(COUNT(OFFSET($D$193,0,0,ROW($C$408)-ROW($C$193)+1,$D$102*2))/2),"")</f>
        <v/>
      </c>
      <c r="E106" s="140"/>
      <c r="F106" s="140"/>
      <c r="G106" s="140"/>
      <c r="H106" s="350"/>
      <c r="I106" s="76"/>
      <c r="AJ106" s="125"/>
    </row>
    <row r="107" spans="1:36" ht="31" x14ac:dyDescent="0.4">
      <c r="A107" s="140"/>
      <c r="B107" s="736" t="s">
        <v>341</v>
      </c>
      <c r="C107" s="936" t="str">
        <f>IF('General Info &amp; Test Results'!F12="Electric Storage","NOT USED FOR THIS WATER HEATER TYPE","Average water inlet temperature measured during the draws from the start of the 24-hour simulated-use test to the end of the first recovery period, °F")</f>
        <v>Average water inlet temperature measured during the draws from the start of the 24-hour simulated-use test to the end of the first recovery period, °F</v>
      </c>
      <c r="D107" s="824" t="str">
        <f t="array" aca="1" ref="D107" ca="1">IFERROR(SUM(IF(MOD(COLUMN(OFFSET($D$193,0,0,ROW($C$408)-ROW($C$193)+1,$D$102*2))-COLUMN(D192)+1,2)=1,OFFSET($D$193,0,0,ROW($C$408)-ROW($C$193)+1,$D$102*2),0))/(COUNT(OFFSET($D$193,0,0,ROW($C$408)-ROW($C$193)+1,$D$102*2))/2),"")</f>
        <v/>
      </c>
      <c r="E107" s="140"/>
      <c r="F107" s="140"/>
      <c r="G107" s="140"/>
      <c r="H107" s="350"/>
      <c r="I107" s="76"/>
      <c r="J107" s="312"/>
      <c r="L107" s="313"/>
      <c r="AJ107" s="125"/>
    </row>
    <row r="108" spans="1:36" x14ac:dyDescent="0.4">
      <c r="A108" s="140"/>
      <c r="B108" s="283"/>
      <c r="C108" s="938"/>
      <c r="D108" s="878"/>
      <c r="E108" s="140"/>
      <c r="F108" s="140"/>
      <c r="G108" s="140"/>
      <c r="H108" s="350"/>
      <c r="I108" s="76"/>
      <c r="J108" s="312"/>
      <c r="L108" s="313"/>
      <c r="AJ108" s="125"/>
    </row>
    <row r="109" spans="1:36" ht="18" customHeight="1" x14ac:dyDescent="0.4">
      <c r="A109" s="140"/>
      <c r="B109" s="283"/>
      <c r="C109" s="938"/>
      <c r="D109" s="878"/>
      <c r="E109" s="140"/>
      <c r="F109" s="140"/>
      <c r="G109" s="351"/>
      <c r="H109" s="140"/>
      <c r="I109" s="76"/>
      <c r="AJ109" s="125"/>
    </row>
    <row r="110" spans="1:36" x14ac:dyDescent="0.4">
      <c r="A110" s="140"/>
      <c r="B110" s="724" t="s">
        <v>501</v>
      </c>
      <c r="C110" s="939" t="str">
        <f>IF(OR('General Info &amp; Test Results'!$F$13="Instantaneous",'General Info &amp; Test Results'!F12="Electric Storage",'General Info &amp; Test Results'!F12="Grid Enabled Storage"),"NOT USED FOR THIS WATER HEATER TYPE","Max Mean Tank Temp prior to 1st Draw, °F")</f>
        <v>Max Mean Tank Temp prior to 1st Draw, °F</v>
      </c>
      <c r="D110" s="876" t="str">
        <f>IF(OR($D$413="",'General Info &amp; Test Results'!F12="Electric Storage",'General Info &amp; Test Results'!F12="Grid Enabled Storage"),"",$D$413)</f>
        <v/>
      </c>
      <c r="E110" s="314"/>
      <c r="F110" s="314"/>
      <c r="G110" s="140"/>
      <c r="H110" s="140"/>
      <c r="I110" s="76"/>
      <c r="AJ110" s="125"/>
    </row>
    <row r="111" spans="1:36" x14ac:dyDescent="0.4">
      <c r="A111" s="140"/>
      <c r="B111" s="724" t="s">
        <v>502</v>
      </c>
      <c r="C111" s="939" t="str">
        <f>IF(OR('General Info &amp; Test Results'!$F$13="Instantaneous",'General Info &amp; Test Results'!F12="Electric Storage",'General Info &amp; Test Results'!F12="Grid Enabled Storage"),"NOT USED FOR THIS WATER HEATER TYPE","Max Mean Tank Temp after Cut-out following 1st Draw, °F")</f>
        <v>Max Mean Tank Temp after Cut-out following 1st Draw, °F</v>
      </c>
      <c r="D111" s="873"/>
      <c r="E111" s="314"/>
      <c r="F111" s="314"/>
      <c r="G111" s="140"/>
      <c r="H111" s="140"/>
      <c r="I111" s="76"/>
      <c r="Y111" s="113"/>
      <c r="AJ111" s="125"/>
    </row>
    <row r="112" spans="1:36" x14ac:dyDescent="0.4">
      <c r="A112" s="140"/>
      <c r="B112" s="273"/>
      <c r="C112" s="939" t="str">
        <f>IF(OR('General Info &amp; Test Results'!$F$13="Instantaneous",'General Info &amp; Test Results'!F12="Electric Storage",'General Info &amp; Test Results'!F12="Grid Enabled Storage"),"NOT USED FOR THIS WATER HEATER TYPE","Time at T_max,1, minutes")</f>
        <v>Time at T_max,1, minutes</v>
      </c>
      <c r="D112" s="873"/>
      <c r="E112" s="314"/>
      <c r="F112" s="314"/>
      <c r="G112" s="140"/>
      <c r="H112" s="140"/>
      <c r="I112" s="76"/>
      <c r="Y112" s="113"/>
      <c r="AJ112" s="125"/>
    </row>
    <row r="113" spans="1:36" x14ac:dyDescent="0.4">
      <c r="A113" s="140"/>
      <c r="B113" s="724" t="s">
        <v>503</v>
      </c>
      <c r="C113" s="939" t="str">
        <f>IF(OR('General Info &amp; Test Results'!$F$13="Instantaneous",'General Info &amp; Test Results'!F12="Electric Storage",'General Info &amp; Test Results'!F12="Grid Enabled Storage"),"NOT USED FOR THIS WATER HEATER TYPE","Density of Stored Hot Water, lbs/gal")</f>
        <v>Density of Stored Hot Water, lbs/gal</v>
      </c>
      <c r="D113" s="876" t="str">
        <f>IF(OR($D$110="",$D$111=""),"",
VLOOKUP(AVERAGE($D$110:$D$111),'Water Properties'!$B$13:$D$1013,2,TRUE)+
(VLOOKUP(AVERAGE($D$110:$D$111)+0.1,'Water Properties'!$B$13:$D$1013,2,TRUE)-VLOOKUP(AVERAGE($D$110:$D$111),'Water Properties'!$B$13:$D$1013,2,TRUE))*
(AVERAGE($D$110:$D$111)-VLOOKUP(AVERAGE($D$110:$D$111),'Water Properties'!$B$13:$D$1013,1,TRUE))/
(VLOOKUP(AVERAGE($D$110:$D$111)+0.1,'Water Properties'!$B$13:$D$1013,1,TRUE)-VLOOKUP(AVERAGE($D$110:$D$111),'Water Properties'!$B$13:$D$1013,1,TRUE)))</f>
        <v/>
      </c>
      <c r="E113" s="714" t="s">
        <v>526</v>
      </c>
      <c r="F113" s="314"/>
      <c r="G113" s="140"/>
      <c r="H113" s="140"/>
      <c r="I113" s="76"/>
      <c r="Y113" s="113"/>
      <c r="AJ113" s="125"/>
    </row>
    <row r="114" spans="1:36" x14ac:dyDescent="0.4">
      <c r="A114" s="140"/>
      <c r="B114" s="724" t="s">
        <v>504</v>
      </c>
      <c r="C114" s="939" t="str">
        <f>IF(OR('General Info &amp; Test Results'!$F$13="Instantaneous",'General Info &amp; Test Results'!F12="Electric Storage",'General Info &amp; Test Results'!F12="Grid Enabled Storage"),"NOT USED FOR THIS WATER HEATER TYPE","Specific Heat of Stored Water, Btu/(lb °F)")</f>
        <v>Specific Heat of Stored Water, Btu/(lb °F)</v>
      </c>
      <c r="D114" s="876" t="str">
        <f>IF(OR($D$110="",$D$111=""),"",
VLOOKUP(AVERAGE($D$110:$D$111),'Water Properties'!$B$13:$D$1013,3,TRUE)+
(VLOOKUP(AVERAGE($D$110:$D$111)+0.1,'Water Properties'!$B$13:$D$1013,3,TRUE)-VLOOKUP(AVERAGE($D$110:$D$111),'Water Properties'!$B$13:$D$1013,3,TRUE))*
(AVERAGE($D$110:$D$111)-VLOOKUP(AVERAGE($D$110:$D$111),'Water Properties'!$B$13:$D$1013,1,TRUE))/
(VLOOKUP(AVERAGE($D$110:$D$111)+0.1,'Water Properties'!$B$13:$D$1013,1,TRUE)-VLOOKUP(AVERAGE($D$110:$D$111),'Water Properties'!$B$13:$D$1013,1,TRUE)))</f>
        <v/>
      </c>
      <c r="E114" s="714" t="s">
        <v>526</v>
      </c>
      <c r="F114" s="317"/>
      <c r="G114" s="140"/>
      <c r="H114" s="140"/>
      <c r="I114" s="76"/>
      <c r="AJ114" s="125"/>
    </row>
    <row r="115" spans="1:36" x14ac:dyDescent="0.4">
      <c r="A115" s="140"/>
      <c r="B115" s="283"/>
      <c r="C115" s="938"/>
      <c r="D115" s="878"/>
      <c r="E115" s="140"/>
      <c r="F115" s="140"/>
      <c r="G115" s="140"/>
      <c r="H115" s="140"/>
      <c r="I115" s="76"/>
      <c r="AJ115" s="125"/>
    </row>
    <row r="116" spans="1:36" ht="18" customHeight="1" x14ac:dyDescent="0.4">
      <c r="A116" s="140"/>
      <c r="B116" s="724" t="s">
        <v>345</v>
      </c>
      <c r="C116" s="939" t="str">
        <f>IF(OR('General Info &amp; Test Results'!F12="Electric Storage",'General Info &amp; Test Results'!F12="Grid Enabled Storage"),"NOT USED FOR THIS WATER HEATER TYPE",IF('General Info &amp; Test Results'!F13="Storage","Total Energy Used from the start of the test to T_max,1, Btu","Total Energy Used during 1st Recovery, Btu"))</f>
        <v>Total Energy Used during 1st Recovery, Btu</v>
      </c>
      <c r="D116" s="845"/>
      <c r="E116" s="317"/>
      <c r="F116" s="272"/>
      <c r="G116" s="318"/>
      <c r="H116" s="140"/>
      <c r="I116" s="76"/>
      <c r="Y116" s="140"/>
      <c r="Z116" s="113"/>
      <c r="AA116" s="113"/>
      <c r="AJ116" s="125"/>
    </row>
    <row r="117" spans="1:36" ht="16.5" customHeight="1" x14ac:dyDescent="0.4">
      <c r="A117" s="140"/>
      <c r="B117" s="283"/>
      <c r="C117" s="938"/>
      <c r="D117" s="140"/>
      <c r="E117" s="140"/>
      <c r="F117" s="140"/>
      <c r="G117" s="153"/>
      <c r="H117" s="140"/>
      <c r="I117" s="76"/>
      <c r="Y117" s="140"/>
      <c r="Z117" s="140"/>
      <c r="AA117" s="238"/>
      <c r="AJ117" s="125"/>
    </row>
    <row r="118" spans="1:36" ht="75" customHeight="1" x14ac:dyDescent="0.4">
      <c r="A118" s="140"/>
      <c r="B118" s="283"/>
      <c r="C118" s="938"/>
      <c r="D118" s="715" t="s">
        <v>594</v>
      </c>
      <c r="E118" s="589" t="s">
        <v>595</v>
      </c>
      <c r="F118" s="733"/>
      <c r="G118" s="153"/>
      <c r="H118" s="140"/>
      <c r="I118" s="76"/>
      <c r="Y118" s="140"/>
      <c r="Z118" s="140"/>
      <c r="AA118" s="238"/>
      <c r="AJ118" s="125"/>
    </row>
    <row r="119" spans="1:36" ht="16.5" customHeight="1" thickBot="1" x14ac:dyDescent="0.45">
      <c r="A119" s="140"/>
      <c r="B119" s="737" t="s">
        <v>206</v>
      </c>
      <c r="C119" s="940" t="s">
        <v>214</v>
      </c>
      <c r="D119" s="319" t="str">
        <f>IF('General Info &amp; Test Results'!$F$12="Electric Storage",0.98,IF($D$116="","",$D$104*$D$105*($D$106-$D$107)/$D$116+IF('General Info &amp; Test Results'!$F$13="Storage",'Storage Tank Volume'!$C$20*$D$113*$D$114*($D$111-$D$110)/$D$116,0)))</f>
        <v/>
      </c>
      <c r="E119" s="888"/>
      <c r="F119" s="941" t="s">
        <v>258</v>
      </c>
      <c r="G119" s="220"/>
      <c r="H119" s="291"/>
      <c r="I119" s="292"/>
      <c r="Y119" s="140"/>
      <c r="Z119" s="140"/>
      <c r="AA119" s="238"/>
      <c r="AJ119" s="125"/>
    </row>
    <row r="120" spans="1:36" ht="16" thickBot="1" x14ac:dyDescent="0.45">
      <c r="A120" s="140"/>
      <c r="B120" s="75"/>
      <c r="G120" s="153"/>
      <c r="Y120" s="140"/>
      <c r="Z120" s="140"/>
      <c r="AA120" s="140"/>
      <c r="AJ120" s="125"/>
    </row>
    <row r="121" spans="1:36" ht="16" thickBot="1" x14ac:dyDescent="0.45">
      <c r="A121" s="140"/>
      <c r="B121" s="307" t="s">
        <v>54</v>
      </c>
      <c r="C121" s="1176" t="s">
        <v>159</v>
      </c>
      <c r="D121" s="1177"/>
      <c r="E121" s="981"/>
      <c r="G121" s="153"/>
      <c r="Y121" s="140"/>
      <c r="Z121" s="140"/>
      <c r="AA121" s="140"/>
      <c r="AJ121" s="125"/>
    </row>
    <row r="122" spans="1:36" ht="35.25" customHeight="1" x14ac:dyDescent="0.4">
      <c r="A122" s="140"/>
      <c r="B122" s="740"/>
      <c r="C122" s="738" t="str">
        <f>IF(OR('General Info &amp; Test Results'!$F$13="Storage",'General Info &amp; Test Results'!$F$13=""),
"Did a recovery occur continuously from the end of the last draw of the first draw cluster to the subsequent draw?",
"NOT USED FOR THIS WATER HEATER TYPE")</f>
        <v>Did a recovery occur continuously from the end of the last draw of the first draw cluster to the subsequent draw?</v>
      </c>
      <c r="D122" s="889"/>
      <c r="E122" s="353" t="str">
        <f>IF(D122="","",IF(D122="Yes","ADD TIME TO THE END OF THE TEST",""))</f>
        <v/>
      </c>
      <c r="G122" s="321"/>
      <c r="Y122" s="140"/>
      <c r="Z122" s="140"/>
      <c r="AA122" s="140"/>
      <c r="AJ122" s="125"/>
    </row>
    <row r="123" spans="1:36" ht="35.25" customHeight="1" x14ac:dyDescent="0.4">
      <c r="A123" s="140"/>
      <c r="B123" s="310"/>
      <c r="C123" s="738" t="str">
        <f>IF(OR('General Info &amp; Test Results'!$F$13="Storage",'General Info &amp; Test Results'!$F$13=""),
IF(D122="","Fill in Drop-Down List Above",IF(D122="Yes","Not Used for this Test Case","Is a recovery occuring at or within the first 5 minutes of the end of the last draw of the first draw cluster?")),
"NOT USED FOR THIS WATER HEATER TYPE")</f>
        <v>Fill in Drop-Down List Above</v>
      </c>
      <c r="D123" s="889"/>
      <c r="E123" s="200"/>
      <c r="G123" s="321"/>
      <c r="Y123" s="140"/>
      <c r="Z123" s="140"/>
      <c r="AA123" s="140"/>
      <c r="AJ123" s="125"/>
    </row>
    <row r="124" spans="1:36" ht="33.75" customHeight="1" x14ac:dyDescent="0.4">
      <c r="A124" s="140"/>
      <c r="B124" s="310"/>
      <c r="C124" s="738" t="str">
        <f>IF(OR('General Info &amp; Test Results'!$F$13="Storage",'General Info &amp; Test Results'!$F$13=""),IF(D122="","Fill in Drop-Down List Above",
IF(D122="Yes","Is a recovery occuring at the end of the 8 hour period?","Is a recovery occuring at the beginning of the first draw after the end of the first draw cluster?")),
"NOT USED FOR THIS WATER HEATER TYPE")</f>
        <v>Fill in Drop-Down List Above</v>
      </c>
      <c r="D124" s="889"/>
      <c r="E124" s="200"/>
      <c r="G124" s="113"/>
      <c r="Y124" s="140"/>
      <c r="Z124" s="140"/>
      <c r="AA124" s="140"/>
      <c r="AJ124" s="125"/>
    </row>
    <row r="125" spans="1:36" x14ac:dyDescent="0.4">
      <c r="A125" s="140"/>
      <c r="B125" s="310"/>
      <c r="C125" s="216"/>
      <c r="D125" s="890"/>
      <c r="E125" s="200"/>
      <c r="G125" s="322"/>
      <c r="Y125" s="113"/>
      <c r="Z125" s="140"/>
      <c r="AA125" s="140"/>
      <c r="AJ125" s="125"/>
    </row>
    <row r="126" spans="1:36" ht="35.25" customHeight="1" x14ac:dyDescent="0.4">
      <c r="A126" s="140"/>
      <c r="B126" s="310"/>
      <c r="C126" s="738" t="str">
        <f>IF(OR('General Info &amp; Test Results'!$F$13="Storage",'General Info &amp; Test Results'!$F$13=""),IF(D122="","Fill in Drop-Down List Above",
IF(D122="Yes","Time at Max Mean Tank Temperature 5 minutes After the End of the First Recovery After the Last Draw of the Test",IF(D123="","Fill in Drop-Down List Above",IF(D123="Yes","Time at Max Mean Tank Temperature 5 minutes After the End of the Recovery Period Occuring During the End of the First Draw Cluster","Time 5 minutes After the End of the Last Draw of the First Draw Cluster")))),
"NOT USED FOR THIS WATER HEATER TYPE")</f>
        <v>Fill in Drop-Down List Above</v>
      </c>
      <c r="D126" s="889"/>
      <c r="E126" s="743" t="s">
        <v>354</v>
      </c>
      <c r="F126" s="140"/>
      <c r="H126" s="323"/>
      <c r="I126" s="271"/>
      <c r="J126" s="271"/>
      <c r="K126" s="271"/>
      <c r="L126" s="271"/>
      <c r="M126" s="271"/>
      <c r="N126" s="271"/>
      <c r="O126" s="271"/>
      <c r="P126" s="271"/>
      <c r="Q126" s="271"/>
      <c r="R126" s="271"/>
      <c r="S126" s="271"/>
      <c r="T126" s="271"/>
      <c r="U126" s="271"/>
      <c r="V126" s="271"/>
      <c r="W126" s="241"/>
      <c r="X126" s="278"/>
      <c r="Y126" s="113"/>
      <c r="AJ126" s="125"/>
    </row>
    <row r="127" spans="1:36" ht="34.5" customHeight="1" x14ac:dyDescent="0.4">
      <c r="A127" s="140"/>
      <c r="B127" s="741" t="s">
        <v>510</v>
      </c>
      <c r="C127" s="738" t="str">
        <f>IF(OR('General Info &amp; Test Results'!$F$13="Storage",'General Info &amp; Test Results'!$F$13=""),IF(D122="","Fill in Drop-Down List Above",
IF(D122="Yes","Max Mean Tank Temperature 5 minutes After the End of the First Recovery After the Last Draw of the Test",
IF(D123="","Fill in Drop-Down List Above",IF(D123="Yes","Max Mean Tank Temperature 5 minutes After the End of the Recovery Period Occuring During the End of the First Draw Cluster","Mean Tank Temperature 5 minutes After the End of the Last Draw of the First Draw Cluster")))),
"NOT USED FOR THIS WATER HEATER TYPE")</f>
        <v>Fill in Drop-Down List Above</v>
      </c>
      <c r="D127" s="873"/>
      <c r="E127" s="744" t="s">
        <v>93</v>
      </c>
      <c r="F127" s="324"/>
      <c r="AJ127" s="125"/>
    </row>
    <row r="128" spans="1:36" ht="35.25" customHeight="1" x14ac:dyDescent="0.4">
      <c r="A128" s="140"/>
      <c r="B128" s="741"/>
      <c r="C128" s="738" t="str">
        <f>IF(OR('General Info &amp; Test Results'!$F$13="Storage",'General Info &amp; Test Results'!$F$13=""),IF(OR(D122="",D124=""),"Fill in Drop-Down List Above",IF(D122="Yes",IF(D124="Yes","Time at Mean Tank Temperature at the Minute Prior to the Start of the Recovery at the End of the 8 hour period","Time at Mean Tank Temperature at the End of the 8 hour Standby Period"),IF(D124="Yes","Time at Mean Tank Temperature the Minute Prior to the Start of the Recovery Occuring at the Start of the First Draw after the First Draw Cluster","Time at Mean Tank Temperature Just Prior to Initiation of the First Draw After the First Draw Cluster"))),"NOT USED FOR THIS WATER HEATER TYPE")</f>
        <v>Fill in Drop-Down List Above</v>
      </c>
      <c r="D128" s="873"/>
      <c r="E128" s="744" t="s">
        <v>354</v>
      </c>
      <c r="F128" s="324"/>
      <c r="AJ128" s="125"/>
    </row>
    <row r="129" spans="1:36" ht="35.25" customHeight="1" x14ac:dyDescent="0.4">
      <c r="A129" s="140"/>
      <c r="B129" s="741" t="s">
        <v>511</v>
      </c>
      <c r="C129" s="738" t="str">
        <f>IF(OR('General Info &amp; Test Results'!$F$13="Storage",'General Info &amp; Test Results'!$F$13=""),IF(OR(D122="",D124=""),"Fill in Drop-Down List Above",IF(D122="Yes",IF(D124="Yes","Mean Tank Temperature at the Minute Prior to the Start of the Recovery at the End of the 8 hour period","Mean Tank Temperature at the End of the 8 hour Standby Period"),IF(D124="Yes","Mean Tank Temperature the Minute Prior to the Start of the Recovery Occuring at the Start of the First Draw after the First Draw Cluster","Mean Tank Temperature Just Prior to Initiation of the First Draw After the First Draw Cluster"))),"NOT USED FOR THIS WATER HEATER TYPE")</f>
        <v>Fill in Drop-Down List Above</v>
      </c>
      <c r="D129" s="873"/>
      <c r="E129" s="744" t="s">
        <v>93</v>
      </c>
      <c r="F129" s="324"/>
      <c r="AJ129" s="125"/>
    </row>
    <row r="130" spans="1:36" x14ac:dyDescent="0.4">
      <c r="A130" s="140"/>
      <c r="B130" s="741" t="s">
        <v>512</v>
      </c>
      <c r="C130" s="739" t="str">
        <f>IF(OR('General Info &amp; Test Results'!$F$13="Storage",'General Info &amp; Test Results'!$F$13=""),"Density of Stored Hot Water, lbs/gal","NOT USED FOR THIS WATER HEATER TYPE")</f>
        <v>Density of Stored Hot Water, lbs/gal</v>
      </c>
      <c r="D130" s="876" t="str">
        <f>IF(AND(D127="",D129=""),"", VLOOKUP(AVERAGE(D127,D129),'Water Properties'!$B$13:$D$1013,2,TRUE)+
(VLOOKUP(AVERAGE(D127,D129)+0.1,'Water Properties'!$B$13:$D$1013,2,TRUE)-VLOOKUP(AVERAGE(D127,D129),'Water Properties'!$B$13:$D$1013,2,TRUE))*
(AVERAGE(D127,D129)-VLOOKUP(AVERAGE(D127,D129),'Water Properties'!$B$13:$D$1013,1,TRUE))/
(VLOOKUP(AVERAGE(D127,D129)+0.1,'Water Properties'!$B$13:$D$1013,1,TRUE)-VLOOKUP(AVERAGE(D127,D129),'Water Properties'!$B$13:$D$1013,1,TRUE)))</f>
        <v/>
      </c>
      <c r="E130" s="744" t="s">
        <v>527</v>
      </c>
      <c r="F130" s="324"/>
      <c r="AJ130" s="125"/>
    </row>
    <row r="131" spans="1:36" x14ac:dyDescent="0.4">
      <c r="A131" s="140"/>
      <c r="B131" s="741" t="s">
        <v>513</v>
      </c>
      <c r="C131" s="739" t="str">
        <f>IF(OR('General Info &amp; Test Results'!$F$13="Storage",'General Info &amp; Test Results'!$F$13=""),"Specific Heat of Stored Hot Water, Btu/(lb °F)","NOT USED FOR THIS WATER HEATER TYPE")</f>
        <v>Specific Heat of Stored Hot Water, Btu/(lb °F)</v>
      </c>
      <c r="D131" s="876" t="str">
        <f>IF(AND(D127="",D129=""),"", VLOOKUP(AVERAGE(D127,D129),'Water Properties'!$B$13:$D$1013,3,TRUE)+
(VLOOKUP(AVERAGE(D127,D129)+0.1,'Water Properties'!$B$13:$D$1013,3,TRUE)-VLOOKUP(AVERAGE(D127,D129),'Water Properties'!$B$13:$D$1013,3,TRUE))*
(AVERAGE(D127,D129)-VLOOKUP(AVERAGE(D127,D129),'Water Properties'!$B$13:$D$1013,1,TRUE))/
(VLOOKUP(AVERAGE(D127,D129)+0.1,'Water Properties'!$B$13:$D$1013,1,TRUE)-VLOOKUP(AVERAGE(D127,D129),'Water Properties'!$B$13:$D$1013,1,TRUE)))</f>
        <v/>
      </c>
      <c r="E131" s="744" t="s">
        <v>527</v>
      </c>
      <c r="F131" s="324"/>
      <c r="AJ131" s="125"/>
    </row>
    <row r="132" spans="1:36" x14ac:dyDescent="0.4">
      <c r="A132" s="140"/>
      <c r="B132" s="741" t="s">
        <v>514</v>
      </c>
      <c r="C132" s="739" t="str">
        <f>IF(OR('General Info &amp; Test Results'!$F$13="Storage",'General Info &amp; Test Results'!$F$13=""),"Total Energy Consumed between T_su,0 and T_su,f, Btu","NOT USED FOR THIS WATER HEATER TYPE")</f>
        <v>Total Energy Consumed between T_su,0 and T_su,f, Btu</v>
      </c>
      <c r="D132" s="876" t="str">
        <f>IF(OR(D98="",D131=""),"",D98)</f>
        <v/>
      </c>
      <c r="E132" s="316"/>
      <c r="F132" s="324"/>
      <c r="AJ132" s="125"/>
    </row>
    <row r="133" spans="1:36" x14ac:dyDescent="0.4">
      <c r="A133" s="140"/>
      <c r="B133" s="741" t="s">
        <v>515</v>
      </c>
      <c r="C133" s="739" t="str">
        <f>IF(OR('General Info &amp; Test Results'!$F$13="Storage",'General Info &amp; Test Results'!$F$13=""),"Elapsed Time between T_su,0 and T_su,f, hrs","NOT USED FOR THIS WATER HEATER TYPE")</f>
        <v>Elapsed Time between T_su,0 and T_su,f, hrs</v>
      </c>
      <c r="D133" s="876" t="str">
        <f>IF(OR(D128="",D126=""),"",(D128-D126)/60)</f>
        <v/>
      </c>
      <c r="E133" s="315"/>
      <c r="F133" s="317"/>
      <c r="AJ133" s="125"/>
    </row>
    <row r="134" spans="1:36" x14ac:dyDescent="0.4">
      <c r="A134" s="140"/>
      <c r="B134" s="741" t="s">
        <v>516</v>
      </c>
      <c r="C134" s="739" t="str">
        <f>IF(OR('General Info &amp; Test Results'!$F$13="Storage",'General Info &amp; Test Results'!$F$13=""),"Hourly Standby Losses, Btu/h","NOT USED FOR THIS WATER HEATER TYPE")</f>
        <v>Hourly Standby Losses, Btu/h</v>
      </c>
      <c r="D134" s="876" t="str">
        <f>IF(D130="","",(D132-'Storage Tank Volume'!$C$20*D130*D131*(D129-D127)/D119)/D133)</f>
        <v/>
      </c>
      <c r="E134" s="315"/>
      <c r="F134" s="317"/>
      <c r="AJ134" s="125"/>
    </row>
    <row r="135" spans="1:36" x14ac:dyDescent="0.4">
      <c r="A135" s="140"/>
      <c r="B135" s="741" t="s">
        <v>517</v>
      </c>
      <c r="C135" s="739" t="str">
        <f>IF(OR('General Info &amp; Test Results'!$F$13="Storage",'General Info &amp; Test Results'!$F$13=""),"Mean Storage Tank Temp between T_su,0 and T_su,f, °F","NOT USED FOR THIS WATER HEATER TYPE")</f>
        <v>Mean Storage Tank Temp between T_su,0 and T_su,f, °F</v>
      </c>
      <c r="D135" s="876" t="str">
        <f ca="1">IF(OR($D$413="",D126="",D128="",D122=""),"",
IF(D122="No",
AVERAGE(OFFSET($D$413,ROUND($D$126,0),0,ROUND($D$128,0)-ROUND($D$126,0)+1,1)),
SUM(OFFSET($D$413,ROUND($D$126,0),0,1440-ROUND($D$126,0)+1,1),OFFSET($J$413,0,0,ROUND($D$128,0)-1440,1))/(ROUND($D$128,0)-ROUND($D$126,0)+1)))</f>
        <v/>
      </c>
      <c r="E135" s="315"/>
      <c r="F135" s="317"/>
      <c r="AJ135" s="125"/>
    </row>
    <row r="136" spans="1:36" x14ac:dyDescent="0.4">
      <c r="A136" s="140"/>
      <c r="B136" s="741" t="s">
        <v>518</v>
      </c>
      <c r="C136" s="739" t="str">
        <f>IF(OR('General Info &amp; Test Results'!$F$13="Storage",'General Info &amp; Test Results'!$F$13=""),"Average Ambient Temp between T_su,0 and T_su,f, °F","NOT USED FOR THIS WATER HEATER TYPE")</f>
        <v>Average Ambient Temp between T_su,0 and T_su,f, °F</v>
      </c>
      <c r="D136" s="876" t="str">
        <f ca="1">IF(OR($E$413="",D126="",D128="",D122=""),"",
IF(D122="No",AVERAGE(OFFSET($E$413,ROUND($D$126,0),0,ROUND($D$128,0)-ROUND($D$126,0)+1,1)),
SUM(OFFSET($E$413,ROUND($D$126,0),0,1440-ROUND($D$126,0)+1,1),OFFSET($K$413,0,0,ROUND($D$128,0)-1440,1))/(ROUND($D$128,0)-ROUND($D$126,0)+1)))</f>
        <v/>
      </c>
      <c r="E136" s="315"/>
      <c r="F136" s="317"/>
      <c r="AJ136" s="125"/>
    </row>
    <row r="137" spans="1:36" ht="16" thickBot="1" x14ac:dyDescent="0.45">
      <c r="A137" s="140"/>
      <c r="B137" s="742" t="s">
        <v>519</v>
      </c>
      <c r="C137" s="745" t="str">
        <f>IF(OR('General Info &amp; Test Results'!$F$13="Storage",'General Info &amp; Test Results'!$F$13=""),"Standby Heat Loss Coefficient, Btu/(h °F)","NOT USED FOR THIS WATER HEATER TYPE")</f>
        <v>Standby Heat Loss Coefficient, Btu/(h °F)</v>
      </c>
      <c r="D137" s="879" t="str">
        <f>IF(D134="","",D134/(D135-D136))</f>
        <v/>
      </c>
      <c r="E137" s="320"/>
      <c r="F137" s="317"/>
      <c r="AJ137" s="125"/>
    </row>
    <row r="138" spans="1:36" ht="16" thickBot="1" x14ac:dyDescent="0.45">
      <c r="A138" s="140"/>
      <c r="B138" s="75"/>
      <c r="F138" s="317"/>
      <c r="AJ138" s="125"/>
    </row>
    <row r="139" spans="1:36" ht="16" thickBot="1" x14ac:dyDescent="0.45">
      <c r="A139" s="140"/>
      <c r="B139" s="266" t="s">
        <v>54</v>
      </c>
      <c r="C139" s="1178" t="s">
        <v>160</v>
      </c>
      <c r="D139" s="1178"/>
      <c r="E139" s="1179"/>
      <c r="F139" s="317"/>
      <c r="AJ139" s="125"/>
    </row>
    <row r="140" spans="1:36" x14ac:dyDescent="0.4">
      <c r="A140" s="140"/>
      <c r="B140" s="749" t="s">
        <v>207</v>
      </c>
      <c r="C140" s="734" t="s">
        <v>520</v>
      </c>
      <c r="D140" s="891" t="str">
        <f>IF(OR(D73="",E98=""),"",SUM($D$72:$AG$72)+E98)</f>
        <v/>
      </c>
      <c r="E140" s="315"/>
      <c r="F140" s="317"/>
      <c r="AJ140" s="125"/>
    </row>
    <row r="141" spans="1:36" x14ac:dyDescent="0.4">
      <c r="A141" s="140"/>
      <c r="B141" s="724" t="s">
        <v>512</v>
      </c>
      <c r="C141" s="731" t="str">
        <f>IF(OR('General Info &amp; Test Results'!$F$13="Storage",'General Info &amp; Test Results'!$F$13=""),"Density of Stored Hot Water, lb/gal","NOT USED FOR THIS WATER HEATER TYPE")</f>
        <v>Density of Stored Hot Water, lb/gal</v>
      </c>
      <c r="D141" s="876" t="str">
        <f xml:space="preserve"> IF(OR($D$143="",$D$144=""),"",VLOOKUP(AVERAGE($D$143:$D$144),'Water Properties'!$B$13:$D$1013,2,TRUE)+
(VLOOKUP(AVERAGE($D$143:$D$144)+0.1,'Water Properties'!$B$13:$D$1013,2,TRUE)-VLOOKUP(AVERAGE($D$143:$D$144),'Water Properties'!$B$13:$D$1013,2,TRUE))*
(AVERAGE($D$143:$D$144)-VLOOKUP(AVERAGE($D$143:$D$144),'Water Properties'!$B$13:$D$1013,1,TRUE))/
(VLOOKUP(AVERAGE($D$143:$D$144)+0.1,'Water Properties'!$B$13:$D$1013,1,TRUE)-VLOOKUP(AVERAGE($D$143:$D$144),'Water Properties'!$B$13:$D$1013,1,TRUE)))</f>
        <v/>
      </c>
      <c r="E141" s="744" t="s">
        <v>528</v>
      </c>
      <c r="F141" s="317"/>
      <c r="Y141" s="113"/>
      <c r="AJ141" s="125"/>
    </row>
    <row r="142" spans="1:36" x14ac:dyDescent="0.4">
      <c r="A142" s="140"/>
      <c r="B142" s="724" t="s">
        <v>513</v>
      </c>
      <c r="C142" s="731" t="str">
        <f>IF(OR('General Info &amp; Test Results'!$F$13="Storage",'General Info &amp; Test Results'!$F$13=""),"Specific Heat of Stored Hot Water, Btu/(lb °F)","NOT USED FOR THIS WATER HEATER TYPE")</f>
        <v>Specific Heat of Stored Hot Water, Btu/(lb °F)</v>
      </c>
      <c r="D142" s="876" t="str">
        <f xml:space="preserve"> IF(OR($D$143="",$D$144=""),"",VLOOKUP(AVERAGE($D$143:$D$144),'Water Properties'!$B$13:$D$1013,3,TRUE)+
(VLOOKUP(AVERAGE($D$143:$D$144)+0.1,'Water Properties'!$B$13:$D$1013,3,TRUE)-VLOOKUP(AVERAGE($D$143:$D$144),'Water Properties'!$B$13:$D$1013,3,TRUE))*
(AVERAGE($D$143:$D$144)-VLOOKUP(AVERAGE($D$143:$D$144),'Water Properties'!$B$13:$D$1013,1,TRUE))/
(VLOOKUP(AVERAGE($D$143:$D$144)+0.1,'Water Properties'!$B$13:$D$1013,1,TRUE)-VLOOKUP(AVERAGE($D$143:$D$144),'Water Properties'!$B$13:$D$1013,1,TRUE)))</f>
        <v/>
      </c>
      <c r="E142" s="744" t="s">
        <v>528</v>
      </c>
      <c r="F142" s="317"/>
      <c r="Y142" s="113"/>
      <c r="AJ142" s="125"/>
    </row>
    <row r="143" spans="1:36" x14ac:dyDescent="0.4">
      <c r="A143" s="140"/>
      <c r="B143" s="724" t="s">
        <v>521</v>
      </c>
      <c r="C143" s="731" t="str">
        <f>IF(OR('General Info &amp; Test Results'!$F$13="Storage",'General Info &amp; Test Results'!$F$13=""),"Mean Storage Tank Temperature at the end of the 24-hr SUT, °F","NOT USED FOR THIS WATER HEATER TYPE")</f>
        <v>Mean Storage Tank Temperature at the end of the 24-hr SUT, °F</v>
      </c>
      <c r="D143" s="876" t="str">
        <f>IF($D$1853="","",$D$1853)</f>
        <v/>
      </c>
      <c r="E143" s="316"/>
      <c r="F143" s="317"/>
      <c r="Y143" s="113"/>
      <c r="AJ143" s="125"/>
    </row>
    <row r="144" spans="1:36" x14ac:dyDescent="0.4">
      <c r="A144" s="140"/>
      <c r="B144" s="724" t="s">
        <v>501</v>
      </c>
      <c r="C144" s="731" t="str">
        <f>IF(OR('General Info &amp; Test Results'!$F$13="Storage",'General Info &amp; Test Results'!$F$13=""),"Mean Storage Tank Temperature at the beginning of the 24-hr SUT, °F","NOT USED FOR THIS WATER HEATER TYPE")</f>
        <v>Mean Storage Tank Temperature at the beginning of the 24-hr SUT, °F</v>
      </c>
      <c r="D144" s="876" t="str">
        <f>IF($D$413="","",$D$413)</f>
        <v/>
      </c>
      <c r="E144" s="316"/>
      <c r="F144" s="113"/>
      <c r="AJ144" s="125"/>
    </row>
    <row r="145" spans="1:36" x14ac:dyDescent="0.4">
      <c r="A145" s="140"/>
      <c r="B145" s="724" t="s">
        <v>208</v>
      </c>
      <c r="C145" s="719" t="s">
        <v>530</v>
      </c>
      <c r="D145" s="876" t="str">
        <f>IF($D$140="","",IF('General Info &amp; Test Results'!$F$13="Storage",D140-'Storage Tank Volume'!C20*D141*D142*(D143-D144)/D119,D140))</f>
        <v/>
      </c>
      <c r="E145" s="315"/>
      <c r="F145" s="326"/>
      <c r="AJ145" s="125"/>
    </row>
    <row r="146" spans="1:36" x14ac:dyDescent="0.4">
      <c r="A146" s="140"/>
      <c r="B146" s="273"/>
      <c r="C146" s="746"/>
      <c r="D146" s="892"/>
      <c r="E146" s="327"/>
      <c r="F146" s="317"/>
      <c r="AJ146" s="125"/>
    </row>
    <row r="147" spans="1:36" x14ac:dyDescent="0.4">
      <c r="A147" s="140"/>
      <c r="B147" s="724" t="s">
        <v>209</v>
      </c>
      <c r="C147" s="719" t="s">
        <v>531</v>
      </c>
      <c r="D147" s="824" t="str">
        <f>IF(OR(D41="",D119=""),"",SUM($D$41:$Q$41)/D119)</f>
        <v/>
      </c>
      <c r="E147" s="315"/>
      <c r="F147" s="314"/>
      <c r="AJ147" s="125"/>
    </row>
    <row r="148" spans="1:36" ht="18" customHeight="1" x14ac:dyDescent="0.4">
      <c r="A148" s="140"/>
      <c r="B148" s="273"/>
      <c r="C148" s="746"/>
      <c r="D148" s="892"/>
      <c r="E148" s="327"/>
      <c r="F148" s="317"/>
      <c r="AJ148" s="125"/>
    </row>
    <row r="149" spans="1:36" ht="18" customHeight="1" x14ac:dyDescent="0.4">
      <c r="A149" s="140"/>
      <c r="B149" s="724" t="s">
        <v>210</v>
      </c>
      <c r="C149" s="719" t="s">
        <v>532</v>
      </c>
      <c r="D149" s="824" t="str">
        <f>IF(OR(D42="",D119=""),"",SUM($D$42:$Q$42)/D119)</f>
        <v/>
      </c>
      <c r="E149" s="315"/>
      <c r="F149" s="317"/>
      <c r="AJ149" s="125"/>
    </row>
    <row r="150" spans="1:36" ht="18" customHeight="1" x14ac:dyDescent="0.4">
      <c r="A150" s="140"/>
      <c r="B150" s="273"/>
      <c r="C150" s="746"/>
      <c r="D150" s="892"/>
      <c r="E150" s="329"/>
      <c r="F150" s="317"/>
      <c r="AJ150" s="125"/>
    </row>
    <row r="151" spans="1:36" x14ac:dyDescent="0.4">
      <c r="A151" s="140"/>
      <c r="B151" s="724" t="s">
        <v>522</v>
      </c>
      <c r="C151" s="731" t="str">
        <f>IF(OR('General Info &amp; Test Results'!$F$13="Storage",'General Info &amp; Test Results'!$F$13=""),"Average Ambient Temp over Total Standby Portion of 24hr Test, °F","NOT USED FOR THIS WATER HEATER TYPE")</f>
        <v>Average Ambient Temp over Total Standby Portion of 24hr Test, °F</v>
      </c>
      <c r="D151" s="876" t="str">
        <f>IF(OR(E413="",D122=""),"",
IF(D122="No",
AVERAGEIF(F413:F1853,"OFF",E413:E1853),
(SUMIF(F413:F1853,"OFF",E413:E1853)+SUMIF(L413:L892,"OFF",K413:K892))/(COUNTIFS(F413:F1853,"OFF",E413:E1853,"&gt;0")+COUNTIFS(L413:L892,"OFF",K413:K892,"&gt;0"))))</f>
        <v/>
      </c>
      <c r="E151" s="315"/>
      <c r="F151" s="314"/>
      <c r="AJ151" s="125"/>
    </row>
    <row r="152" spans="1:36" x14ac:dyDescent="0.4">
      <c r="A152" s="140"/>
      <c r="B152" s="724" t="s">
        <v>523</v>
      </c>
      <c r="C152" s="731" t="str">
        <f>IF(OR('General Info &amp; Test Results'!$F$13="Storage",'General Info &amp; Test Results'!$F$13=""),"Total Time when Water Is Not Withdrawn during 24-Hr Test, hrs","NOT USED FOR THIS WATER HEATER TYPE")</f>
        <v>Total Time when Water Is Not Withdrawn during 24-Hr Test, hrs</v>
      </c>
      <c r="D152" s="876" t="str">
        <f ca="1">IF(OR(D122="",D33=""),"",(IF(D122="No",1440,1440+COUNT(J413:J892))-SUM(D33:Q33))/60)</f>
        <v/>
      </c>
      <c r="E152" s="315"/>
      <c r="F152" s="328"/>
      <c r="AJ152" s="125"/>
    </row>
    <row r="153" spans="1:36" x14ac:dyDescent="0.4">
      <c r="A153" s="140"/>
      <c r="B153" s="724" t="s">
        <v>213</v>
      </c>
      <c r="C153" s="731" t="str">
        <f>IF(OR('General Info &amp; Test Results'!$F$13="Storage",'General Info &amp; Test Results'!$F$13=""),"Adjusted Daily Water Heating Energy Consumption, Btu/day","NOT USED FOR THIS WATER HEATER TYPE")</f>
        <v>Adjusted Daily Water Heating Energy Consumption, Btu/day</v>
      </c>
      <c r="D153" s="824" t="str">
        <f>IF(OR('General Info &amp; Test Results'!F13="Instantaneous",D145=""),"",D145-(67.5-D151)*D137*D152)</f>
        <v/>
      </c>
      <c r="E153" s="315"/>
      <c r="F153" s="314"/>
      <c r="AJ153" s="125"/>
    </row>
    <row r="154" spans="1:36" x14ac:dyDescent="0.4">
      <c r="A154" s="140"/>
      <c r="B154" s="724" t="s">
        <v>212</v>
      </c>
      <c r="C154" s="719" t="s">
        <v>529</v>
      </c>
      <c r="D154" s="824" t="str">
        <f>IF(D145="","",IF('General Info &amp; Test Results'!F13="Storage",D153+(D149-D147),D145+(D149-D147)))</f>
        <v/>
      </c>
      <c r="E154" s="315"/>
      <c r="F154" s="328"/>
      <c r="AJ154" s="125"/>
    </row>
    <row r="155" spans="1:36" x14ac:dyDescent="0.4">
      <c r="A155" s="140"/>
      <c r="B155" s="273"/>
      <c r="C155" s="747"/>
      <c r="D155" s="305"/>
      <c r="E155" s="315"/>
      <c r="F155" s="328"/>
      <c r="AJ155" s="125"/>
    </row>
    <row r="156" spans="1:36" ht="31" x14ac:dyDescent="0.4">
      <c r="A156" s="140"/>
      <c r="B156" s="273"/>
      <c r="C156" s="747"/>
      <c r="D156" s="715" t="s">
        <v>594</v>
      </c>
      <c r="E156" s="590" t="s">
        <v>600</v>
      </c>
      <c r="F156" s="328"/>
      <c r="AJ156" s="125"/>
    </row>
    <row r="157" spans="1:36" x14ac:dyDescent="0.4">
      <c r="A157" s="140"/>
      <c r="B157" s="724" t="s">
        <v>524</v>
      </c>
      <c r="C157" s="719" t="s">
        <v>544</v>
      </c>
      <c r="D157" s="893" t="str">
        <f>IF(OR(D119="",$D$42=""),"",SUM($D$42:$Q$42)/D154)</f>
        <v/>
      </c>
      <c r="E157" s="932" t="str">
        <f>IF(D157="","",ROUND(D157,2))</f>
        <v/>
      </c>
      <c r="F157" s="314"/>
      <c r="AJ157" s="125"/>
    </row>
    <row r="158" spans="1:36" x14ac:dyDescent="0.4">
      <c r="A158" s="140"/>
      <c r="B158" s="273"/>
      <c r="C158" s="747"/>
      <c r="D158" s="332"/>
      <c r="E158" s="315"/>
      <c r="F158" s="330"/>
      <c r="AJ158" s="125"/>
    </row>
    <row r="159" spans="1:36" x14ac:dyDescent="0.4">
      <c r="A159" s="140"/>
      <c r="B159" s="741" t="s">
        <v>211</v>
      </c>
      <c r="C159" s="748" t="s">
        <v>533</v>
      </c>
      <c r="D159" s="824" t="str">
        <f>IF(D157="","",365*R20*8.24*1*67/D157)</f>
        <v/>
      </c>
      <c r="E159" s="333"/>
      <c r="F159" s="314"/>
      <c r="AJ159" s="125"/>
    </row>
    <row r="160" spans="1:36" x14ac:dyDescent="0.4">
      <c r="A160" s="140"/>
      <c r="B160" s="735" t="s">
        <v>534</v>
      </c>
      <c r="C160" s="729" t="s">
        <v>537</v>
      </c>
      <c r="D160" s="824" t="str">
        <f>IF(D159="","",(D159/3412)*((SUM(D71:AG71)+E97)/D140))</f>
        <v/>
      </c>
      <c r="E160" s="76"/>
      <c r="F160" s="314"/>
      <c r="AJ160" s="125"/>
    </row>
    <row r="161" spans="1:36" ht="16" thickBot="1" x14ac:dyDescent="0.45">
      <c r="A161" s="140"/>
      <c r="B161" s="750" t="s">
        <v>535</v>
      </c>
      <c r="C161" s="751" t="s">
        <v>536</v>
      </c>
      <c r="D161" s="880" t="str">
        <f>IF(D159="","",D159-(D160*3412))</f>
        <v/>
      </c>
      <c r="E161" s="292"/>
      <c r="F161" s="314"/>
      <c r="AJ161" s="125"/>
    </row>
    <row r="162" spans="1:36" ht="16" thickBot="1" x14ac:dyDescent="0.45">
      <c r="A162" s="140"/>
      <c r="F162" s="331"/>
      <c r="AJ162" s="125"/>
    </row>
    <row r="163" spans="1:36" ht="16" thickBot="1" x14ac:dyDescent="0.45">
      <c r="A163" s="140"/>
      <c r="B163" s="266" t="s">
        <v>54</v>
      </c>
      <c r="C163" s="1164" t="s">
        <v>318</v>
      </c>
      <c r="D163" s="1164"/>
      <c r="E163" s="1164"/>
      <c r="F163" s="1164"/>
      <c r="G163" s="1164"/>
      <c r="H163" s="1164"/>
      <c r="I163" s="1164"/>
      <c r="J163" s="1164"/>
      <c r="K163" s="1164"/>
      <c r="L163" s="1164"/>
      <c r="M163" s="1164"/>
      <c r="N163" s="1164"/>
      <c r="O163" s="1164"/>
      <c r="P163" s="1164"/>
      <c r="Q163" s="1165"/>
      <c r="Y163" s="113"/>
      <c r="AJ163" s="125"/>
    </row>
    <row r="164" spans="1:36" x14ac:dyDescent="0.4">
      <c r="A164" s="140"/>
      <c r="B164" s="268"/>
      <c r="C164" s="140"/>
      <c r="D164" s="140"/>
      <c r="E164" s="140"/>
      <c r="F164" s="140"/>
      <c r="G164" s="140"/>
      <c r="H164" s="140"/>
      <c r="I164" s="140"/>
      <c r="J164" s="140"/>
      <c r="K164" s="140"/>
      <c r="L164" s="140"/>
      <c r="M164" s="140"/>
      <c r="N164" s="140"/>
      <c r="O164" s="140"/>
      <c r="P164" s="140"/>
      <c r="Q164" s="76"/>
      <c r="AJ164" s="125"/>
    </row>
    <row r="165" spans="1:36" x14ac:dyDescent="0.4">
      <c r="A165" s="140"/>
      <c r="B165" s="270"/>
      <c r="C165" s="730" t="s">
        <v>129</v>
      </c>
      <c r="D165" s="710">
        <v>1</v>
      </c>
      <c r="E165" s="279">
        <v>2</v>
      </c>
      <c r="F165" s="279">
        <v>3</v>
      </c>
      <c r="G165" s="279">
        <v>4</v>
      </c>
      <c r="H165" s="279">
        <v>5</v>
      </c>
      <c r="I165" s="279">
        <v>6</v>
      </c>
      <c r="J165" s="279">
        <v>7</v>
      </c>
      <c r="K165" s="279">
        <v>8</v>
      </c>
      <c r="L165" s="279">
        <v>9</v>
      </c>
      <c r="M165" s="279">
        <v>10</v>
      </c>
      <c r="N165" s="279">
        <v>11</v>
      </c>
      <c r="O165" s="279">
        <v>12</v>
      </c>
      <c r="P165" s="279">
        <v>13</v>
      </c>
      <c r="Q165" s="425">
        <v>14</v>
      </c>
      <c r="AJ165" s="125"/>
    </row>
    <row r="166" spans="1:36" x14ac:dyDescent="0.4">
      <c r="B166" s="559"/>
      <c r="C166" s="729" t="s">
        <v>538</v>
      </c>
      <c r="D166" s="824" t="str">
        <f>IF(D193="","",MIN(D193:D408))</f>
        <v/>
      </c>
      <c r="E166" s="824" t="str">
        <f>IF(F193="","",MIN(F193:F408))</f>
        <v/>
      </c>
      <c r="F166" s="824" t="str">
        <f>IF(H193="","",MIN(H193:H408))</f>
        <v/>
      </c>
      <c r="G166" s="824" t="str">
        <f>IF(J193="","",MIN(J193:J408))</f>
        <v/>
      </c>
      <c r="H166" s="824" t="str">
        <f>IF(L193="","",MIN(L193:L408))</f>
        <v/>
      </c>
      <c r="I166" s="824" t="str">
        <f>IF(N193="","",MIN(N193:N408))</f>
        <v/>
      </c>
      <c r="J166" s="824" t="str">
        <f>IF(P193="","",MIN(P193:P408))</f>
        <v/>
      </c>
      <c r="K166" s="824" t="str">
        <f>IF(R193="","",MIN(R193:R408))</f>
        <v/>
      </c>
      <c r="L166" s="824" t="str">
        <f>IF(T193="","",MIN(T193:T408))</f>
        <v/>
      </c>
      <c r="M166" s="824" t="str">
        <f>IF(V193="","",MIN(V193:V408))</f>
        <v/>
      </c>
      <c r="N166" s="824" t="str">
        <f>IF(X193="","",MIN(X193:X408))</f>
        <v/>
      </c>
      <c r="O166" s="824" t="str">
        <f>IF(Z193="","",MIN(Z193:Z408))</f>
        <v/>
      </c>
      <c r="P166" s="824" t="str">
        <f>IF(AB193="","",MIN(AB193:AB408))</f>
        <v/>
      </c>
      <c r="Q166" s="882" t="str">
        <f>IF(AD193="","",MIN(AD193:AD408))</f>
        <v/>
      </c>
      <c r="AJ166" s="125"/>
    </row>
    <row r="167" spans="1:36" x14ac:dyDescent="0.4">
      <c r="B167" s="270"/>
      <c r="C167" s="729" t="s">
        <v>539</v>
      </c>
      <c r="D167" s="824" t="str">
        <f>IF(D193="","",MAX(D193:D408))</f>
        <v/>
      </c>
      <c r="E167" s="824" t="str">
        <f>IF(F193="","",MAX(F193:F408))</f>
        <v/>
      </c>
      <c r="F167" s="824" t="str">
        <f>IF(H193="","",MAX(H193:H408))</f>
        <v/>
      </c>
      <c r="G167" s="824" t="str">
        <f>IF(J193="","",MAX(J193:J408))</f>
        <v/>
      </c>
      <c r="H167" s="824" t="str">
        <f>IF(L193="","",MAX(L193:L408))</f>
        <v/>
      </c>
      <c r="I167" s="824" t="str">
        <f>IF(N193="","",MAX(N193:N408))</f>
        <v/>
      </c>
      <c r="J167" s="824" t="str">
        <f>IF(P193="","",MAX(P193:P408))</f>
        <v/>
      </c>
      <c r="K167" s="824" t="str">
        <f>IF(R193="","",MAX(R193:R408))</f>
        <v/>
      </c>
      <c r="L167" s="824" t="str">
        <f>IF(T193="","",MAX(T193:T408))</f>
        <v/>
      </c>
      <c r="M167" s="824" t="str">
        <f>IF(V193="","",MAX(V193:V408))</f>
        <v/>
      </c>
      <c r="N167" s="824" t="str">
        <f>IF(X193="","",MAX(X193:X408))</f>
        <v/>
      </c>
      <c r="O167" s="824" t="str">
        <f>IF(Z193="","",MAX(Z193:Z408))</f>
        <v/>
      </c>
      <c r="P167" s="824" t="str">
        <f>IF(AB193="","",MAX(AB193:AB408))</f>
        <v/>
      </c>
      <c r="Q167" s="882" t="str">
        <f>IF(AD193="","",MAX(AD193:AD408))</f>
        <v/>
      </c>
      <c r="AJ167" s="125"/>
    </row>
    <row r="168" spans="1:36" x14ac:dyDescent="0.4">
      <c r="B168" s="270"/>
      <c r="C168" s="729" t="str">
        <f>"Inlet Temperature Within Tolerance of " &amp; TEXT(Constants!$C$45,"#") &amp; "°F ± " &amp; TEXT(Constants!$E$45,"#") &amp; " °F?"</f>
        <v>Inlet Temperature Within Tolerance of 58°F ± 2 °F?</v>
      </c>
      <c r="D168" s="818" t="str">
        <f>IF(D167="","",IF(AND(D166&gt;=Constants!$C$45-Constants!$E$45,D167&lt;=Constants!$C$45+Constants!$E$45),"Yes","No"))</f>
        <v/>
      </c>
      <c r="E168" s="818" t="str">
        <f>IF(E167="","",IF(AND(E166&gt;=Constants!$C$45-Constants!$E$45,E167&lt;=Constants!$C$45+Constants!$E$45),"Yes","No"))</f>
        <v/>
      </c>
      <c r="F168" s="818" t="str">
        <f>IF(F167="","",IF(AND(F166&gt;=Constants!$C$45-Constants!$E$45,F167&lt;=Constants!$C$45+Constants!$E$45),"Yes","No"))</f>
        <v/>
      </c>
      <c r="G168" s="818" t="str">
        <f>IF(G167="","",IF(AND(G166&gt;=Constants!$C$45-Constants!$E$45,G167&lt;=Constants!$C$45+Constants!$E$45),"Yes","No"))</f>
        <v/>
      </c>
      <c r="H168" s="818" t="str">
        <f>IF(H167="","",IF(AND(H166&gt;=Constants!$C$45-Constants!$E$45,H167&lt;=Constants!$C$45+Constants!$E$45),"Yes","No"))</f>
        <v/>
      </c>
      <c r="I168" s="818" t="str">
        <f>IF(I167="","",IF(AND(I166&gt;=Constants!$C$45-Constants!$E$45,I167&lt;=Constants!$C$45+Constants!$E$45),"Yes","No"))</f>
        <v/>
      </c>
      <c r="J168" s="818" t="str">
        <f>IF(J167="","",IF(AND(J166&gt;=Constants!$C$45-Constants!$E$45,J167&lt;=Constants!$C$45+Constants!$E$45),"Yes","No"))</f>
        <v/>
      </c>
      <c r="K168" s="818" t="str">
        <f>IF(K167="","",IF(AND(K166&gt;=Constants!$C$45-Constants!$E$45,K167&lt;=Constants!$C$45+Constants!$E$45),"Yes","No"))</f>
        <v/>
      </c>
      <c r="L168" s="818" t="str">
        <f>IF(L167="","",IF(AND(L166&gt;=Constants!$C$45-Constants!$E$45,L167&lt;=Constants!$C$45+Constants!$E$45),"Yes","No"))</f>
        <v/>
      </c>
      <c r="M168" s="818" t="str">
        <f>IF(M167="","",IF(AND(M166&gt;=Constants!$C$45-Constants!$E$45,M167&lt;=Constants!$C$45+Constants!$E$45),"Yes","No"))</f>
        <v/>
      </c>
      <c r="N168" s="818" t="str">
        <f>IF(N167="","",IF(AND(N166&gt;=Constants!$C$45-Constants!$E$45,N167&lt;=Constants!$C$45+Constants!$E$45),"Yes","No"))</f>
        <v/>
      </c>
      <c r="O168" s="818" t="str">
        <f>IF(O167="","",IF(AND(O166&gt;=Constants!$C$45-Constants!$E$45,O167&lt;=Constants!$C$45+Constants!$E$45),"Yes","No"))</f>
        <v/>
      </c>
      <c r="P168" s="818" t="str">
        <f>IF(P167="","",IF(AND(P166&gt;=Constants!$C$45-Constants!$E$45,P167&lt;=Constants!$C$45+Constants!$E$45),"Yes","No"))</f>
        <v/>
      </c>
      <c r="Q168" s="894" t="str">
        <f>IF(Q167="","",IF(AND(Q166&gt;=Constants!$C$45-Constants!$E$45,Q167&lt;=Constants!$C$45+Constants!$E$45),"Yes","No"))</f>
        <v/>
      </c>
      <c r="AJ168" s="125"/>
    </row>
    <row r="169" spans="1:36" x14ac:dyDescent="0.4">
      <c r="B169" s="270"/>
      <c r="C169" s="729" t="s">
        <v>586</v>
      </c>
      <c r="D169" s="824" t="str">
        <f>IF(D193="","",AVERAGE(
D193:D408,
F193:F408,
H193:H408,
J193:J408,
L193:L408,
N193:N408,
P193:P408,
R193:R408,
T193:T408,
V193:V408,
X193:X408,
Z193:Z408,
AB193:AB408,
AD193:AD408))</f>
        <v/>
      </c>
      <c r="E169" s="878"/>
      <c r="F169" s="878"/>
      <c r="G169" s="878"/>
      <c r="H169" s="878"/>
      <c r="I169" s="878"/>
      <c r="J169" s="878"/>
      <c r="K169" s="878"/>
      <c r="L169" s="878"/>
      <c r="M169" s="878"/>
      <c r="N169" s="878"/>
      <c r="O169" s="878"/>
      <c r="P169" s="878"/>
      <c r="Q169" s="885"/>
      <c r="AJ169" s="125"/>
    </row>
    <row r="170" spans="1:36" x14ac:dyDescent="0.4">
      <c r="B170" s="270"/>
      <c r="C170" s="140"/>
      <c r="D170" s="878"/>
      <c r="E170" s="878"/>
      <c r="F170" s="878"/>
      <c r="G170" s="878"/>
      <c r="H170" s="878"/>
      <c r="I170" s="878"/>
      <c r="J170" s="878"/>
      <c r="K170" s="878"/>
      <c r="L170" s="878"/>
      <c r="M170" s="878"/>
      <c r="N170" s="878"/>
      <c r="O170" s="878"/>
      <c r="P170" s="878"/>
      <c r="Q170" s="885"/>
      <c r="AJ170" s="125"/>
    </row>
    <row r="171" spans="1:36" x14ac:dyDescent="0.4">
      <c r="B171" s="270"/>
      <c r="C171" s="729" t="s">
        <v>540</v>
      </c>
      <c r="D171" s="824" t="str">
        <f>IF(E193="","",MIN(E193:E408))</f>
        <v/>
      </c>
      <c r="E171" s="824" t="str">
        <f>IF(G193="","",MIN(G193:G408))</f>
        <v/>
      </c>
      <c r="F171" s="824" t="str">
        <f>IF(I193="","",MIN(I193:I408))</f>
        <v/>
      </c>
      <c r="G171" s="824" t="str">
        <f>IF(K193="","",MIN(K193:K408))</f>
        <v/>
      </c>
      <c r="H171" s="824" t="str">
        <f>IF(M193="","",MIN(M193:M408))</f>
        <v/>
      </c>
      <c r="I171" s="824" t="str">
        <f>IF(O193="","",MIN(O193:O408))</f>
        <v/>
      </c>
      <c r="J171" s="824" t="str">
        <f>IF(Q193="","",MIN(Q193:Q408))</f>
        <v/>
      </c>
      <c r="K171" s="824" t="str">
        <f>IF(S193="","",MIN(S193:S408))</f>
        <v/>
      </c>
      <c r="L171" s="824" t="str">
        <f>IF(U193="","",MIN(U193:U408))</f>
        <v/>
      </c>
      <c r="M171" s="824" t="str">
        <f>IF(W193="","",MIN(W193:W408))</f>
        <v/>
      </c>
      <c r="N171" s="824" t="str">
        <f>IF(Y193="","",MIN(Y193:Y408))</f>
        <v/>
      </c>
      <c r="O171" s="824" t="str">
        <f>IF(AA193="","",MIN(AA193:AA408))</f>
        <v/>
      </c>
      <c r="P171" s="824" t="str">
        <f>IF(AC193="","",MIN(AC193:AC408))</f>
        <v/>
      </c>
      <c r="Q171" s="882" t="str">
        <f>IF(AE193="","",MIN(AE193:AE408))</f>
        <v/>
      </c>
      <c r="AJ171" s="125"/>
    </row>
    <row r="172" spans="1:36" x14ac:dyDescent="0.4">
      <c r="B172" s="270"/>
      <c r="C172" s="729" t="s">
        <v>541</v>
      </c>
      <c r="D172" s="824" t="str">
        <f>IF(E193="","",MAX(E193:E408))</f>
        <v/>
      </c>
      <c r="E172" s="824" t="str">
        <f>IF(G193="","",MAX(G193:G408))</f>
        <v/>
      </c>
      <c r="F172" s="824" t="str">
        <f>IF(I193="","",MAX(I193:I408))</f>
        <v/>
      </c>
      <c r="G172" s="824" t="str">
        <f>IF(K193="","",MAX(K193:K408))</f>
        <v/>
      </c>
      <c r="H172" s="824" t="str">
        <f>IF(M193="","",MAX(M193:M408))</f>
        <v/>
      </c>
      <c r="I172" s="824" t="str">
        <f>IF(O193="","",MAX(O193:O408))</f>
        <v/>
      </c>
      <c r="J172" s="824" t="str">
        <f>IF(Q193="","",MAX(Q193:Q408))</f>
        <v/>
      </c>
      <c r="K172" s="824" t="str">
        <f>IF(S193="","",MAX(S193:S408))</f>
        <v/>
      </c>
      <c r="L172" s="824" t="str">
        <f>IF(U193="","",MAX(U193:U408))</f>
        <v/>
      </c>
      <c r="M172" s="824" t="str">
        <f>IF(W193="","",MAX(W193:W408))</f>
        <v/>
      </c>
      <c r="N172" s="824" t="str">
        <f>IF(Y193="","",MAX(Y193:Y408))</f>
        <v/>
      </c>
      <c r="O172" s="824" t="str">
        <f>IF(AA193="","",MAX(AA193:AA408))</f>
        <v/>
      </c>
      <c r="P172" s="824" t="str">
        <f>IF(AC193="","",MAX(AC193:AC408))</f>
        <v/>
      </c>
      <c r="Q172" s="882" t="str">
        <f>IF(AE193="","",MAX(AE193:AE408))</f>
        <v/>
      </c>
      <c r="AJ172" s="125"/>
    </row>
    <row r="173" spans="1:36" x14ac:dyDescent="0.4">
      <c r="B173" s="270"/>
      <c r="C173" s="729" t="s">
        <v>587</v>
      </c>
      <c r="D173" s="824" t="str">
        <f>IF(E193="","",AVERAGE(
E193:E408,
G193:G408,
I193:I408,
K193:K408,
M193:M408,
O193:O408,
Q193:Q408,
S193:S408,
U193:U408,
W193:W408,
Y193:Y408,
AA193:AA408,
AC193:AC408,
AE193:AE408))</f>
        <v/>
      </c>
      <c r="E173" s="895"/>
      <c r="F173" s="895"/>
      <c r="G173" s="895"/>
      <c r="H173" s="895"/>
      <c r="I173" s="895"/>
      <c r="J173" s="895"/>
      <c r="K173" s="895"/>
      <c r="L173" s="895"/>
      <c r="M173" s="895"/>
      <c r="N173" s="895"/>
      <c r="O173" s="895"/>
      <c r="P173" s="895"/>
      <c r="Q173" s="896"/>
      <c r="AJ173" s="125"/>
    </row>
    <row r="174" spans="1:36" x14ac:dyDescent="0.4">
      <c r="B174" s="270"/>
      <c r="C174" s="140"/>
      <c r="D174" s="878"/>
      <c r="E174" s="895"/>
      <c r="F174" s="895"/>
      <c r="G174" s="895"/>
      <c r="H174" s="895"/>
      <c r="I174" s="895"/>
      <c r="J174" s="895"/>
      <c r="K174" s="895"/>
      <c r="L174" s="895"/>
      <c r="M174" s="895"/>
      <c r="N174" s="895"/>
      <c r="O174" s="895"/>
      <c r="P174" s="895"/>
      <c r="Q174" s="896"/>
      <c r="AJ174" s="125"/>
    </row>
    <row r="175" spans="1:36" x14ac:dyDescent="0.4">
      <c r="B175" s="270"/>
      <c r="C175" s="731" t="str">
        <f>IF(OR('General Info &amp; Test Results'!$F$13="Storage",'General Info &amp; Test Results'!$F$13=""),"Minimum Mean Tank Temperature, °F","NOT USED FOR THIS WATER HEATER TYPE")</f>
        <v>Minimum Mean Tank Temperature, °F</v>
      </c>
      <c r="D175" s="824" t="str">
        <f>IF(OR($D$413="",$D$122=""),"",IF($D$122="No",MIN($D$413:$D$1853),MIN($D$413:$D$1853,J413:$J$892)))</f>
        <v/>
      </c>
      <c r="E175" s="895"/>
      <c r="F175" s="895"/>
      <c r="G175" s="895"/>
      <c r="H175" s="895"/>
      <c r="I175" s="895"/>
      <c r="J175" s="895"/>
      <c r="K175" s="895"/>
      <c r="L175" s="895"/>
      <c r="M175" s="895"/>
      <c r="N175" s="895"/>
      <c r="O175" s="895"/>
      <c r="P175" s="895"/>
      <c r="Q175" s="896"/>
      <c r="AJ175" s="125"/>
    </row>
    <row r="176" spans="1:36" x14ac:dyDescent="0.4">
      <c r="B176" s="283"/>
      <c r="C176" s="729" t="str">
        <f>IF(OR('General Info &amp; Test Results'!$F$13="Storage",'General Info &amp; Test Results'!$F$13=""),"Average Mean Tank Temperature, °F","NOT USED FOR THIS WATER HEATER TYPE")</f>
        <v>Average Mean Tank Temperature, °F</v>
      </c>
      <c r="D176" s="824" t="str">
        <f>IF(OR($D$413="",$D$122=""),"",IF($D$122="No",AVERAGE($D$413:$D$1853),MIN($D$413:$D$1853,J414:$J$892)))</f>
        <v/>
      </c>
      <c r="E176" s="878"/>
      <c r="F176" s="878"/>
      <c r="G176" s="878"/>
      <c r="H176" s="878"/>
      <c r="I176" s="878"/>
      <c r="J176" s="878"/>
      <c r="K176" s="878"/>
      <c r="L176" s="878"/>
      <c r="M176" s="878"/>
      <c r="N176" s="878"/>
      <c r="O176" s="878"/>
      <c r="P176" s="878"/>
      <c r="Q176" s="885"/>
      <c r="AJ176" s="125"/>
    </row>
    <row r="177" spans="2:36" x14ac:dyDescent="0.4">
      <c r="B177" s="283"/>
      <c r="C177" s="731" t="str">
        <f>IF(OR('General Info &amp; Test Results'!$F$13="Storage",'General Info &amp; Test Results'!$F$13=""),"Maximum Mean Tank Temperature, °F","NOT USED FOR THIS WATER HEATER TYPE")</f>
        <v>Maximum Mean Tank Temperature, °F</v>
      </c>
      <c r="D177" s="824" t="str">
        <f>IF(OR($D$413="",$D$122=""),"",IF($D$122="No",MAX($D$413:$D$1853),MIN($D$413:$D$1853,J415:$J$892)))</f>
        <v/>
      </c>
      <c r="E177" s="878"/>
      <c r="F177" s="878"/>
      <c r="G177" s="878"/>
      <c r="H177" s="878"/>
      <c r="I177" s="878"/>
      <c r="J177" s="878"/>
      <c r="K177" s="878"/>
      <c r="L177" s="878"/>
      <c r="M177" s="878"/>
      <c r="N177" s="878"/>
      <c r="O177" s="878"/>
      <c r="P177" s="878"/>
      <c r="Q177" s="885"/>
      <c r="AJ177" s="125"/>
    </row>
    <row r="178" spans="2:36" x14ac:dyDescent="0.4">
      <c r="B178" s="270"/>
      <c r="C178" s="729" t="str">
        <f>IF(OR('General Info &amp; Test Results'!$F$13="Storage",'General Info &amp; Test Results'!$F$13=""),"Average Mean Tank Temperature, °F - Burner ON","NOT USED FOR THIS WATER HEATER TYPE")</f>
        <v>Average Mean Tank Temperature, °F - Burner ON</v>
      </c>
      <c r="D178" s="824" t="str">
        <f>IF(OR(D413="",D122=""),"",
IF(D122="No",
AVERAGEIF(G413:G1853,"ON",D413:D1853),
(SUMIF(G413:G1853,"ON",D413:D1853)+SUMIF(M413:M892,"ON",J413:J892))/(COUNTIFS(G413:G1853,"ON",D413:D1853,"&gt;0")+COUNTIFS(M413:M892,"ON",J413:J892,"&gt;0"))))</f>
        <v/>
      </c>
      <c r="E178" s="878"/>
      <c r="F178" s="878"/>
      <c r="G178" s="878"/>
      <c r="H178" s="878"/>
      <c r="I178" s="878"/>
      <c r="J178" s="878"/>
      <c r="K178" s="878"/>
      <c r="L178" s="878"/>
      <c r="M178" s="878"/>
      <c r="N178" s="878"/>
      <c r="O178" s="878"/>
      <c r="P178" s="878"/>
      <c r="Q178" s="885"/>
      <c r="AJ178" s="125"/>
    </row>
    <row r="179" spans="2:36" x14ac:dyDescent="0.4">
      <c r="B179" s="283"/>
      <c r="C179" s="729" t="str">
        <f>IF(OR('General Info &amp; Test Results'!$F$13="Storage",'General Info &amp; Test Results'!$F$13=""),"Average Mean Tank Temperature, °F - Burner OFF","NOT USED FOR THIS WATER HEATER TYPE")</f>
        <v>Average Mean Tank Temperature, °F - Burner OFF</v>
      </c>
      <c r="D179" s="824" t="str">
        <f>IF(OR(D413="",D122=""),"",
IF(D122="No",
AVERAGEIF(G413:G1853,"OFF",D413:D1853),
(SUMIF(G413:G1853,"OFF",D413:D1853)+SUMIF(M413:M892,"OFF",J413:J892))/(COUNTIFS(G413:G1853,"OFF",D413:D1853,"&gt;0")+COUNTIFS(M413:M892,"OFF",J413:J892,"&gt;0"))))</f>
        <v/>
      </c>
      <c r="E179" s="878"/>
      <c r="F179" s="878"/>
      <c r="G179" s="878"/>
      <c r="H179" s="878"/>
      <c r="I179" s="878"/>
      <c r="J179" s="878"/>
      <c r="K179" s="878"/>
      <c r="L179" s="878"/>
      <c r="M179" s="878"/>
      <c r="N179" s="878"/>
      <c r="O179" s="878"/>
      <c r="P179" s="878"/>
      <c r="Q179" s="885"/>
      <c r="AJ179" s="125"/>
    </row>
    <row r="180" spans="2:36" x14ac:dyDescent="0.4">
      <c r="B180" s="283"/>
      <c r="C180" s="729" t="str">
        <f>IF(OR('General Info &amp; Test Results'!$F$13="Storage",'General Info &amp; Test Results'!$F$13=""),"Average Mean Tank Temperature, °F - Draw ON","NOT USED FOR THIS WATER HEATER TYPE")</f>
        <v>Average Mean Tank Temperature, °F - Draw ON</v>
      </c>
      <c r="D180" s="824" t="str">
        <f>IF(OR(D413="",D122=""),"",
IF(D122="No",
AVERAGEIF(F413:F1853,"ON",D413:D1853),
(SUMIF(F413:F1853,"ON",D413:D1853)+SUMIF(L413:L892,"ON",J413:J892))/(COUNTIFS(F413:F1853,"ON",D413:D1853,"&gt;0")+COUNTIFS(L413:L892,"ON",J413:J892,"&gt;0"))))</f>
        <v/>
      </c>
      <c r="E180" s="878"/>
      <c r="F180" s="878"/>
      <c r="G180" s="878"/>
      <c r="H180" s="878"/>
      <c r="I180" s="878"/>
      <c r="J180" s="878"/>
      <c r="K180" s="878"/>
      <c r="L180" s="878"/>
      <c r="M180" s="878"/>
      <c r="N180" s="878"/>
      <c r="O180" s="878"/>
      <c r="P180" s="878"/>
      <c r="Q180" s="885"/>
      <c r="AJ180" s="125"/>
    </row>
    <row r="181" spans="2:36" x14ac:dyDescent="0.4">
      <c r="B181" s="283"/>
      <c r="C181" s="729" t="str">
        <f>IF(OR('General Info &amp; Test Results'!$F$13="Storage",'General Info &amp; Test Results'!$F$13=""),"Average Mean Tank Temperature, °F - Draw OFF","NOT USED FOR THIS WATER HEATER TYPE")</f>
        <v>Average Mean Tank Temperature, °F - Draw OFF</v>
      </c>
      <c r="D181" s="824" t="str">
        <f>IF(OR(D413="",D122=""),"",
IF(D122="No",
AVERAGEIF(F413:F1853,"OFF",D413:D1853),
(SUMIF(F413:F1853,"OFF",D413:D1853)+SUMIF(L413:L892,"OFF",J413:J892))/(COUNTIFS(F413:F1853,"OFF",D413:D1853,"&gt;0")+COUNTIFS(L413:L892,"OFF",J413:J892,"&gt;0"))))</f>
        <v/>
      </c>
      <c r="E181" s="878"/>
      <c r="F181" s="878"/>
      <c r="G181" s="878"/>
      <c r="H181" s="878"/>
      <c r="I181" s="878"/>
      <c r="J181" s="878"/>
      <c r="K181" s="878"/>
      <c r="L181" s="878"/>
      <c r="M181" s="878"/>
      <c r="N181" s="878"/>
      <c r="O181" s="878"/>
      <c r="P181" s="878"/>
      <c r="Q181" s="885"/>
      <c r="AJ181" s="125"/>
    </row>
    <row r="182" spans="2:36" x14ac:dyDescent="0.4">
      <c r="B182" s="283"/>
      <c r="C182" s="140"/>
      <c r="D182" s="878"/>
      <c r="E182" s="878"/>
      <c r="F182" s="878"/>
      <c r="G182" s="878"/>
      <c r="H182" s="878"/>
      <c r="I182" s="878"/>
      <c r="J182" s="878"/>
      <c r="K182" s="878"/>
      <c r="L182" s="878"/>
      <c r="M182" s="878"/>
      <c r="N182" s="878"/>
      <c r="O182" s="878"/>
      <c r="P182" s="878"/>
      <c r="Q182" s="885"/>
      <c r="AJ182" s="125"/>
    </row>
    <row r="183" spans="2:36" x14ac:dyDescent="0.4">
      <c r="B183" s="283"/>
      <c r="C183" s="731" t="s">
        <v>441</v>
      </c>
      <c r="D183" s="824" t="str">
        <f>IF($E$413="","",MIN($E$413:$E$1853))</f>
        <v/>
      </c>
      <c r="E183" s="878"/>
      <c r="F183" s="878"/>
      <c r="G183" s="878"/>
      <c r="H183" s="878"/>
      <c r="I183" s="878"/>
      <c r="J183" s="878"/>
      <c r="K183" s="878"/>
      <c r="L183" s="878"/>
      <c r="M183" s="878"/>
      <c r="N183" s="878"/>
      <c r="O183" s="878"/>
      <c r="P183" s="878"/>
      <c r="Q183" s="885"/>
      <c r="AJ183" s="125"/>
    </row>
    <row r="184" spans="2:36" x14ac:dyDescent="0.4">
      <c r="B184" s="283"/>
      <c r="C184" s="731" t="s">
        <v>442</v>
      </c>
      <c r="D184" s="824" t="str">
        <f>IF($E$413="","",MAX($E$413:$E$1853))</f>
        <v/>
      </c>
      <c r="E184" s="878"/>
      <c r="F184" s="878"/>
      <c r="G184" s="878"/>
      <c r="H184" s="878"/>
      <c r="I184" s="878"/>
      <c r="J184" s="878"/>
      <c r="K184" s="878"/>
      <c r="L184" s="878"/>
      <c r="M184" s="878"/>
      <c r="N184" s="878"/>
      <c r="O184" s="878"/>
      <c r="P184" s="878"/>
      <c r="Q184" s="885"/>
      <c r="AJ184" s="125"/>
    </row>
    <row r="185" spans="2:36" ht="16" thickBot="1" x14ac:dyDescent="0.45">
      <c r="B185" s="306"/>
      <c r="C185" s="751" t="str">
        <f>"Ambient Temperature Within Tolerance of " &amp; TEXT(Constants!$C$46,"#.#") &amp; "°F ± " &amp; TEXT(Constants!$E$46,"#.#") &amp; " °F?"</f>
        <v>Ambient Temperature Within Tolerance of 67.5°F ± 2.5 °F?</v>
      </c>
      <c r="D185" s="897" t="str">
        <f>IF(D184="","",IF(AND(D183&gt;=Constants!$C$46-Constants!$E$46,D184&lt;=Constants!$C$46+Constants!$E$46),"Yes","No"))</f>
        <v/>
      </c>
      <c r="E185" s="898"/>
      <c r="F185" s="898"/>
      <c r="G185" s="898"/>
      <c r="H185" s="898"/>
      <c r="I185" s="898"/>
      <c r="J185" s="898"/>
      <c r="K185" s="898"/>
      <c r="L185" s="898"/>
      <c r="M185" s="898"/>
      <c r="N185" s="898"/>
      <c r="O185" s="898"/>
      <c r="P185" s="898"/>
      <c r="Q185" s="899"/>
      <c r="AJ185" s="125"/>
    </row>
    <row r="186" spans="2:36" x14ac:dyDescent="0.4">
      <c r="B186" s="75"/>
      <c r="AJ186" s="125"/>
    </row>
    <row r="187" spans="2:36" x14ac:dyDescent="0.4">
      <c r="B187" s="75"/>
      <c r="AJ187" s="125"/>
    </row>
    <row r="188" spans="2:36" ht="16" thickBot="1" x14ac:dyDescent="0.45">
      <c r="D188" s="337"/>
      <c r="E188" s="337"/>
      <c r="F188" s="337"/>
      <c r="G188" s="337"/>
      <c r="H188" s="337"/>
      <c r="I188" s="337"/>
      <c r="J188" s="337"/>
      <c r="K188" s="337"/>
      <c r="L188" s="337"/>
      <c r="M188" s="337"/>
      <c r="N188" s="337"/>
      <c r="O188" s="337"/>
      <c r="P188" s="337"/>
      <c r="Q188" s="337"/>
      <c r="AJ188" s="125"/>
    </row>
    <row r="189" spans="2:36" s="113" customFormat="1" ht="17.25" customHeight="1" thickBot="1" x14ac:dyDescent="0.45">
      <c r="B189" s="80"/>
      <c r="C189" s="1170" t="s">
        <v>176</v>
      </c>
      <c r="D189" s="1171"/>
      <c r="E189" s="1171"/>
      <c r="F189" s="1171"/>
      <c r="G189" s="1171"/>
      <c r="H189" s="1171"/>
      <c r="I189" s="1171"/>
      <c r="J189" s="1171"/>
      <c r="K189" s="1171"/>
      <c r="L189" s="1171"/>
      <c r="M189" s="1171"/>
      <c r="N189" s="1171"/>
      <c r="O189" s="1171"/>
      <c r="P189" s="1171"/>
      <c r="Q189" s="1171"/>
      <c r="R189" s="1171"/>
      <c r="S189" s="1171"/>
      <c r="T189" s="1171"/>
      <c r="U189" s="1171"/>
      <c r="V189" s="1171"/>
      <c r="W189" s="1171"/>
      <c r="X189" s="1171"/>
      <c r="Y189" s="1171"/>
      <c r="Z189" s="1171"/>
      <c r="AA189" s="1171"/>
      <c r="AB189" s="1171"/>
      <c r="AC189" s="1171"/>
      <c r="AD189" s="1171"/>
      <c r="AE189" s="1171"/>
      <c r="AF189" s="1172"/>
      <c r="AJ189" s="338"/>
    </row>
    <row r="190" spans="2:36" s="113" customFormat="1" ht="16" thickBot="1" x14ac:dyDescent="0.45">
      <c r="B190" s="80"/>
      <c r="C190" s="1173" t="s">
        <v>542</v>
      </c>
      <c r="D190" s="1174"/>
      <c r="E190" s="1174"/>
      <c r="F190" s="1174"/>
      <c r="G190" s="1174"/>
      <c r="H190" s="1174"/>
      <c r="I190" s="1174"/>
      <c r="J190" s="1174"/>
      <c r="K190" s="1174"/>
      <c r="L190" s="1174"/>
      <c r="M190" s="1174"/>
      <c r="N190" s="1174"/>
      <c r="O190" s="1174"/>
      <c r="P190" s="1174"/>
      <c r="Q190" s="1174"/>
      <c r="R190" s="1174"/>
      <c r="S190" s="1174"/>
      <c r="T190" s="1174"/>
      <c r="U190" s="1174"/>
      <c r="V190" s="1174"/>
      <c r="W190" s="1174"/>
      <c r="X190" s="1174"/>
      <c r="Y190" s="1174"/>
      <c r="Z190" s="1174"/>
      <c r="AA190" s="1174"/>
      <c r="AB190" s="1174"/>
      <c r="AC190" s="1174"/>
      <c r="AD190" s="1174"/>
      <c r="AE190" s="1174"/>
      <c r="AF190" s="1175"/>
      <c r="AJ190" s="338"/>
    </row>
    <row r="191" spans="2:36" s="113" customFormat="1" x14ac:dyDescent="0.4">
      <c r="B191" s="80"/>
      <c r="C191" s="1168" t="s">
        <v>175</v>
      </c>
      <c r="D191" s="1161" t="s">
        <v>161</v>
      </c>
      <c r="E191" s="1162"/>
      <c r="F191" s="1163" t="s">
        <v>162</v>
      </c>
      <c r="G191" s="1163"/>
      <c r="H191" s="1161" t="s">
        <v>163</v>
      </c>
      <c r="I191" s="1162"/>
      <c r="J191" s="1163" t="s">
        <v>164</v>
      </c>
      <c r="K191" s="1163"/>
      <c r="L191" s="1161" t="s">
        <v>165</v>
      </c>
      <c r="M191" s="1162"/>
      <c r="N191" s="1163" t="s">
        <v>166</v>
      </c>
      <c r="O191" s="1163"/>
      <c r="P191" s="1161" t="s">
        <v>167</v>
      </c>
      <c r="Q191" s="1162"/>
      <c r="R191" s="1163" t="s">
        <v>168</v>
      </c>
      <c r="S191" s="1163"/>
      <c r="T191" s="1161" t="s">
        <v>169</v>
      </c>
      <c r="U191" s="1162"/>
      <c r="V191" s="1163" t="s">
        <v>170</v>
      </c>
      <c r="W191" s="1163"/>
      <c r="X191" s="1161" t="s">
        <v>171</v>
      </c>
      <c r="Y191" s="1162"/>
      <c r="Z191" s="1163" t="s">
        <v>172</v>
      </c>
      <c r="AA191" s="1163"/>
      <c r="AB191" s="1161" t="s">
        <v>173</v>
      </c>
      <c r="AC191" s="1162"/>
      <c r="AD191" s="1163" t="s">
        <v>174</v>
      </c>
      <c r="AE191" s="1163"/>
      <c r="AF191" s="1166" t="s">
        <v>175</v>
      </c>
      <c r="AJ191" s="338"/>
    </row>
    <row r="192" spans="2:36" s="113" customFormat="1" ht="18.75" customHeight="1" thickBot="1" x14ac:dyDescent="0.45">
      <c r="B192" s="80"/>
      <c r="C192" s="1169"/>
      <c r="D192" s="126" t="s">
        <v>177</v>
      </c>
      <c r="E192" s="127" t="s">
        <v>178</v>
      </c>
      <c r="F192" s="128" t="s">
        <v>177</v>
      </c>
      <c r="G192" s="129" t="s">
        <v>178</v>
      </c>
      <c r="H192" s="126" t="s">
        <v>177</v>
      </c>
      <c r="I192" s="127" t="s">
        <v>178</v>
      </c>
      <c r="J192" s="128" t="s">
        <v>177</v>
      </c>
      <c r="K192" s="129" t="s">
        <v>178</v>
      </c>
      <c r="L192" s="126" t="s">
        <v>177</v>
      </c>
      <c r="M192" s="127" t="s">
        <v>178</v>
      </c>
      <c r="N192" s="128" t="s">
        <v>177</v>
      </c>
      <c r="O192" s="129" t="s">
        <v>178</v>
      </c>
      <c r="P192" s="126" t="s">
        <v>177</v>
      </c>
      <c r="Q192" s="127" t="s">
        <v>178</v>
      </c>
      <c r="R192" s="128" t="s">
        <v>177</v>
      </c>
      <c r="S192" s="129" t="s">
        <v>178</v>
      </c>
      <c r="T192" s="126" t="s">
        <v>177</v>
      </c>
      <c r="U192" s="127" t="s">
        <v>178</v>
      </c>
      <c r="V192" s="128" t="s">
        <v>177</v>
      </c>
      <c r="W192" s="129" t="s">
        <v>178</v>
      </c>
      <c r="X192" s="126" t="s">
        <v>177</v>
      </c>
      <c r="Y192" s="127" t="s">
        <v>178</v>
      </c>
      <c r="Z192" s="128" t="s">
        <v>177</v>
      </c>
      <c r="AA192" s="129" t="s">
        <v>178</v>
      </c>
      <c r="AB192" s="126" t="s">
        <v>177</v>
      </c>
      <c r="AC192" s="127" t="s">
        <v>178</v>
      </c>
      <c r="AD192" s="128" t="s">
        <v>177</v>
      </c>
      <c r="AE192" s="129" t="s">
        <v>178</v>
      </c>
      <c r="AF192" s="1167"/>
      <c r="AJ192" s="338"/>
    </row>
    <row r="193" spans="2:36" s="113" customFormat="1" x14ac:dyDescent="0.4">
      <c r="B193" s="80"/>
      <c r="C193" s="565">
        <v>5</v>
      </c>
      <c r="D193" s="900"/>
      <c r="E193" s="901"/>
      <c r="F193" s="902"/>
      <c r="G193" s="903"/>
      <c r="H193" s="900"/>
      <c r="I193" s="901"/>
      <c r="J193" s="902"/>
      <c r="K193" s="903"/>
      <c r="L193" s="900"/>
      <c r="M193" s="901"/>
      <c r="N193" s="902"/>
      <c r="O193" s="903"/>
      <c r="P193" s="900"/>
      <c r="Q193" s="901"/>
      <c r="R193" s="902"/>
      <c r="S193" s="903"/>
      <c r="T193" s="904"/>
      <c r="U193" s="901"/>
      <c r="V193" s="902"/>
      <c r="W193" s="903"/>
      <c r="X193" s="900"/>
      <c r="Y193" s="901"/>
      <c r="Z193" s="902"/>
      <c r="AA193" s="903"/>
      <c r="AB193" s="900"/>
      <c r="AC193" s="901"/>
      <c r="AD193" s="902"/>
      <c r="AE193" s="903"/>
      <c r="AF193" s="562">
        <v>5</v>
      </c>
      <c r="AJ193" s="338"/>
    </row>
    <row r="194" spans="2:36" s="113" customFormat="1" x14ac:dyDescent="0.4">
      <c r="B194" s="80"/>
      <c r="C194" s="566">
        <v>8</v>
      </c>
      <c r="D194" s="905"/>
      <c r="E194" s="906"/>
      <c r="F194" s="907"/>
      <c r="G194" s="908"/>
      <c r="H194" s="905"/>
      <c r="I194" s="906"/>
      <c r="J194" s="907"/>
      <c r="K194" s="908"/>
      <c r="L194" s="905"/>
      <c r="M194" s="906"/>
      <c r="N194" s="907"/>
      <c r="O194" s="908"/>
      <c r="P194" s="905"/>
      <c r="Q194" s="906"/>
      <c r="R194" s="907"/>
      <c r="S194" s="908"/>
      <c r="T194" s="909"/>
      <c r="U194" s="906"/>
      <c r="V194" s="907"/>
      <c r="W194" s="908"/>
      <c r="X194" s="905"/>
      <c r="Y194" s="906"/>
      <c r="Z194" s="907"/>
      <c r="AA194" s="908"/>
      <c r="AB194" s="905"/>
      <c r="AC194" s="906"/>
      <c r="AD194" s="907"/>
      <c r="AE194" s="908"/>
      <c r="AF194" s="563">
        <v>8</v>
      </c>
      <c r="AJ194" s="338"/>
    </row>
    <row r="195" spans="2:36" s="113" customFormat="1" x14ac:dyDescent="0.4">
      <c r="B195" s="80"/>
      <c r="C195" s="566">
        <v>11</v>
      </c>
      <c r="D195" s="905"/>
      <c r="E195" s="906"/>
      <c r="F195" s="907"/>
      <c r="G195" s="908"/>
      <c r="H195" s="905"/>
      <c r="I195" s="906"/>
      <c r="J195" s="907"/>
      <c r="K195" s="908"/>
      <c r="L195" s="905"/>
      <c r="M195" s="906"/>
      <c r="N195" s="907"/>
      <c r="O195" s="908"/>
      <c r="P195" s="905"/>
      <c r="Q195" s="906"/>
      <c r="R195" s="907"/>
      <c r="S195" s="908"/>
      <c r="T195" s="909"/>
      <c r="U195" s="906"/>
      <c r="V195" s="907"/>
      <c r="W195" s="908"/>
      <c r="X195" s="905"/>
      <c r="Y195" s="906"/>
      <c r="Z195" s="907"/>
      <c r="AA195" s="908"/>
      <c r="AB195" s="905"/>
      <c r="AC195" s="906"/>
      <c r="AD195" s="907"/>
      <c r="AE195" s="908"/>
      <c r="AF195" s="563">
        <v>11</v>
      </c>
      <c r="AJ195" s="338"/>
    </row>
    <row r="196" spans="2:36" s="113" customFormat="1" x14ac:dyDescent="0.4">
      <c r="B196" s="80"/>
      <c r="C196" s="566">
        <v>14</v>
      </c>
      <c r="D196" s="905"/>
      <c r="E196" s="906"/>
      <c r="F196" s="907"/>
      <c r="G196" s="908"/>
      <c r="H196" s="905"/>
      <c r="I196" s="906"/>
      <c r="J196" s="907"/>
      <c r="K196" s="908"/>
      <c r="L196" s="905"/>
      <c r="M196" s="906"/>
      <c r="N196" s="907"/>
      <c r="O196" s="908"/>
      <c r="P196" s="905"/>
      <c r="Q196" s="906"/>
      <c r="R196" s="907"/>
      <c r="S196" s="908"/>
      <c r="T196" s="909"/>
      <c r="U196" s="906"/>
      <c r="V196" s="907"/>
      <c r="W196" s="908"/>
      <c r="X196" s="905"/>
      <c r="Y196" s="906"/>
      <c r="Z196" s="907"/>
      <c r="AA196" s="908"/>
      <c r="AB196" s="905"/>
      <c r="AC196" s="906"/>
      <c r="AD196" s="907"/>
      <c r="AE196" s="908"/>
      <c r="AF196" s="563">
        <v>14</v>
      </c>
      <c r="AJ196" s="338"/>
    </row>
    <row r="197" spans="2:36" s="113" customFormat="1" x14ac:dyDescent="0.4">
      <c r="B197" s="80"/>
      <c r="C197" s="566">
        <v>17</v>
      </c>
      <c r="D197" s="905"/>
      <c r="E197" s="906"/>
      <c r="F197" s="907"/>
      <c r="G197" s="908"/>
      <c r="H197" s="905"/>
      <c r="I197" s="906"/>
      <c r="J197" s="907"/>
      <c r="K197" s="908"/>
      <c r="L197" s="905"/>
      <c r="M197" s="906"/>
      <c r="N197" s="907"/>
      <c r="O197" s="908"/>
      <c r="P197" s="905"/>
      <c r="Q197" s="906"/>
      <c r="R197" s="907"/>
      <c r="S197" s="908"/>
      <c r="T197" s="909"/>
      <c r="U197" s="906"/>
      <c r="V197" s="907"/>
      <c r="W197" s="908"/>
      <c r="X197" s="905"/>
      <c r="Y197" s="906"/>
      <c r="Z197" s="907"/>
      <c r="AA197" s="908"/>
      <c r="AB197" s="905"/>
      <c r="AC197" s="906"/>
      <c r="AD197" s="907"/>
      <c r="AE197" s="908"/>
      <c r="AF197" s="563">
        <v>17</v>
      </c>
      <c r="AJ197" s="338"/>
    </row>
    <row r="198" spans="2:36" s="113" customFormat="1" x14ac:dyDescent="0.4">
      <c r="B198" s="80"/>
      <c r="C198" s="566">
        <v>20</v>
      </c>
      <c r="D198" s="905"/>
      <c r="E198" s="906"/>
      <c r="F198" s="907"/>
      <c r="G198" s="908"/>
      <c r="H198" s="905"/>
      <c r="I198" s="906"/>
      <c r="J198" s="907"/>
      <c r="K198" s="908"/>
      <c r="L198" s="905"/>
      <c r="M198" s="906"/>
      <c r="N198" s="907"/>
      <c r="O198" s="908"/>
      <c r="P198" s="905"/>
      <c r="Q198" s="906"/>
      <c r="R198" s="907"/>
      <c r="S198" s="908"/>
      <c r="T198" s="909"/>
      <c r="U198" s="906"/>
      <c r="V198" s="907"/>
      <c r="W198" s="908"/>
      <c r="X198" s="905"/>
      <c r="Y198" s="906"/>
      <c r="Z198" s="907"/>
      <c r="AA198" s="908"/>
      <c r="AB198" s="905"/>
      <c r="AC198" s="906"/>
      <c r="AD198" s="907"/>
      <c r="AE198" s="908"/>
      <c r="AF198" s="563">
        <v>20</v>
      </c>
      <c r="AJ198" s="338"/>
    </row>
    <row r="199" spans="2:36" s="113" customFormat="1" x14ac:dyDescent="0.4">
      <c r="B199" s="80"/>
      <c r="C199" s="566">
        <v>23</v>
      </c>
      <c r="D199" s="905"/>
      <c r="E199" s="906"/>
      <c r="F199" s="907"/>
      <c r="G199" s="908"/>
      <c r="H199" s="905"/>
      <c r="I199" s="906"/>
      <c r="J199" s="907"/>
      <c r="K199" s="908"/>
      <c r="L199" s="905"/>
      <c r="M199" s="906"/>
      <c r="N199" s="907"/>
      <c r="O199" s="908"/>
      <c r="P199" s="905"/>
      <c r="Q199" s="906"/>
      <c r="R199" s="907"/>
      <c r="S199" s="908"/>
      <c r="T199" s="909"/>
      <c r="U199" s="906"/>
      <c r="V199" s="907"/>
      <c r="W199" s="908"/>
      <c r="X199" s="905"/>
      <c r="Y199" s="906"/>
      <c r="Z199" s="907"/>
      <c r="AA199" s="908"/>
      <c r="AB199" s="905"/>
      <c r="AC199" s="906"/>
      <c r="AD199" s="907"/>
      <c r="AE199" s="908"/>
      <c r="AF199" s="563">
        <v>23</v>
      </c>
      <c r="AJ199" s="338"/>
    </row>
    <row r="200" spans="2:36" s="113" customFormat="1" x14ac:dyDescent="0.4">
      <c r="B200" s="80"/>
      <c r="C200" s="566">
        <v>26</v>
      </c>
      <c r="D200" s="905"/>
      <c r="E200" s="906"/>
      <c r="F200" s="907"/>
      <c r="G200" s="908"/>
      <c r="H200" s="905"/>
      <c r="I200" s="906"/>
      <c r="J200" s="907"/>
      <c r="K200" s="908"/>
      <c r="L200" s="905"/>
      <c r="M200" s="906"/>
      <c r="N200" s="907"/>
      <c r="O200" s="908"/>
      <c r="P200" s="905"/>
      <c r="Q200" s="906"/>
      <c r="R200" s="907"/>
      <c r="S200" s="908"/>
      <c r="T200" s="909"/>
      <c r="U200" s="906"/>
      <c r="V200" s="907"/>
      <c r="W200" s="908"/>
      <c r="X200" s="905"/>
      <c r="Y200" s="906"/>
      <c r="Z200" s="907"/>
      <c r="AA200" s="908"/>
      <c r="AB200" s="905"/>
      <c r="AC200" s="906"/>
      <c r="AD200" s="907"/>
      <c r="AE200" s="908"/>
      <c r="AF200" s="563">
        <v>26</v>
      </c>
      <c r="AJ200" s="338"/>
    </row>
    <row r="201" spans="2:36" s="113" customFormat="1" x14ac:dyDescent="0.4">
      <c r="B201" s="80"/>
      <c r="C201" s="566">
        <v>29</v>
      </c>
      <c r="D201" s="905"/>
      <c r="E201" s="906"/>
      <c r="F201" s="907"/>
      <c r="G201" s="908"/>
      <c r="H201" s="905"/>
      <c r="I201" s="906"/>
      <c r="J201" s="907"/>
      <c r="K201" s="908"/>
      <c r="L201" s="905"/>
      <c r="M201" s="906"/>
      <c r="N201" s="907"/>
      <c r="O201" s="908"/>
      <c r="P201" s="905"/>
      <c r="Q201" s="906"/>
      <c r="R201" s="907"/>
      <c r="S201" s="908"/>
      <c r="T201" s="909"/>
      <c r="U201" s="906"/>
      <c r="V201" s="907"/>
      <c r="W201" s="908"/>
      <c r="X201" s="905"/>
      <c r="Y201" s="906"/>
      <c r="Z201" s="907"/>
      <c r="AA201" s="908"/>
      <c r="AB201" s="905"/>
      <c r="AC201" s="906"/>
      <c r="AD201" s="907"/>
      <c r="AE201" s="908"/>
      <c r="AF201" s="563">
        <v>29</v>
      </c>
      <c r="AJ201" s="338"/>
    </row>
    <row r="202" spans="2:36" s="113" customFormat="1" x14ac:dyDescent="0.4">
      <c r="B202" s="80"/>
      <c r="C202" s="566">
        <v>32</v>
      </c>
      <c r="D202" s="905"/>
      <c r="E202" s="906"/>
      <c r="F202" s="907"/>
      <c r="G202" s="908"/>
      <c r="H202" s="905"/>
      <c r="I202" s="906"/>
      <c r="J202" s="907"/>
      <c r="K202" s="908"/>
      <c r="L202" s="905"/>
      <c r="M202" s="906"/>
      <c r="N202" s="907"/>
      <c r="O202" s="908"/>
      <c r="P202" s="905"/>
      <c r="Q202" s="906"/>
      <c r="R202" s="907"/>
      <c r="S202" s="908"/>
      <c r="T202" s="909"/>
      <c r="U202" s="906"/>
      <c r="V202" s="907"/>
      <c r="W202" s="908"/>
      <c r="X202" s="905"/>
      <c r="Y202" s="906"/>
      <c r="Z202" s="907"/>
      <c r="AA202" s="908"/>
      <c r="AB202" s="905"/>
      <c r="AC202" s="906"/>
      <c r="AD202" s="907"/>
      <c r="AE202" s="908"/>
      <c r="AF202" s="563">
        <v>32</v>
      </c>
      <c r="AJ202" s="338"/>
    </row>
    <row r="203" spans="2:36" s="113" customFormat="1" x14ac:dyDescent="0.4">
      <c r="B203" s="80"/>
      <c r="C203" s="566">
        <v>35</v>
      </c>
      <c r="D203" s="905"/>
      <c r="E203" s="906"/>
      <c r="F203" s="907"/>
      <c r="G203" s="908"/>
      <c r="H203" s="905"/>
      <c r="I203" s="906"/>
      <c r="J203" s="907"/>
      <c r="K203" s="908"/>
      <c r="L203" s="905"/>
      <c r="M203" s="906"/>
      <c r="N203" s="907"/>
      <c r="O203" s="908"/>
      <c r="P203" s="905"/>
      <c r="Q203" s="906"/>
      <c r="R203" s="907"/>
      <c r="S203" s="908"/>
      <c r="T203" s="909"/>
      <c r="U203" s="906"/>
      <c r="V203" s="907"/>
      <c r="W203" s="908"/>
      <c r="X203" s="905"/>
      <c r="Y203" s="906"/>
      <c r="Z203" s="907"/>
      <c r="AA203" s="908"/>
      <c r="AB203" s="905"/>
      <c r="AC203" s="906"/>
      <c r="AD203" s="907"/>
      <c r="AE203" s="908"/>
      <c r="AF203" s="563">
        <v>35</v>
      </c>
      <c r="AJ203" s="338"/>
    </row>
    <row r="204" spans="2:36" s="113" customFormat="1" x14ac:dyDescent="0.4">
      <c r="B204" s="80"/>
      <c r="C204" s="566">
        <v>38</v>
      </c>
      <c r="D204" s="905"/>
      <c r="E204" s="906"/>
      <c r="F204" s="907"/>
      <c r="G204" s="908"/>
      <c r="H204" s="905"/>
      <c r="I204" s="906"/>
      <c r="J204" s="907"/>
      <c r="K204" s="908"/>
      <c r="L204" s="905"/>
      <c r="M204" s="906"/>
      <c r="N204" s="907"/>
      <c r="O204" s="908"/>
      <c r="P204" s="905"/>
      <c r="Q204" s="906"/>
      <c r="R204" s="907"/>
      <c r="S204" s="908"/>
      <c r="T204" s="909"/>
      <c r="U204" s="906"/>
      <c r="V204" s="907"/>
      <c r="W204" s="908"/>
      <c r="X204" s="905"/>
      <c r="Y204" s="906"/>
      <c r="Z204" s="907"/>
      <c r="AA204" s="908"/>
      <c r="AB204" s="905"/>
      <c r="AC204" s="906"/>
      <c r="AD204" s="907"/>
      <c r="AE204" s="908"/>
      <c r="AF204" s="563">
        <v>38</v>
      </c>
      <c r="AJ204" s="338"/>
    </row>
    <row r="205" spans="2:36" s="113" customFormat="1" x14ac:dyDescent="0.4">
      <c r="B205" s="80"/>
      <c r="C205" s="566">
        <v>41</v>
      </c>
      <c r="D205" s="905"/>
      <c r="E205" s="906"/>
      <c r="F205" s="907"/>
      <c r="G205" s="908"/>
      <c r="H205" s="905"/>
      <c r="I205" s="906"/>
      <c r="J205" s="907"/>
      <c r="K205" s="908"/>
      <c r="L205" s="905"/>
      <c r="M205" s="906"/>
      <c r="N205" s="907"/>
      <c r="O205" s="908"/>
      <c r="P205" s="905"/>
      <c r="Q205" s="906"/>
      <c r="R205" s="907"/>
      <c r="S205" s="908"/>
      <c r="T205" s="909"/>
      <c r="U205" s="906"/>
      <c r="V205" s="907"/>
      <c r="W205" s="908"/>
      <c r="X205" s="905"/>
      <c r="Y205" s="906"/>
      <c r="Z205" s="907"/>
      <c r="AA205" s="908"/>
      <c r="AB205" s="905"/>
      <c r="AC205" s="906"/>
      <c r="AD205" s="907"/>
      <c r="AE205" s="908"/>
      <c r="AF205" s="563">
        <v>41</v>
      </c>
      <c r="AJ205" s="338"/>
    </row>
    <row r="206" spans="2:36" s="113" customFormat="1" x14ac:dyDescent="0.4">
      <c r="B206" s="80"/>
      <c r="C206" s="566">
        <v>44</v>
      </c>
      <c r="D206" s="905"/>
      <c r="E206" s="906"/>
      <c r="F206" s="907"/>
      <c r="G206" s="908"/>
      <c r="H206" s="905"/>
      <c r="I206" s="906"/>
      <c r="J206" s="907"/>
      <c r="K206" s="908"/>
      <c r="L206" s="905"/>
      <c r="M206" s="906"/>
      <c r="N206" s="907"/>
      <c r="O206" s="908"/>
      <c r="P206" s="905"/>
      <c r="Q206" s="906"/>
      <c r="R206" s="907"/>
      <c r="S206" s="908"/>
      <c r="T206" s="909"/>
      <c r="U206" s="906"/>
      <c r="V206" s="907"/>
      <c r="W206" s="908"/>
      <c r="X206" s="905"/>
      <c r="Y206" s="906"/>
      <c r="Z206" s="907"/>
      <c r="AA206" s="908"/>
      <c r="AB206" s="905"/>
      <c r="AC206" s="906"/>
      <c r="AD206" s="907"/>
      <c r="AE206" s="908"/>
      <c r="AF206" s="563">
        <v>44</v>
      </c>
      <c r="AJ206" s="338"/>
    </row>
    <row r="207" spans="2:36" s="113" customFormat="1" x14ac:dyDescent="0.4">
      <c r="B207" s="80"/>
      <c r="C207" s="566">
        <v>47</v>
      </c>
      <c r="D207" s="905"/>
      <c r="E207" s="906"/>
      <c r="F207" s="907"/>
      <c r="G207" s="908"/>
      <c r="H207" s="905"/>
      <c r="I207" s="906"/>
      <c r="J207" s="907"/>
      <c r="K207" s="908"/>
      <c r="L207" s="905"/>
      <c r="M207" s="906"/>
      <c r="N207" s="907"/>
      <c r="O207" s="908"/>
      <c r="P207" s="905"/>
      <c r="Q207" s="906"/>
      <c r="R207" s="907"/>
      <c r="S207" s="908"/>
      <c r="T207" s="909"/>
      <c r="U207" s="906"/>
      <c r="V207" s="907"/>
      <c r="W207" s="908"/>
      <c r="X207" s="905"/>
      <c r="Y207" s="906"/>
      <c r="Z207" s="907"/>
      <c r="AA207" s="908"/>
      <c r="AB207" s="905"/>
      <c r="AC207" s="906"/>
      <c r="AD207" s="907"/>
      <c r="AE207" s="908"/>
      <c r="AF207" s="563">
        <v>47</v>
      </c>
      <c r="AJ207" s="338"/>
    </row>
    <row r="208" spans="2:36" s="113" customFormat="1" x14ac:dyDescent="0.4">
      <c r="B208" s="80"/>
      <c r="C208" s="566">
        <v>50</v>
      </c>
      <c r="D208" s="905"/>
      <c r="E208" s="906"/>
      <c r="F208" s="907"/>
      <c r="G208" s="908"/>
      <c r="H208" s="905"/>
      <c r="I208" s="906"/>
      <c r="J208" s="907"/>
      <c r="K208" s="908"/>
      <c r="L208" s="905"/>
      <c r="M208" s="906"/>
      <c r="N208" s="907"/>
      <c r="O208" s="908"/>
      <c r="P208" s="905"/>
      <c r="Q208" s="906"/>
      <c r="R208" s="907"/>
      <c r="S208" s="908"/>
      <c r="T208" s="909"/>
      <c r="U208" s="906"/>
      <c r="V208" s="907"/>
      <c r="W208" s="908"/>
      <c r="X208" s="905"/>
      <c r="Y208" s="906"/>
      <c r="Z208" s="907"/>
      <c r="AA208" s="908"/>
      <c r="AB208" s="905"/>
      <c r="AC208" s="906"/>
      <c r="AD208" s="907"/>
      <c r="AE208" s="908"/>
      <c r="AF208" s="563">
        <v>50</v>
      </c>
      <c r="AJ208" s="338"/>
    </row>
    <row r="209" spans="2:36" s="113" customFormat="1" x14ac:dyDescent="0.4">
      <c r="B209" s="80"/>
      <c r="C209" s="566">
        <v>53</v>
      </c>
      <c r="D209" s="905"/>
      <c r="E209" s="906"/>
      <c r="F209" s="907"/>
      <c r="G209" s="908"/>
      <c r="H209" s="905"/>
      <c r="I209" s="906"/>
      <c r="J209" s="907"/>
      <c r="K209" s="908"/>
      <c r="L209" s="905"/>
      <c r="M209" s="906"/>
      <c r="N209" s="907"/>
      <c r="O209" s="908"/>
      <c r="P209" s="905"/>
      <c r="Q209" s="906"/>
      <c r="R209" s="907"/>
      <c r="S209" s="908"/>
      <c r="T209" s="909"/>
      <c r="U209" s="906"/>
      <c r="V209" s="907"/>
      <c r="W209" s="908"/>
      <c r="X209" s="905"/>
      <c r="Y209" s="906"/>
      <c r="Z209" s="907"/>
      <c r="AA209" s="908"/>
      <c r="AB209" s="905"/>
      <c r="AC209" s="906"/>
      <c r="AD209" s="907"/>
      <c r="AE209" s="908"/>
      <c r="AF209" s="563">
        <v>53</v>
      </c>
      <c r="AJ209" s="338"/>
    </row>
    <row r="210" spans="2:36" s="113" customFormat="1" x14ac:dyDescent="0.4">
      <c r="B210" s="80"/>
      <c r="C210" s="566">
        <v>56</v>
      </c>
      <c r="D210" s="905"/>
      <c r="E210" s="906"/>
      <c r="F210" s="907"/>
      <c r="G210" s="908"/>
      <c r="H210" s="905"/>
      <c r="I210" s="906"/>
      <c r="J210" s="907"/>
      <c r="K210" s="908"/>
      <c r="L210" s="905"/>
      <c r="M210" s="906"/>
      <c r="N210" s="907"/>
      <c r="O210" s="908"/>
      <c r="P210" s="905"/>
      <c r="Q210" s="906"/>
      <c r="R210" s="907"/>
      <c r="S210" s="908"/>
      <c r="T210" s="909"/>
      <c r="U210" s="906"/>
      <c r="V210" s="907"/>
      <c r="W210" s="908"/>
      <c r="X210" s="905"/>
      <c r="Y210" s="906"/>
      <c r="Z210" s="907"/>
      <c r="AA210" s="908"/>
      <c r="AB210" s="905"/>
      <c r="AC210" s="906"/>
      <c r="AD210" s="907"/>
      <c r="AE210" s="908"/>
      <c r="AF210" s="563">
        <v>56</v>
      </c>
      <c r="AJ210" s="338"/>
    </row>
    <row r="211" spans="2:36" s="113" customFormat="1" x14ac:dyDescent="0.4">
      <c r="B211" s="80"/>
      <c r="C211" s="566">
        <v>59</v>
      </c>
      <c r="D211" s="905"/>
      <c r="E211" s="906"/>
      <c r="F211" s="907"/>
      <c r="G211" s="908"/>
      <c r="H211" s="905"/>
      <c r="I211" s="906"/>
      <c r="J211" s="907"/>
      <c r="K211" s="908"/>
      <c r="L211" s="905"/>
      <c r="M211" s="906"/>
      <c r="N211" s="907"/>
      <c r="O211" s="908"/>
      <c r="P211" s="905"/>
      <c r="Q211" s="906"/>
      <c r="R211" s="907"/>
      <c r="S211" s="908"/>
      <c r="T211" s="909"/>
      <c r="U211" s="906"/>
      <c r="V211" s="907"/>
      <c r="W211" s="908"/>
      <c r="X211" s="905"/>
      <c r="Y211" s="906"/>
      <c r="Z211" s="907"/>
      <c r="AA211" s="908"/>
      <c r="AB211" s="905"/>
      <c r="AC211" s="906"/>
      <c r="AD211" s="907"/>
      <c r="AE211" s="908"/>
      <c r="AF211" s="563">
        <v>59</v>
      </c>
      <c r="AJ211" s="338"/>
    </row>
    <row r="212" spans="2:36" s="113" customFormat="1" x14ac:dyDescent="0.4">
      <c r="B212" s="80"/>
      <c r="C212" s="566">
        <v>62</v>
      </c>
      <c r="D212" s="905"/>
      <c r="E212" s="906"/>
      <c r="F212" s="907"/>
      <c r="G212" s="908"/>
      <c r="H212" s="905"/>
      <c r="I212" s="906"/>
      <c r="J212" s="907"/>
      <c r="K212" s="908"/>
      <c r="L212" s="905"/>
      <c r="M212" s="906"/>
      <c r="N212" s="907"/>
      <c r="O212" s="908"/>
      <c r="P212" s="905"/>
      <c r="Q212" s="906"/>
      <c r="R212" s="907"/>
      <c r="S212" s="908"/>
      <c r="T212" s="909"/>
      <c r="U212" s="906"/>
      <c r="V212" s="907"/>
      <c r="W212" s="908"/>
      <c r="X212" s="905"/>
      <c r="Y212" s="906"/>
      <c r="Z212" s="907"/>
      <c r="AA212" s="908"/>
      <c r="AB212" s="905"/>
      <c r="AC212" s="906"/>
      <c r="AD212" s="907"/>
      <c r="AE212" s="908"/>
      <c r="AF212" s="563">
        <v>62</v>
      </c>
      <c r="AJ212" s="338"/>
    </row>
    <row r="213" spans="2:36" s="113" customFormat="1" ht="15" customHeight="1" x14ac:dyDescent="0.4">
      <c r="B213" s="80"/>
      <c r="C213" s="566">
        <v>65</v>
      </c>
      <c r="D213" s="905"/>
      <c r="E213" s="906"/>
      <c r="F213" s="907"/>
      <c r="G213" s="908"/>
      <c r="H213" s="905"/>
      <c r="I213" s="906"/>
      <c r="J213" s="907"/>
      <c r="K213" s="908"/>
      <c r="L213" s="905"/>
      <c r="M213" s="906"/>
      <c r="N213" s="907"/>
      <c r="O213" s="908"/>
      <c r="P213" s="905"/>
      <c r="Q213" s="906"/>
      <c r="R213" s="907"/>
      <c r="S213" s="908"/>
      <c r="T213" s="909"/>
      <c r="U213" s="906"/>
      <c r="V213" s="907"/>
      <c r="W213" s="908"/>
      <c r="X213" s="905"/>
      <c r="Y213" s="906"/>
      <c r="Z213" s="907"/>
      <c r="AA213" s="908"/>
      <c r="AB213" s="905"/>
      <c r="AC213" s="906"/>
      <c r="AD213" s="907"/>
      <c r="AE213" s="908"/>
      <c r="AF213" s="563">
        <v>65</v>
      </c>
      <c r="AJ213" s="338"/>
    </row>
    <row r="214" spans="2:36" s="113" customFormat="1" x14ac:dyDescent="0.4">
      <c r="B214" s="80"/>
      <c r="C214" s="566">
        <v>68</v>
      </c>
      <c r="D214" s="905"/>
      <c r="E214" s="906"/>
      <c r="F214" s="907"/>
      <c r="G214" s="908"/>
      <c r="H214" s="905"/>
      <c r="I214" s="906"/>
      <c r="J214" s="907"/>
      <c r="K214" s="908"/>
      <c r="L214" s="905"/>
      <c r="M214" s="906"/>
      <c r="N214" s="907"/>
      <c r="O214" s="908"/>
      <c r="P214" s="905"/>
      <c r="Q214" s="906"/>
      <c r="R214" s="907"/>
      <c r="S214" s="908"/>
      <c r="T214" s="909"/>
      <c r="U214" s="906"/>
      <c r="V214" s="907"/>
      <c r="W214" s="908"/>
      <c r="X214" s="905"/>
      <c r="Y214" s="906"/>
      <c r="Z214" s="907"/>
      <c r="AA214" s="908"/>
      <c r="AB214" s="905"/>
      <c r="AC214" s="906"/>
      <c r="AD214" s="907"/>
      <c r="AE214" s="908"/>
      <c r="AF214" s="563">
        <v>68</v>
      </c>
      <c r="AJ214" s="338"/>
    </row>
    <row r="215" spans="2:36" s="113" customFormat="1" x14ac:dyDescent="0.4">
      <c r="B215" s="80"/>
      <c r="C215" s="566">
        <v>71</v>
      </c>
      <c r="D215" s="905"/>
      <c r="E215" s="906"/>
      <c r="F215" s="907"/>
      <c r="G215" s="908"/>
      <c r="H215" s="905"/>
      <c r="I215" s="906"/>
      <c r="J215" s="907"/>
      <c r="K215" s="908"/>
      <c r="L215" s="905"/>
      <c r="M215" s="906"/>
      <c r="N215" s="907"/>
      <c r="O215" s="908"/>
      <c r="P215" s="905"/>
      <c r="Q215" s="906"/>
      <c r="R215" s="907"/>
      <c r="S215" s="908"/>
      <c r="T215" s="909"/>
      <c r="U215" s="906"/>
      <c r="V215" s="907"/>
      <c r="W215" s="908"/>
      <c r="X215" s="905"/>
      <c r="Y215" s="906"/>
      <c r="Z215" s="907"/>
      <c r="AA215" s="908"/>
      <c r="AB215" s="905"/>
      <c r="AC215" s="906"/>
      <c r="AD215" s="907"/>
      <c r="AE215" s="908"/>
      <c r="AF215" s="563">
        <v>71</v>
      </c>
      <c r="AJ215" s="338"/>
    </row>
    <row r="216" spans="2:36" s="113" customFormat="1" x14ac:dyDescent="0.4">
      <c r="B216" s="80"/>
      <c r="C216" s="566">
        <v>74</v>
      </c>
      <c r="D216" s="905"/>
      <c r="E216" s="906"/>
      <c r="F216" s="907"/>
      <c r="G216" s="908"/>
      <c r="H216" s="905"/>
      <c r="I216" s="906"/>
      <c r="J216" s="907"/>
      <c r="K216" s="908"/>
      <c r="L216" s="905"/>
      <c r="M216" s="906"/>
      <c r="N216" s="907"/>
      <c r="O216" s="908"/>
      <c r="P216" s="905"/>
      <c r="Q216" s="906"/>
      <c r="R216" s="907"/>
      <c r="S216" s="908"/>
      <c r="T216" s="909"/>
      <c r="U216" s="906"/>
      <c r="V216" s="907"/>
      <c r="W216" s="908"/>
      <c r="X216" s="905"/>
      <c r="Y216" s="906"/>
      <c r="Z216" s="907"/>
      <c r="AA216" s="908"/>
      <c r="AB216" s="905"/>
      <c r="AC216" s="906"/>
      <c r="AD216" s="907"/>
      <c r="AE216" s="908"/>
      <c r="AF216" s="563">
        <v>74</v>
      </c>
      <c r="AJ216" s="338"/>
    </row>
    <row r="217" spans="2:36" s="113" customFormat="1" x14ac:dyDescent="0.4">
      <c r="B217" s="80"/>
      <c r="C217" s="566">
        <v>77</v>
      </c>
      <c r="D217" s="905"/>
      <c r="E217" s="906"/>
      <c r="F217" s="907"/>
      <c r="G217" s="908"/>
      <c r="H217" s="905"/>
      <c r="I217" s="906"/>
      <c r="J217" s="907"/>
      <c r="K217" s="908"/>
      <c r="L217" s="905"/>
      <c r="M217" s="906"/>
      <c r="N217" s="907"/>
      <c r="O217" s="908"/>
      <c r="P217" s="905"/>
      <c r="Q217" s="906"/>
      <c r="R217" s="907"/>
      <c r="S217" s="908"/>
      <c r="T217" s="909"/>
      <c r="U217" s="906"/>
      <c r="V217" s="907"/>
      <c r="W217" s="908"/>
      <c r="X217" s="905"/>
      <c r="Y217" s="906"/>
      <c r="Z217" s="907"/>
      <c r="AA217" s="908"/>
      <c r="AB217" s="905"/>
      <c r="AC217" s="906"/>
      <c r="AD217" s="907"/>
      <c r="AE217" s="908"/>
      <c r="AF217" s="563">
        <v>77</v>
      </c>
      <c r="AJ217" s="338"/>
    </row>
    <row r="218" spans="2:36" s="113" customFormat="1" x14ac:dyDescent="0.4">
      <c r="B218" s="80"/>
      <c r="C218" s="566">
        <v>80</v>
      </c>
      <c r="D218" s="905"/>
      <c r="E218" s="906"/>
      <c r="F218" s="907"/>
      <c r="G218" s="908"/>
      <c r="H218" s="905"/>
      <c r="I218" s="906"/>
      <c r="J218" s="907"/>
      <c r="K218" s="908"/>
      <c r="L218" s="905"/>
      <c r="M218" s="906"/>
      <c r="N218" s="907"/>
      <c r="O218" s="908"/>
      <c r="P218" s="905"/>
      <c r="Q218" s="906"/>
      <c r="R218" s="907"/>
      <c r="S218" s="908"/>
      <c r="T218" s="909"/>
      <c r="U218" s="906"/>
      <c r="V218" s="907"/>
      <c r="W218" s="908"/>
      <c r="X218" s="905"/>
      <c r="Y218" s="906"/>
      <c r="Z218" s="907"/>
      <c r="AA218" s="908"/>
      <c r="AB218" s="905"/>
      <c r="AC218" s="906"/>
      <c r="AD218" s="907"/>
      <c r="AE218" s="908"/>
      <c r="AF218" s="563">
        <v>80</v>
      </c>
      <c r="AJ218" s="338"/>
    </row>
    <row r="219" spans="2:36" s="113" customFormat="1" x14ac:dyDescent="0.4">
      <c r="B219" s="80"/>
      <c r="C219" s="566">
        <v>83</v>
      </c>
      <c r="D219" s="905"/>
      <c r="E219" s="906"/>
      <c r="F219" s="907"/>
      <c r="G219" s="908"/>
      <c r="H219" s="905"/>
      <c r="I219" s="906"/>
      <c r="J219" s="907"/>
      <c r="K219" s="908"/>
      <c r="L219" s="905"/>
      <c r="M219" s="906"/>
      <c r="N219" s="907"/>
      <c r="O219" s="908"/>
      <c r="P219" s="905"/>
      <c r="Q219" s="906"/>
      <c r="R219" s="907"/>
      <c r="S219" s="908"/>
      <c r="T219" s="909"/>
      <c r="U219" s="906"/>
      <c r="V219" s="907"/>
      <c r="W219" s="908"/>
      <c r="X219" s="905"/>
      <c r="Y219" s="906"/>
      <c r="Z219" s="907"/>
      <c r="AA219" s="908"/>
      <c r="AB219" s="905"/>
      <c r="AC219" s="906"/>
      <c r="AD219" s="907"/>
      <c r="AE219" s="908"/>
      <c r="AF219" s="563">
        <v>83</v>
      </c>
      <c r="AJ219" s="338"/>
    </row>
    <row r="220" spans="2:36" s="113" customFormat="1" x14ac:dyDescent="0.4">
      <c r="B220" s="80"/>
      <c r="C220" s="566">
        <v>86</v>
      </c>
      <c r="D220" s="905"/>
      <c r="E220" s="906"/>
      <c r="F220" s="907"/>
      <c r="G220" s="908"/>
      <c r="H220" s="905"/>
      <c r="I220" s="906"/>
      <c r="J220" s="907"/>
      <c r="K220" s="908"/>
      <c r="L220" s="905"/>
      <c r="M220" s="906"/>
      <c r="N220" s="907"/>
      <c r="O220" s="908"/>
      <c r="P220" s="905"/>
      <c r="Q220" s="906"/>
      <c r="R220" s="907"/>
      <c r="S220" s="908"/>
      <c r="T220" s="909"/>
      <c r="U220" s="906"/>
      <c r="V220" s="907"/>
      <c r="W220" s="908"/>
      <c r="X220" s="905"/>
      <c r="Y220" s="906"/>
      <c r="Z220" s="907"/>
      <c r="AA220" s="908"/>
      <c r="AB220" s="905"/>
      <c r="AC220" s="906"/>
      <c r="AD220" s="907"/>
      <c r="AE220" s="908"/>
      <c r="AF220" s="563">
        <v>86</v>
      </c>
      <c r="AJ220" s="338"/>
    </row>
    <row r="221" spans="2:36" s="113" customFormat="1" x14ac:dyDescent="0.4">
      <c r="B221" s="80"/>
      <c r="C221" s="566">
        <v>89</v>
      </c>
      <c r="D221" s="905"/>
      <c r="E221" s="906"/>
      <c r="F221" s="907"/>
      <c r="G221" s="908"/>
      <c r="H221" s="905"/>
      <c r="I221" s="906"/>
      <c r="J221" s="907"/>
      <c r="K221" s="908"/>
      <c r="L221" s="905"/>
      <c r="M221" s="906"/>
      <c r="N221" s="907"/>
      <c r="O221" s="908"/>
      <c r="P221" s="905"/>
      <c r="Q221" s="906"/>
      <c r="R221" s="907"/>
      <c r="S221" s="908"/>
      <c r="T221" s="909"/>
      <c r="U221" s="906"/>
      <c r="V221" s="907"/>
      <c r="W221" s="908"/>
      <c r="X221" s="905"/>
      <c r="Y221" s="906"/>
      <c r="Z221" s="907"/>
      <c r="AA221" s="908"/>
      <c r="AB221" s="905"/>
      <c r="AC221" s="906"/>
      <c r="AD221" s="907"/>
      <c r="AE221" s="908"/>
      <c r="AF221" s="563">
        <v>89</v>
      </c>
      <c r="AJ221" s="338"/>
    </row>
    <row r="222" spans="2:36" s="113" customFormat="1" x14ac:dyDescent="0.4">
      <c r="B222" s="80"/>
      <c r="C222" s="566">
        <v>92</v>
      </c>
      <c r="D222" s="905"/>
      <c r="E222" s="906"/>
      <c r="F222" s="907"/>
      <c r="G222" s="908"/>
      <c r="H222" s="905"/>
      <c r="I222" s="906"/>
      <c r="J222" s="907"/>
      <c r="K222" s="908"/>
      <c r="L222" s="905"/>
      <c r="M222" s="906"/>
      <c r="N222" s="907"/>
      <c r="O222" s="908"/>
      <c r="P222" s="905"/>
      <c r="Q222" s="906"/>
      <c r="R222" s="907"/>
      <c r="S222" s="908"/>
      <c r="T222" s="909"/>
      <c r="U222" s="906"/>
      <c r="V222" s="907"/>
      <c r="W222" s="908"/>
      <c r="X222" s="905"/>
      <c r="Y222" s="906"/>
      <c r="Z222" s="907"/>
      <c r="AA222" s="908"/>
      <c r="AB222" s="905"/>
      <c r="AC222" s="906"/>
      <c r="AD222" s="907"/>
      <c r="AE222" s="908"/>
      <c r="AF222" s="563">
        <v>92</v>
      </c>
      <c r="AJ222" s="338"/>
    </row>
    <row r="223" spans="2:36" s="113" customFormat="1" x14ac:dyDescent="0.4">
      <c r="B223" s="80"/>
      <c r="C223" s="566">
        <v>95</v>
      </c>
      <c r="D223" s="905"/>
      <c r="E223" s="906"/>
      <c r="F223" s="907"/>
      <c r="G223" s="908"/>
      <c r="H223" s="905"/>
      <c r="I223" s="906"/>
      <c r="J223" s="907"/>
      <c r="K223" s="908"/>
      <c r="L223" s="905"/>
      <c r="M223" s="906"/>
      <c r="N223" s="907"/>
      <c r="O223" s="908"/>
      <c r="P223" s="905"/>
      <c r="Q223" s="906"/>
      <c r="R223" s="907"/>
      <c r="S223" s="908"/>
      <c r="T223" s="909"/>
      <c r="U223" s="906"/>
      <c r="V223" s="907"/>
      <c r="W223" s="908"/>
      <c r="X223" s="905"/>
      <c r="Y223" s="906"/>
      <c r="Z223" s="907"/>
      <c r="AA223" s="908"/>
      <c r="AB223" s="905"/>
      <c r="AC223" s="906"/>
      <c r="AD223" s="907"/>
      <c r="AE223" s="908"/>
      <c r="AF223" s="563">
        <v>95</v>
      </c>
      <c r="AJ223" s="338"/>
    </row>
    <row r="224" spans="2:36" s="113" customFormat="1" x14ac:dyDescent="0.4">
      <c r="B224" s="80"/>
      <c r="C224" s="566">
        <v>98</v>
      </c>
      <c r="D224" s="905"/>
      <c r="E224" s="906"/>
      <c r="F224" s="907"/>
      <c r="G224" s="908"/>
      <c r="H224" s="905"/>
      <c r="I224" s="906"/>
      <c r="J224" s="907"/>
      <c r="K224" s="908"/>
      <c r="L224" s="905"/>
      <c r="M224" s="906"/>
      <c r="N224" s="907"/>
      <c r="O224" s="908"/>
      <c r="P224" s="905"/>
      <c r="Q224" s="906"/>
      <c r="R224" s="907"/>
      <c r="S224" s="908"/>
      <c r="T224" s="909"/>
      <c r="U224" s="906"/>
      <c r="V224" s="907"/>
      <c r="W224" s="908"/>
      <c r="X224" s="905"/>
      <c r="Y224" s="906"/>
      <c r="Z224" s="907"/>
      <c r="AA224" s="908"/>
      <c r="AB224" s="905"/>
      <c r="AC224" s="906"/>
      <c r="AD224" s="907"/>
      <c r="AE224" s="908"/>
      <c r="AF224" s="563">
        <v>98</v>
      </c>
      <c r="AJ224" s="338"/>
    </row>
    <row r="225" spans="2:36" s="113" customFormat="1" x14ac:dyDescent="0.4">
      <c r="B225" s="80"/>
      <c r="C225" s="566">
        <v>101</v>
      </c>
      <c r="D225" s="905"/>
      <c r="E225" s="906"/>
      <c r="F225" s="907"/>
      <c r="G225" s="908"/>
      <c r="H225" s="905"/>
      <c r="I225" s="906"/>
      <c r="J225" s="907"/>
      <c r="K225" s="908"/>
      <c r="L225" s="905"/>
      <c r="M225" s="906"/>
      <c r="N225" s="907"/>
      <c r="O225" s="908"/>
      <c r="P225" s="905"/>
      <c r="Q225" s="906"/>
      <c r="R225" s="907"/>
      <c r="S225" s="908"/>
      <c r="T225" s="909"/>
      <c r="U225" s="906"/>
      <c r="V225" s="907"/>
      <c r="W225" s="908"/>
      <c r="X225" s="905"/>
      <c r="Y225" s="906"/>
      <c r="Z225" s="907"/>
      <c r="AA225" s="908"/>
      <c r="AB225" s="905"/>
      <c r="AC225" s="906"/>
      <c r="AD225" s="907"/>
      <c r="AE225" s="908"/>
      <c r="AF225" s="563">
        <v>101</v>
      </c>
      <c r="AJ225" s="338"/>
    </row>
    <row r="226" spans="2:36" s="113" customFormat="1" x14ac:dyDescent="0.4">
      <c r="B226" s="80"/>
      <c r="C226" s="566">
        <v>104</v>
      </c>
      <c r="D226" s="905"/>
      <c r="E226" s="906"/>
      <c r="F226" s="907"/>
      <c r="G226" s="908"/>
      <c r="H226" s="905"/>
      <c r="I226" s="906"/>
      <c r="J226" s="907"/>
      <c r="K226" s="908"/>
      <c r="L226" s="905"/>
      <c r="M226" s="906"/>
      <c r="N226" s="907"/>
      <c r="O226" s="908"/>
      <c r="P226" s="905"/>
      <c r="Q226" s="906"/>
      <c r="R226" s="907"/>
      <c r="S226" s="908"/>
      <c r="T226" s="909"/>
      <c r="U226" s="906"/>
      <c r="V226" s="907"/>
      <c r="W226" s="908"/>
      <c r="X226" s="905"/>
      <c r="Y226" s="906"/>
      <c r="Z226" s="907"/>
      <c r="AA226" s="908"/>
      <c r="AB226" s="905"/>
      <c r="AC226" s="906"/>
      <c r="AD226" s="907"/>
      <c r="AE226" s="908"/>
      <c r="AF226" s="563">
        <v>104</v>
      </c>
      <c r="AJ226" s="338"/>
    </row>
    <row r="227" spans="2:36" s="113" customFormat="1" x14ac:dyDescent="0.4">
      <c r="B227" s="80"/>
      <c r="C227" s="566">
        <v>107</v>
      </c>
      <c r="D227" s="905"/>
      <c r="E227" s="906"/>
      <c r="F227" s="907"/>
      <c r="G227" s="908"/>
      <c r="H227" s="905"/>
      <c r="I227" s="906"/>
      <c r="J227" s="907"/>
      <c r="K227" s="908"/>
      <c r="L227" s="905"/>
      <c r="M227" s="906"/>
      <c r="N227" s="907"/>
      <c r="O227" s="908"/>
      <c r="P227" s="905"/>
      <c r="Q227" s="906"/>
      <c r="R227" s="907"/>
      <c r="S227" s="908"/>
      <c r="T227" s="909"/>
      <c r="U227" s="906"/>
      <c r="V227" s="907"/>
      <c r="W227" s="908"/>
      <c r="X227" s="905"/>
      <c r="Y227" s="906"/>
      <c r="Z227" s="907"/>
      <c r="AA227" s="908"/>
      <c r="AB227" s="905"/>
      <c r="AC227" s="906"/>
      <c r="AD227" s="907"/>
      <c r="AE227" s="908"/>
      <c r="AF227" s="563">
        <v>107</v>
      </c>
      <c r="AJ227" s="338"/>
    </row>
    <row r="228" spans="2:36" s="113" customFormat="1" x14ac:dyDescent="0.4">
      <c r="B228" s="80"/>
      <c r="C228" s="566">
        <v>110</v>
      </c>
      <c r="D228" s="905"/>
      <c r="E228" s="906"/>
      <c r="F228" s="907"/>
      <c r="G228" s="908"/>
      <c r="H228" s="905"/>
      <c r="I228" s="906"/>
      <c r="J228" s="907"/>
      <c r="K228" s="908"/>
      <c r="L228" s="905"/>
      <c r="M228" s="906"/>
      <c r="N228" s="907"/>
      <c r="O228" s="908"/>
      <c r="P228" s="905"/>
      <c r="Q228" s="906"/>
      <c r="R228" s="907"/>
      <c r="S228" s="908"/>
      <c r="T228" s="909"/>
      <c r="U228" s="906"/>
      <c r="V228" s="907"/>
      <c r="W228" s="908"/>
      <c r="X228" s="905"/>
      <c r="Y228" s="906"/>
      <c r="Z228" s="907"/>
      <c r="AA228" s="908"/>
      <c r="AB228" s="905"/>
      <c r="AC228" s="906"/>
      <c r="AD228" s="907"/>
      <c r="AE228" s="908"/>
      <c r="AF228" s="563">
        <v>110</v>
      </c>
      <c r="AJ228" s="338"/>
    </row>
    <row r="229" spans="2:36" s="113" customFormat="1" x14ac:dyDescent="0.4">
      <c r="B229" s="80"/>
      <c r="C229" s="566">
        <v>113</v>
      </c>
      <c r="D229" s="905"/>
      <c r="E229" s="906"/>
      <c r="F229" s="907"/>
      <c r="G229" s="908"/>
      <c r="H229" s="905"/>
      <c r="I229" s="906"/>
      <c r="J229" s="907"/>
      <c r="K229" s="908"/>
      <c r="L229" s="905"/>
      <c r="M229" s="906"/>
      <c r="N229" s="907"/>
      <c r="O229" s="908"/>
      <c r="P229" s="905"/>
      <c r="Q229" s="906"/>
      <c r="R229" s="907"/>
      <c r="S229" s="908"/>
      <c r="T229" s="909"/>
      <c r="U229" s="906"/>
      <c r="V229" s="907"/>
      <c r="W229" s="908"/>
      <c r="X229" s="905"/>
      <c r="Y229" s="906"/>
      <c r="Z229" s="907"/>
      <c r="AA229" s="908"/>
      <c r="AB229" s="905"/>
      <c r="AC229" s="906"/>
      <c r="AD229" s="907"/>
      <c r="AE229" s="908"/>
      <c r="AF229" s="563">
        <v>113</v>
      </c>
      <c r="AJ229" s="338"/>
    </row>
    <row r="230" spans="2:36" s="113" customFormat="1" x14ac:dyDescent="0.4">
      <c r="B230" s="80"/>
      <c r="C230" s="566">
        <v>116</v>
      </c>
      <c r="D230" s="905"/>
      <c r="E230" s="906"/>
      <c r="F230" s="907"/>
      <c r="G230" s="908"/>
      <c r="H230" s="905"/>
      <c r="I230" s="906"/>
      <c r="J230" s="907"/>
      <c r="K230" s="908"/>
      <c r="L230" s="905"/>
      <c r="M230" s="906"/>
      <c r="N230" s="907"/>
      <c r="O230" s="908"/>
      <c r="P230" s="905"/>
      <c r="Q230" s="906"/>
      <c r="R230" s="907"/>
      <c r="S230" s="908"/>
      <c r="T230" s="909"/>
      <c r="U230" s="906"/>
      <c r="V230" s="907"/>
      <c r="W230" s="908"/>
      <c r="X230" s="905"/>
      <c r="Y230" s="906"/>
      <c r="Z230" s="907"/>
      <c r="AA230" s="908"/>
      <c r="AB230" s="905"/>
      <c r="AC230" s="906"/>
      <c r="AD230" s="907"/>
      <c r="AE230" s="908"/>
      <c r="AF230" s="563">
        <v>116</v>
      </c>
      <c r="AJ230" s="338"/>
    </row>
    <row r="231" spans="2:36" s="113" customFormat="1" x14ac:dyDescent="0.4">
      <c r="B231" s="80"/>
      <c r="C231" s="566">
        <v>119</v>
      </c>
      <c r="D231" s="905"/>
      <c r="E231" s="906"/>
      <c r="F231" s="907"/>
      <c r="G231" s="908"/>
      <c r="H231" s="905"/>
      <c r="I231" s="906"/>
      <c r="J231" s="907"/>
      <c r="K231" s="908"/>
      <c r="L231" s="905"/>
      <c r="M231" s="906"/>
      <c r="N231" s="907"/>
      <c r="O231" s="908"/>
      <c r="P231" s="905"/>
      <c r="Q231" s="906"/>
      <c r="R231" s="907"/>
      <c r="S231" s="908"/>
      <c r="T231" s="909"/>
      <c r="U231" s="906"/>
      <c r="V231" s="907"/>
      <c r="W231" s="908"/>
      <c r="X231" s="905"/>
      <c r="Y231" s="906"/>
      <c r="Z231" s="907"/>
      <c r="AA231" s="908"/>
      <c r="AB231" s="905"/>
      <c r="AC231" s="906"/>
      <c r="AD231" s="907"/>
      <c r="AE231" s="908"/>
      <c r="AF231" s="563">
        <v>119</v>
      </c>
      <c r="AJ231" s="338"/>
    </row>
    <row r="232" spans="2:36" s="113" customFormat="1" x14ac:dyDescent="0.4">
      <c r="B232" s="80"/>
      <c r="C232" s="566">
        <v>122</v>
      </c>
      <c r="D232" s="905"/>
      <c r="E232" s="906"/>
      <c r="F232" s="907"/>
      <c r="G232" s="908"/>
      <c r="H232" s="905"/>
      <c r="I232" s="906"/>
      <c r="J232" s="907"/>
      <c r="K232" s="908"/>
      <c r="L232" s="905"/>
      <c r="M232" s="906"/>
      <c r="N232" s="907"/>
      <c r="O232" s="908"/>
      <c r="P232" s="905"/>
      <c r="Q232" s="906"/>
      <c r="R232" s="907"/>
      <c r="S232" s="908"/>
      <c r="T232" s="909"/>
      <c r="U232" s="906"/>
      <c r="V232" s="907"/>
      <c r="W232" s="908"/>
      <c r="X232" s="905"/>
      <c r="Y232" s="906"/>
      <c r="Z232" s="907"/>
      <c r="AA232" s="908"/>
      <c r="AB232" s="905"/>
      <c r="AC232" s="906"/>
      <c r="AD232" s="907"/>
      <c r="AE232" s="908"/>
      <c r="AF232" s="563">
        <v>122</v>
      </c>
      <c r="AJ232" s="338"/>
    </row>
    <row r="233" spans="2:36" s="113" customFormat="1" x14ac:dyDescent="0.4">
      <c r="B233" s="80"/>
      <c r="C233" s="566">
        <v>125</v>
      </c>
      <c r="D233" s="905"/>
      <c r="E233" s="906"/>
      <c r="F233" s="907"/>
      <c r="G233" s="908"/>
      <c r="H233" s="905"/>
      <c r="I233" s="906"/>
      <c r="J233" s="907"/>
      <c r="K233" s="908"/>
      <c r="L233" s="905"/>
      <c r="M233" s="906"/>
      <c r="N233" s="907"/>
      <c r="O233" s="908"/>
      <c r="P233" s="905"/>
      <c r="Q233" s="906"/>
      <c r="R233" s="907"/>
      <c r="S233" s="908"/>
      <c r="T233" s="909"/>
      <c r="U233" s="906"/>
      <c r="V233" s="907"/>
      <c r="W233" s="908"/>
      <c r="X233" s="905"/>
      <c r="Y233" s="906"/>
      <c r="Z233" s="907"/>
      <c r="AA233" s="908"/>
      <c r="AB233" s="905"/>
      <c r="AC233" s="906"/>
      <c r="AD233" s="907"/>
      <c r="AE233" s="908"/>
      <c r="AF233" s="563">
        <v>125</v>
      </c>
      <c r="AJ233" s="338"/>
    </row>
    <row r="234" spans="2:36" s="113" customFormat="1" x14ac:dyDescent="0.4">
      <c r="B234" s="80"/>
      <c r="C234" s="566">
        <v>128</v>
      </c>
      <c r="D234" s="905"/>
      <c r="E234" s="906"/>
      <c r="F234" s="907"/>
      <c r="G234" s="908"/>
      <c r="H234" s="905"/>
      <c r="I234" s="906"/>
      <c r="J234" s="907"/>
      <c r="K234" s="908"/>
      <c r="L234" s="905"/>
      <c r="M234" s="906"/>
      <c r="N234" s="907"/>
      <c r="O234" s="908"/>
      <c r="P234" s="905"/>
      <c r="Q234" s="906"/>
      <c r="R234" s="907"/>
      <c r="S234" s="908"/>
      <c r="T234" s="909"/>
      <c r="U234" s="906"/>
      <c r="V234" s="907"/>
      <c r="W234" s="908"/>
      <c r="X234" s="905"/>
      <c r="Y234" s="906"/>
      <c r="Z234" s="907"/>
      <c r="AA234" s="908"/>
      <c r="AB234" s="905"/>
      <c r="AC234" s="906"/>
      <c r="AD234" s="907"/>
      <c r="AE234" s="908"/>
      <c r="AF234" s="563">
        <v>128</v>
      </c>
      <c r="AJ234" s="338"/>
    </row>
    <row r="235" spans="2:36" s="113" customFormat="1" x14ac:dyDescent="0.4">
      <c r="B235" s="80"/>
      <c r="C235" s="566">
        <v>131</v>
      </c>
      <c r="D235" s="905"/>
      <c r="E235" s="906"/>
      <c r="F235" s="907"/>
      <c r="G235" s="908"/>
      <c r="H235" s="905"/>
      <c r="I235" s="906"/>
      <c r="J235" s="907"/>
      <c r="K235" s="908"/>
      <c r="L235" s="905"/>
      <c r="M235" s="906"/>
      <c r="N235" s="907"/>
      <c r="O235" s="908"/>
      <c r="P235" s="905"/>
      <c r="Q235" s="906"/>
      <c r="R235" s="907"/>
      <c r="S235" s="908"/>
      <c r="T235" s="909"/>
      <c r="U235" s="906"/>
      <c r="V235" s="907"/>
      <c r="W235" s="908"/>
      <c r="X235" s="905"/>
      <c r="Y235" s="906"/>
      <c r="Z235" s="907"/>
      <c r="AA235" s="908"/>
      <c r="AB235" s="905"/>
      <c r="AC235" s="906"/>
      <c r="AD235" s="907"/>
      <c r="AE235" s="908"/>
      <c r="AF235" s="563">
        <v>131</v>
      </c>
      <c r="AJ235" s="338"/>
    </row>
    <row r="236" spans="2:36" s="113" customFormat="1" x14ac:dyDescent="0.4">
      <c r="B236" s="80"/>
      <c r="C236" s="566">
        <v>134</v>
      </c>
      <c r="D236" s="905"/>
      <c r="E236" s="906"/>
      <c r="F236" s="907"/>
      <c r="G236" s="908"/>
      <c r="H236" s="905"/>
      <c r="I236" s="906"/>
      <c r="J236" s="907"/>
      <c r="K236" s="908"/>
      <c r="L236" s="905"/>
      <c r="M236" s="906"/>
      <c r="N236" s="907"/>
      <c r="O236" s="908"/>
      <c r="P236" s="905"/>
      <c r="Q236" s="906"/>
      <c r="R236" s="907"/>
      <c r="S236" s="908"/>
      <c r="T236" s="909"/>
      <c r="U236" s="906"/>
      <c r="V236" s="907"/>
      <c r="W236" s="908"/>
      <c r="X236" s="905"/>
      <c r="Y236" s="906"/>
      <c r="Z236" s="907"/>
      <c r="AA236" s="908"/>
      <c r="AB236" s="905"/>
      <c r="AC236" s="906"/>
      <c r="AD236" s="907"/>
      <c r="AE236" s="908"/>
      <c r="AF236" s="563">
        <v>134</v>
      </c>
      <c r="AJ236" s="338"/>
    </row>
    <row r="237" spans="2:36" s="113" customFormat="1" x14ac:dyDescent="0.4">
      <c r="B237" s="80"/>
      <c r="C237" s="566">
        <v>137</v>
      </c>
      <c r="D237" s="905"/>
      <c r="E237" s="906"/>
      <c r="F237" s="907"/>
      <c r="G237" s="908"/>
      <c r="H237" s="905"/>
      <c r="I237" s="906"/>
      <c r="J237" s="907"/>
      <c r="K237" s="908"/>
      <c r="L237" s="905"/>
      <c r="M237" s="906"/>
      <c r="N237" s="907"/>
      <c r="O237" s="908"/>
      <c r="P237" s="905"/>
      <c r="Q237" s="906"/>
      <c r="R237" s="907"/>
      <c r="S237" s="908"/>
      <c r="T237" s="909"/>
      <c r="U237" s="906"/>
      <c r="V237" s="907"/>
      <c r="W237" s="908"/>
      <c r="X237" s="905"/>
      <c r="Y237" s="906"/>
      <c r="Z237" s="907"/>
      <c r="AA237" s="908"/>
      <c r="AB237" s="905"/>
      <c r="AC237" s="906"/>
      <c r="AD237" s="907"/>
      <c r="AE237" s="908"/>
      <c r="AF237" s="563">
        <v>137</v>
      </c>
      <c r="AJ237" s="338"/>
    </row>
    <row r="238" spans="2:36" s="113" customFormat="1" x14ac:dyDescent="0.4">
      <c r="B238" s="80"/>
      <c r="C238" s="566">
        <v>140</v>
      </c>
      <c r="D238" s="905"/>
      <c r="E238" s="906"/>
      <c r="F238" s="907"/>
      <c r="G238" s="908"/>
      <c r="H238" s="905"/>
      <c r="I238" s="906"/>
      <c r="J238" s="907"/>
      <c r="K238" s="908"/>
      <c r="L238" s="905"/>
      <c r="M238" s="906"/>
      <c r="N238" s="907"/>
      <c r="O238" s="908"/>
      <c r="P238" s="905"/>
      <c r="Q238" s="906"/>
      <c r="R238" s="907"/>
      <c r="S238" s="908"/>
      <c r="T238" s="909"/>
      <c r="U238" s="906"/>
      <c r="V238" s="907"/>
      <c r="W238" s="908"/>
      <c r="X238" s="905"/>
      <c r="Y238" s="906"/>
      <c r="Z238" s="907"/>
      <c r="AA238" s="908"/>
      <c r="AB238" s="905"/>
      <c r="AC238" s="906"/>
      <c r="AD238" s="907"/>
      <c r="AE238" s="908"/>
      <c r="AF238" s="563">
        <v>140</v>
      </c>
      <c r="AJ238" s="338"/>
    </row>
    <row r="239" spans="2:36" s="113" customFormat="1" x14ac:dyDescent="0.4">
      <c r="B239" s="80"/>
      <c r="C239" s="566">
        <v>143</v>
      </c>
      <c r="D239" s="905"/>
      <c r="E239" s="906"/>
      <c r="F239" s="907"/>
      <c r="G239" s="908"/>
      <c r="H239" s="905"/>
      <c r="I239" s="906"/>
      <c r="J239" s="907"/>
      <c r="K239" s="908"/>
      <c r="L239" s="905"/>
      <c r="M239" s="906"/>
      <c r="N239" s="907"/>
      <c r="O239" s="908"/>
      <c r="P239" s="905"/>
      <c r="Q239" s="906"/>
      <c r="R239" s="907"/>
      <c r="S239" s="908"/>
      <c r="T239" s="909"/>
      <c r="U239" s="906"/>
      <c r="V239" s="907"/>
      <c r="W239" s="908"/>
      <c r="X239" s="905"/>
      <c r="Y239" s="906"/>
      <c r="Z239" s="907"/>
      <c r="AA239" s="908"/>
      <c r="AB239" s="905"/>
      <c r="AC239" s="906"/>
      <c r="AD239" s="907"/>
      <c r="AE239" s="908"/>
      <c r="AF239" s="563">
        <v>143</v>
      </c>
      <c r="AJ239" s="338"/>
    </row>
    <row r="240" spans="2:36" s="113" customFormat="1" x14ac:dyDescent="0.4">
      <c r="B240" s="80"/>
      <c r="C240" s="566">
        <v>146</v>
      </c>
      <c r="D240" s="905"/>
      <c r="E240" s="906"/>
      <c r="F240" s="907"/>
      <c r="G240" s="908"/>
      <c r="H240" s="905"/>
      <c r="I240" s="906"/>
      <c r="J240" s="907"/>
      <c r="K240" s="908"/>
      <c r="L240" s="905"/>
      <c r="M240" s="906"/>
      <c r="N240" s="907"/>
      <c r="O240" s="908"/>
      <c r="P240" s="905"/>
      <c r="Q240" s="906"/>
      <c r="R240" s="907"/>
      <c r="S240" s="908"/>
      <c r="T240" s="909"/>
      <c r="U240" s="906"/>
      <c r="V240" s="907"/>
      <c r="W240" s="908"/>
      <c r="X240" s="905"/>
      <c r="Y240" s="906"/>
      <c r="Z240" s="907"/>
      <c r="AA240" s="908"/>
      <c r="AB240" s="905"/>
      <c r="AC240" s="906"/>
      <c r="AD240" s="907"/>
      <c r="AE240" s="908"/>
      <c r="AF240" s="563">
        <v>146</v>
      </c>
      <c r="AJ240" s="338"/>
    </row>
    <row r="241" spans="2:36" s="113" customFormat="1" x14ac:dyDescent="0.4">
      <c r="B241" s="80"/>
      <c r="C241" s="566">
        <v>149</v>
      </c>
      <c r="D241" s="905"/>
      <c r="E241" s="906"/>
      <c r="F241" s="907"/>
      <c r="G241" s="908"/>
      <c r="H241" s="905"/>
      <c r="I241" s="906"/>
      <c r="J241" s="907"/>
      <c r="K241" s="908"/>
      <c r="L241" s="905"/>
      <c r="M241" s="906"/>
      <c r="N241" s="907"/>
      <c r="O241" s="908"/>
      <c r="P241" s="905"/>
      <c r="Q241" s="906"/>
      <c r="R241" s="907"/>
      <c r="S241" s="908"/>
      <c r="T241" s="909"/>
      <c r="U241" s="906"/>
      <c r="V241" s="907"/>
      <c r="W241" s="908"/>
      <c r="X241" s="905"/>
      <c r="Y241" s="906"/>
      <c r="Z241" s="907"/>
      <c r="AA241" s="908"/>
      <c r="AB241" s="905"/>
      <c r="AC241" s="906"/>
      <c r="AD241" s="907"/>
      <c r="AE241" s="908"/>
      <c r="AF241" s="563">
        <v>149</v>
      </c>
      <c r="AJ241" s="338"/>
    </row>
    <row r="242" spans="2:36" s="113" customFormat="1" x14ac:dyDescent="0.4">
      <c r="B242" s="80"/>
      <c r="C242" s="566">
        <v>152</v>
      </c>
      <c r="D242" s="905"/>
      <c r="E242" s="906"/>
      <c r="F242" s="907"/>
      <c r="G242" s="908"/>
      <c r="H242" s="905"/>
      <c r="I242" s="906"/>
      <c r="J242" s="907"/>
      <c r="K242" s="908"/>
      <c r="L242" s="905"/>
      <c r="M242" s="906"/>
      <c r="N242" s="907"/>
      <c r="O242" s="908"/>
      <c r="P242" s="905"/>
      <c r="Q242" s="906"/>
      <c r="R242" s="907"/>
      <c r="S242" s="908"/>
      <c r="T242" s="909"/>
      <c r="U242" s="906"/>
      <c r="V242" s="907"/>
      <c r="W242" s="908"/>
      <c r="X242" s="905"/>
      <c r="Y242" s="906"/>
      <c r="Z242" s="907"/>
      <c r="AA242" s="908"/>
      <c r="AB242" s="905"/>
      <c r="AC242" s="906"/>
      <c r="AD242" s="907"/>
      <c r="AE242" s="908"/>
      <c r="AF242" s="563">
        <v>152</v>
      </c>
      <c r="AJ242" s="338"/>
    </row>
    <row r="243" spans="2:36" s="113" customFormat="1" x14ac:dyDescent="0.4">
      <c r="B243" s="80"/>
      <c r="C243" s="566">
        <v>155</v>
      </c>
      <c r="D243" s="905"/>
      <c r="E243" s="906"/>
      <c r="F243" s="907"/>
      <c r="G243" s="908"/>
      <c r="H243" s="905"/>
      <c r="I243" s="906"/>
      <c r="J243" s="907"/>
      <c r="K243" s="908"/>
      <c r="L243" s="905"/>
      <c r="M243" s="906"/>
      <c r="N243" s="907"/>
      <c r="O243" s="908"/>
      <c r="P243" s="905"/>
      <c r="Q243" s="906"/>
      <c r="R243" s="907"/>
      <c r="S243" s="908"/>
      <c r="T243" s="909"/>
      <c r="U243" s="906"/>
      <c r="V243" s="907"/>
      <c r="W243" s="908"/>
      <c r="X243" s="905"/>
      <c r="Y243" s="906"/>
      <c r="Z243" s="907"/>
      <c r="AA243" s="908"/>
      <c r="AB243" s="905"/>
      <c r="AC243" s="906"/>
      <c r="AD243" s="907"/>
      <c r="AE243" s="908"/>
      <c r="AF243" s="563">
        <v>155</v>
      </c>
      <c r="AJ243" s="338"/>
    </row>
    <row r="244" spans="2:36" s="113" customFormat="1" x14ac:dyDescent="0.4">
      <c r="B244" s="80"/>
      <c r="C244" s="566">
        <v>158</v>
      </c>
      <c r="D244" s="905"/>
      <c r="E244" s="906"/>
      <c r="F244" s="907"/>
      <c r="G244" s="908"/>
      <c r="H244" s="905"/>
      <c r="I244" s="906"/>
      <c r="J244" s="907"/>
      <c r="K244" s="908"/>
      <c r="L244" s="905"/>
      <c r="M244" s="906"/>
      <c r="N244" s="907"/>
      <c r="O244" s="908"/>
      <c r="P244" s="905"/>
      <c r="Q244" s="906"/>
      <c r="R244" s="907"/>
      <c r="S244" s="908"/>
      <c r="T244" s="909"/>
      <c r="U244" s="906"/>
      <c r="V244" s="907"/>
      <c r="W244" s="908"/>
      <c r="X244" s="905"/>
      <c r="Y244" s="906"/>
      <c r="Z244" s="907"/>
      <c r="AA244" s="908"/>
      <c r="AB244" s="905"/>
      <c r="AC244" s="906"/>
      <c r="AD244" s="907"/>
      <c r="AE244" s="908"/>
      <c r="AF244" s="563">
        <v>158</v>
      </c>
      <c r="AJ244" s="338"/>
    </row>
    <row r="245" spans="2:36" s="113" customFormat="1" x14ac:dyDescent="0.4">
      <c r="B245" s="80"/>
      <c r="C245" s="566">
        <v>161</v>
      </c>
      <c r="D245" s="905"/>
      <c r="E245" s="906"/>
      <c r="F245" s="907"/>
      <c r="G245" s="908"/>
      <c r="H245" s="905"/>
      <c r="I245" s="906"/>
      <c r="J245" s="907"/>
      <c r="K245" s="908"/>
      <c r="L245" s="905"/>
      <c r="M245" s="906"/>
      <c r="N245" s="907"/>
      <c r="O245" s="908"/>
      <c r="P245" s="905"/>
      <c r="Q245" s="906"/>
      <c r="R245" s="907"/>
      <c r="S245" s="908"/>
      <c r="T245" s="909"/>
      <c r="U245" s="906"/>
      <c r="V245" s="907"/>
      <c r="W245" s="908"/>
      <c r="X245" s="905"/>
      <c r="Y245" s="906"/>
      <c r="Z245" s="907"/>
      <c r="AA245" s="908"/>
      <c r="AB245" s="905"/>
      <c r="AC245" s="906"/>
      <c r="AD245" s="907"/>
      <c r="AE245" s="908"/>
      <c r="AF245" s="563">
        <v>161</v>
      </c>
      <c r="AJ245" s="338"/>
    </row>
    <row r="246" spans="2:36" s="113" customFormat="1" x14ac:dyDescent="0.4">
      <c r="B246" s="80"/>
      <c r="C246" s="566">
        <v>164</v>
      </c>
      <c r="D246" s="905"/>
      <c r="E246" s="906"/>
      <c r="F246" s="907"/>
      <c r="G246" s="908"/>
      <c r="H246" s="905"/>
      <c r="I246" s="906"/>
      <c r="J246" s="907"/>
      <c r="K246" s="908"/>
      <c r="L246" s="905"/>
      <c r="M246" s="906"/>
      <c r="N246" s="907"/>
      <c r="O246" s="908"/>
      <c r="P246" s="905"/>
      <c r="Q246" s="906"/>
      <c r="R246" s="907"/>
      <c r="S246" s="908"/>
      <c r="T246" s="909"/>
      <c r="U246" s="906"/>
      <c r="V246" s="907"/>
      <c r="W246" s="908"/>
      <c r="X246" s="905"/>
      <c r="Y246" s="906"/>
      <c r="Z246" s="907"/>
      <c r="AA246" s="908"/>
      <c r="AB246" s="905"/>
      <c r="AC246" s="906"/>
      <c r="AD246" s="907"/>
      <c r="AE246" s="908"/>
      <c r="AF246" s="563">
        <v>164</v>
      </c>
      <c r="AJ246" s="338"/>
    </row>
    <row r="247" spans="2:36" s="113" customFormat="1" x14ac:dyDescent="0.4">
      <c r="B247" s="80"/>
      <c r="C247" s="566">
        <v>167</v>
      </c>
      <c r="D247" s="905"/>
      <c r="E247" s="906"/>
      <c r="F247" s="907"/>
      <c r="G247" s="908"/>
      <c r="H247" s="905"/>
      <c r="I247" s="906"/>
      <c r="J247" s="907"/>
      <c r="K247" s="908"/>
      <c r="L247" s="905"/>
      <c r="M247" s="906"/>
      <c r="N247" s="907"/>
      <c r="O247" s="908"/>
      <c r="P247" s="905"/>
      <c r="Q247" s="906"/>
      <c r="R247" s="907"/>
      <c r="S247" s="908"/>
      <c r="T247" s="909"/>
      <c r="U247" s="906"/>
      <c r="V247" s="907"/>
      <c r="W247" s="908"/>
      <c r="X247" s="905"/>
      <c r="Y247" s="906"/>
      <c r="Z247" s="907"/>
      <c r="AA247" s="908"/>
      <c r="AB247" s="905"/>
      <c r="AC247" s="906"/>
      <c r="AD247" s="907"/>
      <c r="AE247" s="908"/>
      <c r="AF247" s="563">
        <v>167</v>
      </c>
      <c r="AJ247" s="338"/>
    </row>
    <row r="248" spans="2:36" s="113" customFormat="1" x14ac:dyDescent="0.4">
      <c r="B248" s="80"/>
      <c r="C248" s="566">
        <v>170</v>
      </c>
      <c r="D248" s="905"/>
      <c r="E248" s="906"/>
      <c r="F248" s="907"/>
      <c r="G248" s="908"/>
      <c r="H248" s="905"/>
      <c r="I248" s="906"/>
      <c r="J248" s="907"/>
      <c r="K248" s="908"/>
      <c r="L248" s="905"/>
      <c r="M248" s="906"/>
      <c r="N248" s="907"/>
      <c r="O248" s="908"/>
      <c r="P248" s="905"/>
      <c r="Q248" s="906"/>
      <c r="R248" s="907"/>
      <c r="S248" s="908"/>
      <c r="T248" s="909"/>
      <c r="U248" s="906"/>
      <c r="V248" s="907"/>
      <c r="W248" s="908"/>
      <c r="X248" s="905"/>
      <c r="Y248" s="906"/>
      <c r="Z248" s="907"/>
      <c r="AA248" s="908"/>
      <c r="AB248" s="905"/>
      <c r="AC248" s="906"/>
      <c r="AD248" s="907"/>
      <c r="AE248" s="908"/>
      <c r="AF248" s="563">
        <v>170</v>
      </c>
      <c r="AJ248" s="338"/>
    </row>
    <row r="249" spans="2:36" s="113" customFormat="1" x14ac:dyDescent="0.4">
      <c r="B249" s="80"/>
      <c r="C249" s="566">
        <v>173</v>
      </c>
      <c r="D249" s="905"/>
      <c r="E249" s="906"/>
      <c r="F249" s="907"/>
      <c r="G249" s="908"/>
      <c r="H249" s="905"/>
      <c r="I249" s="906"/>
      <c r="J249" s="907"/>
      <c r="K249" s="908"/>
      <c r="L249" s="905"/>
      <c r="M249" s="906"/>
      <c r="N249" s="907"/>
      <c r="O249" s="908"/>
      <c r="P249" s="905"/>
      <c r="Q249" s="906"/>
      <c r="R249" s="907"/>
      <c r="S249" s="908"/>
      <c r="T249" s="909"/>
      <c r="U249" s="906"/>
      <c r="V249" s="907"/>
      <c r="W249" s="908"/>
      <c r="X249" s="905"/>
      <c r="Y249" s="906"/>
      <c r="Z249" s="907"/>
      <c r="AA249" s="908"/>
      <c r="AB249" s="905"/>
      <c r="AC249" s="906"/>
      <c r="AD249" s="907"/>
      <c r="AE249" s="908"/>
      <c r="AF249" s="563">
        <v>173</v>
      </c>
      <c r="AJ249" s="338"/>
    </row>
    <row r="250" spans="2:36" s="113" customFormat="1" x14ac:dyDescent="0.4">
      <c r="B250" s="80"/>
      <c r="C250" s="566">
        <v>176</v>
      </c>
      <c r="D250" s="905"/>
      <c r="E250" s="906"/>
      <c r="F250" s="907"/>
      <c r="G250" s="908"/>
      <c r="H250" s="905"/>
      <c r="I250" s="906"/>
      <c r="J250" s="907"/>
      <c r="K250" s="908"/>
      <c r="L250" s="905"/>
      <c r="M250" s="906"/>
      <c r="N250" s="907"/>
      <c r="O250" s="908"/>
      <c r="P250" s="905"/>
      <c r="Q250" s="906"/>
      <c r="R250" s="907"/>
      <c r="S250" s="908"/>
      <c r="T250" s="909"/>
      <c r="U250" s="906"/>
      <c r="V250" s="907"/>
      <c r="W250" s="908"/>
      <c r="X250" s="905"/>
      <c r="Y250" s="906"/>
      <c r="Z250" s="907"/>
      <c r="AA250" s="908"/>
      <c r="AB250" s="905"/>
      <c r="AC250" s="906"/>
      <c r="AD250" s="907"/>
      <c r="AE250" s="908"/>
      <c r="AF250" s="563">
        <v>176</v>
      </c>
      <c r="AJ250" s="338"/>
    </row>
    <row r="251" spans="2:36" s="113" customFormat="1" x14ac:dyDescent="0.4">
      <c r="B251" s="80"/>
      <c r="C251" s="566">
        <v>179</v>
      </c>
      <c r="D251" s="905"/>
      <c r="E251" s="906"/>
      <c r="F251" s="907"/>
      <c r="G251" s="908"/>
      <c r="H251" s="905"/>
      <c r="I251" s="906"/>
      <c r="J251" s="907"/>
      <c r="K251" s="908"/>
      <c r="L251" s="905"/>
      <c r="M251" s="906"/>
      <c r="N251" s="907"/>
      <c r="O251" s="908"/>
      <c r="P251" s="905"/>
      <c r="Q251" s="906"/>
      <c r="R251" s="907"/>
      <c r="S251" s="908"/>
      <c r="T251" s="909"/>
      <c r="U251" s="906"/>
      <c r="V251" s="907"/>
      <c r="W251" s="908"/>
      <c r="X251" s="905"/>
      <c r="Y251" s="906"/>
      <c r="Z251" s="907"/>
      <c r="AA251" s="908"/>
      <c r="AB251" s="905"/>
      <c r="AC251" s="906"/>
      <c r="AD251" s="907"/>
      <c r="AE251" s="908"/>
      <c r="AF251" s="563">
        <v>179</v>
      </c>
      <c r="AJ251" s="338"/>
    </row>
    <row r="252" spans="2:36" s="113" customFormat="1" x14ac:dyDescent="0.4">
      <c r="B252" s="80"/>
      <c r="C252" s="566">
        <v>182</v>
      </c>
      <c r="D252" s="905"/>
      <c r="E252" s="906"/>
      <c r="F252" s="907"/>
      <c r="G252" s="908"/>
      <c r="H252" s="905"/>
      <c r="I252" s="906"/>
      <c r="J252" s="907"/>
      <c r="K252" s="908"/>
      <c r="L252" s="905"/>
      <c r="M252" s="906"/>
      <c r="N252" s="907"/>
      <c r="O252" s="908"/>
      <c r="P252" s="905"/>
      <c r="Q252" s="906"/>
      <c r="R252" s="907"/>
      <c r="S252" s="908"/>
      <c r="T252" s="909"/>
      <c r="U252" s="906"/>
      <c r="V252" s="907"/>
      <c r="W252" s="908"/>
      <c r="X252" s="905"/>
      <c r="Y252" s="906"/>
      <c r="Z252" s="907"/>
      <c r="AA252" s="908"/>
      <c r="AB252" s="905"/>
      <c r="AC252" s="906"/>
      <c r="AD252" s="907"/>
      <c r="AE252" s="908"/>
      <c r="AF252" s="563">
        <v>182</v>
      </c>
      <c r="AJ252" s="338"/>
    </row>
    <row r="253" spans="2:36" s="113" customFormat="1" x14ac:dyDescent="0.4">
      <c r="B253" s="80"/>
      <c r="C253" s="566">
        <v>185</v>
      </c>
      <c r="D253" s="905"/>
      <c r="E253" s="906"/>
      <c r="F253" s="907"/>
      <c r="G253" s="908"/>
      <c r="H253" s="905"/>
      <c r="I253" s="906"/>
      <c r="J253" s="907"/>
      <c r="K253" s="908"/>
      <c r="L253" s="905"/>
      <c r="M253" s="906"/>
      <c r="N253" s="907"/>
      <c r="O253" s="908"/>
      <c r="P253" s="905"/>
      <c r="Q253" s="906"/>
      <c r="R253" s="907"/>
      <c r="S253" s="908"/>
      <c r="T253" s="909"/>
      <c r="U253" s="906"/>
      <c r="V253" s="907"/>
      <c r="W253" s="908"/>
      <c r="X253" s="905"/>
      <c r="Y253" s="906"/>
      <c r="Z253" s="907"/>
      <c r="AA253" s="908"/>
      <c r="AB253" s="905"/>
      <c r="AC253" s="906"/>
      <c r="AD253" s="907"/>
      <c r="AE253" s="908"/>
      <c r="AF253" s="563">
        <v>185</v>
      </c>
      <c r="AJ253" s="338"/>
    </row>
    <row r="254" spans="2:36" s="113" customFormat="1" x14ac:dyDescent="0.4">
      <c r="B254" s="80"/>
      <c r="C254" s="566">
        <v>188</v>
      </c>
      <c r="D254" s="905"/>
      <c r="E254" s="906"/>
      <c r="F254" s="907"/>
      <c r="G254" s="908"/>
      <c r="H254" s="905"/>
      <c r="I254" s="906"/>
      <c r="J254" s="907"/>
      <c r="K254" s="908"/>
      <c r="L254" s="905"/>
      <c r="M254" s="906"/>
      <c r="N254" s="907"/>
      <c r="O254" s="908"/>
      <c r="P254" s="905"/>
      <c r="Q254" s="906"/>
      <c r="R254" s="907"/>
      <c r="S254" s="908"/>
      <c r="T254" s="909"/>
      <c r="U254" s="906"/>
      <c r="V254" s="907"/>
      <c r="W254" s="908"/>
      <c r="X254" s="905"/>
      <c r="Y254" s="906"/>
      <c r="Z254" s="907"/>
      <c r="AA254" s="908"/>
      <c r="AB254" s="905"/>
      <c r="AC254" s="906"/>
      <c r="AD254" s="907"/>
      <c r="AE254" s="908"/>
      <c r="AF254" s="563">
        <v>188</v>
      </c>
      <c r="AJ254" s="338"/>
    </row>
    <row r="255" spans="2:36" s="113" customFormat="1" x14ac:dyDescent="0.4">
      <c r="B255" s="80"/>
      <c r="C255" s="566">
        <v>191</v>
      </c>
      <c r="D255" s="905"/>
      <c r="E255" s="906"/>
      <c r="F255" s="907"/>
      <c r="G255" s="908"/>
      <c r="H255" s="905"/>
      <c r="I255" s="906"/>
      <c r="J255" s="907"/>
      <c r="K255" s="908"/>
      <c r="L255" s="905"/>
      <c r="M255" s="906"/>
      <c r="N255" s="907"/>
      <c r="O255" s="908"/>
      <c r="P255" s="905"/>
      <c r="Q255" s="906"/>
      <c r="R255" s="907"/>
      <c r="S255" s="908"/>
      <c r="T255" s="909"/>
      <c r="U255" s="906"/>
      <c r="V255" s="907"/>
      <c r="W255" s="908"/>
      <c r="X255" s="905"/>
      <c r="Y255" s="906"/>
      <c r="Z255" s="907"/>
      <c r="AA255" s="908"/>
      <c r="AB255" s="905"/>
      <c r="AC255" s="906"/>
      <c r="AD255" s="907"/>
      <c r="AE255" s="908"/>
      <c r="AF255" s="563">
        <v>191</v>
      </c>
      <c r="AJ255" s="338"/>
    </row>
    <row r="256" spans="2:36" s="113" customFormat="1" x14ac:dyDescent="0.4">
      <c r="B256" s="80"/>
      <c r="C256" s="566">
        <v>194</v>
      </c>
      <c r="D256" s="905"/>
      <c r="E256" s="906"/>
      <c r="F256" s="907"/>
      <c r="G256" s="908"/>
      <c r="H256" s="905"/>
      <c r="I256" s="906"/>
      <c r="J256" s="907"/>
      <c r="K256" s="908"/>
      <c r="L256" s="905"/>
      <c r="M256" s="906"/>
      <c r="N256" s="907"/>
      <c r="O256" s="908"/>
      <c r="P256" s="905"/>
      <c r="Q256" s="906"/>
      <c r="R256" s="907"/>
      <c r="S256" s="908"/>
      <c r="T256" s="909"/>
      <c r="U256" s="906"/>
      <c r="V256" s="907"/>
      <c r="W256" s="908"/>
      <c r="X256" s="905"/>
      <c r="Y256" s="906"/>
      <c r="Z256" s="907"/>
      <c r="AA256" s="908"/>
      <c r="AB256" s="905"/>
      <c r="AC256" s="906"/>
      <c r="AD256" s="907"/>
      <c r="AE256" s="908"/>
      <c r="AF256" s="563">
        <v>194</v>
      </c>
      <c r="AJ256" s="338"/>
    </row>
    <row r="257" spans="2:36" s="113" customFormat="1" x14ac:dyDescent="0.4">
      <c r="B257" s="80"/>
      <c r="C257" s="566">
        <v>197</v>
      </c>
      <c r="D257" s="905"/>
      <c r="E257" s="906"/>
      <c r="F257" s="907"/>
      <c r="G257" s="908"/>
      <c r="H257" s="905"/>
      <c r="I257" s="906"/>
      <c r="J257" s="907"/>
      <c r="K257" s="908"/>
      <c r="L257" s="905"/>
      <c r="M257" s="906"/>
      <c r="N257" s="907"/>
      <c r="O257" s="908"/>
      <c r="P257" s="905"/>
      <c r="Q257" s="906"/>
      <c r="R257" s="907"/>
      <c r="S257" s="908"/>
      <c r="T257" s="909"/>
      <c r="U257" s="906"/>
      <c r="V257" s="907"/>
      <c r="W257" s="908"/>
      <c r="X257" s="905"/>
      <c r="Y257" s="906"/>
      <c r="Z257" s="907"/>
      <c r="AA257" s="908"/>
      <c r="AB257" s="905"/>
      <c r="AC257" s="906"/>
      <c r="AD257" s="907"/>
      <c r="AE257" s="908"/>
      <c r="AF257" s="563">
        <v>197</v>
      </c>
      <c r="AJ257" s="338"/>
    </row>
    <row r="258" spans="2:36" s="113" customFormat="1" x14ac:dyDescent="0.4">
      <c r="B258" s="80"/>
      <c r="C258" s="566">
        <v>200</v>
      </c>
      <c r="D258" s="905"/>
      <c r="E258" s="906"/>
      <c r="F258" s="907"/>
      <c r="G258" s="908"/>
      <c r="H258" s="905"/>
      <c r="I258" s="906"/>
      <c r="J258" s="907"/>
      <c r="K258" s="908"/>
      <c r="L258" s="905"/>
      <c r="M258" s="906"/>
      <c r="N258" s="907"/>
      <c r="O258" s="908"/>
      <c r="P258" s="905"/>
      <c r="Q258" s="906"/>
      <c r="R258" s="907"/>
      <c r="S258" s="908"/>
      <c r="T258" s="909"/>
      <c r="U258" s="906"/>
      <c r="V258" s="907"/>
      <c r="W258" s="908"/>
      <c r="X258" s="905"/>
      <c r="Y258" s="906"/>
      <c r="Z258" s="907"/>
      <c r="AA258" s="908"/>
      <c r="AB258" s="905"/>
      <c r="AC258" s="906"/>
      <c r="AD258" s="907"/>
      <c r="AE258" s="908"/>
      <c r="AF258" s="563">
        <v>200</v>
      </c>
      <c r="AJ258" s="338"/>
    </row>
    <row r="259" spans="2:36" s="113" customFormat="1" x14ac:dyDescent="0.4">
      <c r="B259" s="80"/>
      <c r="C259" s="566">
        <v>203</v>
      </c>
      <c r="D259" s="905"/>
      <c r="E259" s="906"/>
      <c r="F259" s="907"/>
      <c r="G259" s="908"/>
      <c r="H259" s="905"/>
      <c r="I259" s="906"/>
      <c r="J259" s="907"/>
      <c r="K259" s="908"/>
      <c r="L259" s="905"/>
      <c r="M259" s="906"/>
      <c r="N259" s="907"/>
      <c r="O259" s="908"/>
      <c r="P259" s="905"/>
      <c r="Q259" s="906"/>
      <c r="R259" s="907"/>
      <c r="S259" s="908"/>
      <c r="T259" s="909"/>
      <c r="U259" s="906"/>
      <c r="V259" s="907"/>
      <c r="W259" s="908"/>
      <c r="X259" s="905"/>
      <c r="Y259" s="906"/>
      <c r="Z259" s="907"/>
      <c r="AA259" s="908"/>
      <c r="AB259" s="905"/>
      <c r="AC259" s="906"/>
      <c r="AD259" s="907"/>
      <c r="AE259" s="908"/>
      <c r="AF259" s="563">
        <v>203</v>
      </c>
      <c r="AJ259" s="338"/>
    </row>
    <row r="260" spans="2:36" s="113" customFormat="1" x14ac:dyDescent="0.4">
      <c r="B260" s="80"/>
      <c r="C260" s="566">
        <v>206</v>
      </c>
      <c r="D260" s="905"/>
      <c r="E260" s="906"/>
      <c r="F260" s="907"/>
      <c r="G260" s="908"/>
      <c r="H260" s="905"/>
      <c r="I260" s="906"/>
      <c r="J260" s="907"/>
      <c r="K260" s="908"/>
      <c r="L260" s="905"/>
      <c r="M260" s="906"/>
      <c r="N260" s="907"/>
      <c r="O260" s="908"/>
      <c r="P260" s="905"/>
      <c r="Q260" s="906"/>
      <c r="R260" s="907"/>
      <c r="S260" s="908"/>
      <c r="T260" s="909"/>
      <c r="U260" s="906"/>
      <c r="V260" s="907"/>
      <c r="W260" s="908"/>
      <c r="X260" s="905"/>
      <c r="Y260" s="906"/>
      <c r="Z260" s="907"/>
      <c r="AA260" s="908"/>
      <c r="AB260" s="905"/>
      <c r="AC260" s="906"/>
      <c r="AD260" s="907"/>
      <c r="AE260" s="908"/>
      <c r="AF260" s="563">
        <v>206</v>
      </c>
      <c r="AJ260" s="338"/>
    </row>
    <row r="261" spans="2:36" s="113" customFormat="1" x14ac:dyDescent="0.4">
      <c r="B261" s="80"/>
      <c r="C261" s="566">
        <v>209</v>
      </c>
      <c r="D261" s="905"/>
      <c r="E261" s="906"/>
      <c r="F261" s="907"/>
      <c r="G261" s="908"/>
      <c r="H261" s="905"/>
      <c r="I261" s="906"/>
      <c r="J261" s="907"/>
      <c r="K261" s="908"/>
      <c r="L261" s="905"/>
      <c r="M261" s="906"/>
      <c r="N261" s="907"/>
      <c r="O261" s="908"/>
      <c r="P261" s="905"/>
      <c r="Q261" s="906"/>
      <c r="R261" s="907"/>
      <c r="S261" s="908"/>
      <c r="T261" s="909"/>
      <c r="U261" s="906"/>
      <c r="V261" s="907"/>
      <c r="W261" s="908"/>
      <c r="X261" s="905"/>
      <c r="Y261" s="906"/>
      <c r="Z261" s="907"/>
      <c r="AA261" s="908"/>
      <c r="AB261" s="905"/>
      <c r="AC261" s="906"/>
      <c r="AD261" s="907"/>
      <c r="AE261" s="908"/>
      <c r="AF261" s="563">
        <v>209</v>
      </c>
      <c r="AJ261" s="338"/>
    </row>
    <row r="262" spans="2:36" s="113" customFormat="1" x14ac:dyDescent="0.4">
      <c r="B262" s="80"/>
      <c r="C262" s="566">
        <v>212</v>
      </c>
      <c r="D262" s="905"/>
      <c r="E262" s="906"/>
      <c r="F262" s="907"/>
      <c r="G262" s="908"/>
      <c r="H262" s="905"/>
      <c r="I262" s="906"/>
      <c r="J262" s="907"/>
      <c r="K262" s="908"/>
      <c r="L262" s="905"/>
      <c r="M262" s="906"/>
      <c r="N262" s="907"/>
      <c r="O262" s="908"/>
      <c r="P262" s="905"/>
      <c r="Q262" s="906"/>
      <c r="R262" s="907"/>
      <c r="S262" s="908"/>
      <c r="T262" s="909"/>
      <c r="U262" s="906"/>
      <c r="V262" s="907"/>
      <c r="W262" s="908"/>
      <c r="X262" s="905"/>
      <c r="Y262" s="906"/>
      <c r="Z262" s="907"/>
      <c r="AA262" s="908"/>
      <c r="AB262" s="905"/>
      <c r="AC262" s="906"/>
      <c r="AD262" s="907"/>
      <c r="AE262" s="908"/>
      <c r="AF262" s="563">
        <v>212</v>
      </c>
      <c r="AJ262" s="338"/>
    </row>
    <row r="263" spans="2:36" s="113" customFormat="1" x14ac:dyDescent="0.4">
      <c r="B263" s="80"/>
      <c r="C263" s="566">
        <v>215</v>
      </c>
      <c r="D263" s="905"/>
      <c r="E263" s="906"/>
      <c r="F263" s="907"/>
      <c r="G263" s="908"/>
      <c r="H263" s="905"/>
      <c r="I263" s="906"/>
      <c r="J263" s="907"/>
      <c r="K263" s="908"/>
      <c r="L263" s="905"/>
      <c r="M263" s="906"/>
      <c r="N263" s="907"/>
      <c r="O263" s="908"/>
      <c r="P263" s="905"/>
      <c r="Q263" s="906"/>
      <c r="R263" s="907"/>
      <c r="S263" s="908"/>
      <c r="T263" s="909"/>
      <c r="U263" s="906"/>
      <c r="V263" s="907"/>
      <c r="W263" s="908"/>
      <c r="X263" s="905"/>
      <c r="Y263" s="906"/>
      <c r="Z263" s="907"/>
      <c r="AA263" s="908"/>
      <c r="AB263" s="905"/>
      <c r="AC263" s="906"/>
      <c r="AD263" s="907"/>
      <c r="AE263" s="908"/>
      <c r="AF263" s="563">
        <v>215</v>
      </c>
      <c r="AJ263" s="338"/>
    </row>
    <row r="264" spans="2:36" s="113" customFormat="1" x14ac:dyDescent="0.4">
      <c r="B264" s="80"/>
      <c r="C264" s="566">
        <v>218</v>
      </c>
      <c r="D264" s="905"/>
      <c r="E264" s="906"/>
      <c r="F264" s="907"/>
      <c r="G264" s="908"/>
      <c r="H264" s="905"/>
      <c r="I264" s="906"/>
      <c r="J264" s="907"/>
      <c r="K264" s="908"/>
      <c r="L264" s="905"/>
      <c r="M264" s="906"/>
      <c r="N264" s="907"/>
      <c r="O264" s="908"/>
      <c r="P264" s="905"/>
      <c r="Q264" s="906"/>
      <c r="R264" s="907"/>
      <c r="S264" s="908"/>
      <c r="T264" s="909"/>
      <c r="U264" s="906"/>
      <c r="V264" s="907"/>
      <c r="W264" s="908"/>
      <c r="X264" s="905"/>
      <c r="Y264" s="906"/>
      <c r="Z264" s="907"/>
      <c r="AA264" s="908"/>
      <c r="AB264" s="905"/>
      <c r="AC264" s="906"/>
      <c r="AD264" s="907"/>
      <c r="AE264" s="908"/>
      <c r="AF264" s="563">
        <v>218</v>
      </c>
      <c r="AJ264" s="338"/>
    </row>
    <row r="265" spans="2:36" s="113" customFormat="1" x14ac:dyDescent="0.4">
      <c r="B265" s="80"/>
      <c r="C265" s="566">
        <v>221</v>
      </c>
      <c r="D265" s="905"/>
      <c r="E265" s="906"/>
      <c r="F265" s="907"/>
      <c r="G265" s="908"/>
      <c r="H265" s="905"/>
      <c r="I265" s="906"/>
      <c r="J265" s="907"/>
      <c r="K265" s="908"/>
      <c r="L265" s="905"/>
      <c r="M265" s="906"/>
      <c r="N265" s="907"/>
      <c r="O265" s="908"/>
      <c r="P265" s="905"/>
      <c r="Q265" s="906"/>
      <c r="R265" s="907"/>
      <c r="S265" s="908"/>
      <c r="T265" s="909"/>
      <c r="U265" s="906"/>
      <c r="V265" s="907"/>
      <c r="W265" s="908"/>
      <c r="X265" s="905"/>
      <c r="Y265" s="906"/>
      <c r="Z265" s="907"/>
      <c r="AA265" s="908"/>
      <c r="AB265" s="905"/>
      <c r="AC265" s="906"/>
      <c r="AD265" s="907"/>
      <c r="AE265" s="908"/>
      <c r="AF265" s="563">
        <v>221</v>
      </c>
      <c r="AJ265" s="338"/>
    </row>
    <row r="266" spans="2:36" s="113" customFormat="1" x14ac:dyDescent="0.4">
      <c r="B266" s="80"/>
      <c r="C266" s="566">
        <v>224</v>
      </c>
      <c r="D266" s="905"/>
      <c r="E266" s="906"/>
      <c r="F266" s="907"/>
      <c r="G266" s="908"/>
      <c r="H266" s="905"/>
      <c r="I266" s="906"/>
      <c r="J266" s="907"/>
      <c r="K266" s="908"/>
      <c r="L266" s="905"/>
      <c r="M266" s="906"/>
      <c r="N266" s="907"/>
      <c r="O266" s="908"/>
      <c r="P266" s="905"/>
      <c r="Q266" s="906"/>
      <c r="R266" s="907"/>
      <c r="S266" s="908"/>
      <c r="T266" s="909"/>
      <c r="U266" s="906"/>
      <c r="V266" s="907"/>
      <c r="W266" s="908"/>
      <c r="X266" s="905"/>
      <c r="Y266" s="906"/>
      <c r="Z266" s="907"/>
      <c r="AA266" s="908"/>
      <c r="AB266" s="905"/>
      <c r="AC266" s="906"/>
      <c r="AD266" s="907"/>
      <c r="AE266" s="908"/>
      <c r="AF266" s="563">
        <v>224</v>
      </c>
      <c r="AJ266" s="338"/>
    </row>
    <row r="267" spans="2:36" s="113" customFormat="1" x14ac:dyDescent="0.4">
      <c r="B267" s="80"/>
      <c r="C267" s="566">
        <v>227</v>
      </c>
      <c r="D267" s="905"/>
      <c r="E267" s="906"/>
      <c r="F267" s="907"/>
      <c r="G267" s="908"/>
      <c r="H267" s="905"/>
      <c r="I267" s="906"/>
      <c r="J267" s="907"/>
      <c r="K267" s="908"/>
      <c r="L267" s="905"/>
      <c r="M267" s="906"/>
      <c r="N267" s="907"/>
      <c r="O267" s="908"/>
      <c r="P267" s="905"/>
      <c r="Q267" s="906"/>
      <c r="R267" s="907"/>
      <c r="S267" s="908"/>
      <c r="T267" s="909"/>
      <c r="U267" s="906"/>
      <c r="V267" s="907"/>
      <c r="W267" s="908"/>
      <c r="X267" s="905"/>
      <c r="Y267" s="906"/>
      <c r="Z267" s="907"/>
      <c r="AA267" s="908"/>
      <c r="AB267" s="905"/>
      <c r="AC267" s="906"/>
      <c r="AD267" s="907"/>
      <c r="AE267" s="908"/>
      <c r="AF267" s="563">
        <v>227</v>
      </c>
      <c r="AJ267" s="338"/>
    </row>
    <row r="268" spans="2:36" s="113" customFormat="1" x14ac:dyDescent="0.4">
      <c r="B268" s="80"/>
      <c r="C268" s="566">
        <v>230</v>
      </c>
      <c r="D268" s="905"/>
      <c r="E268" s="906"/>
      <c r="F268" s="907"/>
      <c r="G268" s="908"/>
      <c r="H268" s="905"/>
      <c r="I268" s="906"/>
      <c r="J268" s="907"/>
      <c r="K268" s="908"/>
      <c r="L268" s="905"/>
      <c r="M268" s="906"/>
      <c r="N268" s="907"/>
      <c r="O268" s="908"/>
      <c r="P268" s="905"/>
      <c r="Q268" s="906"/>
      <c r="R268" s="907"/>
      <c r="S268" s="908"/>
      <c r="T268" s="909"/>
      <c r="U268" s="906"/>
      <c r="V268" s="907"/>
      <c r="W268" s="908"/>
      <c r="X268" s="905"/>
      <c r="Y268" s="906"/>
      <c r="Z268" s="907"/>
      <c r="AA268" s="908"/>
      <c r="AB268" s="905"/>
      <c r="AC268" s="906"/>
      <c r="AD268" s="907"/>
      <c r="AE268" s="908"/>
      <c r="AF268" s="563">
        <v>230</v>
      </c>
      <c r="AJ268" s="338"/>
    </row>
    <row r="269" spans="2:36" s="113" customFormat="1" x14ac:dyDescent="0.4">
      <c r="B269" s="80"/>
      <c r="C269" s="566">
        <v>233</v>
      </c>
      <c r="D269" s="905"/>
      <c r="E269" s="906"/>
      <c r="F269" s="907"/>
      <c r="G269" s="908"/>
      <c r="H269" s="905"/>
      <c r="I269" s="906"/>
      <c r="J269" s="907"/>
      <c r="K269" s="908"/>
      <c r="L269" s="905"/>
      <c r="M269" s="906"/>
      <c r="N269" s="907"/>
      <c r="O269" s="908"/>
      <c r="P269" s="905"/>
      <c r="Q269" s="906"/>
      <c r="R269" s="907"/>
      <c r="S269" s="908"/>
      <c r="T269" s="909"/>
      <c r="U269" s="906"/>
      <c r="V269" s="907"/>
      <c r="W269" s="908"/>
      <c r="X269" s="905"/>
      <c r="Y269" s="906"/>
      <c r="Z269" s="907"/>
      <c r="AA269" s="908"/>
      <c r="AB269" s="905"/>
      <c r="AC269" s="906"/>
      <c r="AD269" s="907"/>
      <c r="AE269" s="908"/>
      <c r="AF269" s="563">
        <v>233</v>
      </c>
      <c r="AJ269" s="338"/>
    </row>
    <row r="270" spans="2:36" s="113" customFormat="1" x14ac:dyDescent="0.4">
      <c r="B270" s="80"/>
      <c r="C270" s="566">
        <v>236</v>
      </c>
      <c r="D270" s="905"/>
      <c r="E270" s="906"/>
      <c r="F270" s="907"/>
      <c r="G270" s="908"/>
      <c r="H270" s="905"/>
      <c r="I270" s="906"/>
      <c r="J270" s="907"/>
      <c r="K270" s="908"/>
      <c r="L270" s="905"/>
      <c r="M270" s="906"/>
      <c r="N270" s="907"/>
      <c r="O270" s="908"/>
      <c r="P270" s="905"/>
      <c r="Q270" s="906"/>
      <c r="R270" s="907"/>
      <c r="S270" s="908"/>
      <c r="T270" s="909"/>
      <c r="U270" s="906"/>
      <c r="V270" s="907"/>
      <c r="W270" s="908"/>
      <c r="X270" s="905"/>
      <c r="Y270" s="906"/>
      <c r="Z270" s="907"/>
      <c r="AA270" s="908"/>
      <c r="AB270" s="905"/>
      <c r="AC270" s="906"/>
      <c r="AD270" s="907"/>
      <c r="AE270" s="908"/>
      <c r="AF270" s="563">
        <v>236</v>
      </c>
      <c r="AJ270" s="338"/>
    </row>
    <row r="271" spans="2:36" s="113" customFormat="1" x14ac:dyDescent="0.4">
      <c r="B271" s="80"/>
      <c r="C271" s="566">
        <v>239</v>
      </c>
      <c r="D271" s="905"/>
      <c r="E271" s="906"/>
      <c r="F271" s="907"/>
      <c r="G271" s="908"/>
      <c r="H271" s="905"/>
      <c r="I271" s="906"/>
      <c r="J271" s="907"/>
      <c r="K271" s="908"/>
      <c r="L271" s="905"/>
      <c r="M271" s="906"/>
      <c r="N271" s="907"/>
      <c r="O271" s="908"/>
      <c r="P271" s="905"/>
      <c r="Q271" s="906"/>
      <c r="R271" s="907"/>
      <c r="S271" s="908"/>
      <c r="T271" s="909"/>
      <c r="U271" s="906"/>
      <c r="V271" s="907"/>
      <c r="W271" s="908"/>
      <c r="X271" s="905"/>
      <c r="Y271" s="906"/>
      <c r="Z271" s="907"/>
      <c r="AA271" s="908"/>
      <c r="AB271" s="905"/>
      <c r="AC271" s="906"/>
      <c r="AD271" s="907"/>
      <c r="AE271" s="908"/>
      <c r="AF271" s="563">
        <v>239</v>
      </c>
      <c r="AJ271" s="338"/>
    </row>
    <row r="272" spans="2:36" s="113" customFormat="1" x14ac:dyDescent="0.4">
      <c r="B272" s="80"/>
      <c r="C272" s="566">
        <v>242</v>
      </c>
      <c r="D272" s="905"/>
      <c r="E272" s="906"/>
      <c r="F272" s="907"/>
      <c r="G272" s="908"/>
      <c r="H272" s="905"/>
      <c r="I272" s="906"/>
      <c r="J272" s="907"/>
      <c r="K272" s="908"/>
      <c r="L272" s="905"/>
      <c r="M272" s="906"/>
      <c r="N272" s="907"/>
      <c r="O272" s="908"/>
      <c r="P272" s="905"/>
      <c r="Q272" s="906"/>
      <c r="R272" s="907"/>
      <c r="S272" s="908"/>
      <c r="T272" s="909"/>
      <c r="U272" s="906"/>
      <c r="V272" s="907"/>
      <c r="W272" s="908"/>
      <c r="X272" s="905"/>
      <c r="Y272" s="906"/>
      <c r="Z272" s="907"/>
      <c r="AA272" s="908"/>
      <c r="AB272" s="905"/>
      <c r="AC272" s="906"/>
      <c r="AD272" s="907"/>
      <c r="AE272" s="908"/>
      <c r="AF272" s="563">
        <v>242</v>
      </c>
      <c r="AJ272" s="338"/>
    </row>
    <row r="273" spans="2:36" s="113" customFormat="1" x14ac:dyDescent="0.4">
      <c r="B273" s="80"/>
      <c r="C273" s="566">
        <v>245</v>
      </c>
      <c r="D273" s="905"/>
      <c r="E273" s="906"/>
      <c r="F273" s="907"/>
      <c r="G273" s="908"/>
      <c r="H273" s="905"/>
      <c r="I273" s="906"/>
      <c r="J273" s="907"/>
      <c r="K273" s="908"/>
      <c r="L273" s="905"/>
      <c r="M273" s="906"/>
      <c r="N273" s="907"/>
      <c r="O273" s="908"/>
      <c r="P273" s="905"/>
      <c r="Q273" s="906"/>
      <c r="R273" s="907"/>
      <c r="S273" s="908"/>
      <c r="T273" s="909"/>
      <c r="U273" s="906"/>
      <c r="V273" s="907"/>
      <c r="W273" s="908"/>
      <c r="X273" s="905"/>
      <c r="Y273" s="906"/>
      <c r="Z273" s="907"/>
      <c r="AA273" s="908"/>
      <c r="AB273" s="905"/>
      <c r="AC273" s="906"/>
      <c r="AD273" s="907"/>
      <c r="AE273" s="908"/>
      <c r="AF273" s="563">
        <v>245</v>
      </c>
      <c r="AJ273" s="338"/>
    </row>
    <row r="274" spans="2:36" s="113" customFormat="1" x14ac:dyDescent="0.4">
      <c r="B274" s="80"/>
      <c r="C274" s="566">
        <v>248</v>
      </c>
      <c r="D274" s="905"/>
      <c r="E274" s="906"/>
      <c r="F274" s="907"/>
      <c r="G274" s="908"/>
      <c r="H274" s="905"/>
      <c r="I274" s="906"/>
      <c r="J274" s="907"/>
      <c r="K274" s="908"/>
      <c r="L274" s="905"/>
      <c r="M274" s="906"/>
      <c r="N274" s="907"/>
      <c r="O274" s="908"/>
      <c r="P274" s="905"/>
      <c r="Q274" s="906"/>
      <c r="R274" s="907"/>
      <c r="S274" s="908"/>
      <c r="T274" s="909"/>
      <c r="U274" s="906"/>
      <c r="V274" s="907"/>
      <c r="W274" s="908"/>
      <c r="X274" s="905"/>
      <c r="Y274" s="906"/>
      <c r="Z274" s="907"/>
      <c r="AA274" s="908"/>
      <c r="AB274" s="905"/>
      <c r="AC274" s="906"/>
      <c r="AD274" s="907"/>
      <c r="AE274" s="908"/>
      <c r="AF274" s="563">
        <v>248</v>
      </c>
      <c r="AJ274" s="338"/>
    </row>
    <row r="275" spans="2:36" s="113" customFormat="1" x14ac:dyDescent="0.4">
      <c r="B275" s="80"/>
      <c r="C275" s="566">
        <v>251</v>
      </c>
      <c r="D275" s="905"/>
      <c r="E275" s="906"/>
      <c r="F275" s="907"/>
      <c r="G275" s="908"/>
      <c r="H275" s="905"/>
      <c r="I275" s="906"/>
      <c r="J275" s="907"/>
      <c r="K275" s="908"/>
      <c r="L275" s="905"/>
      <c r="M275" s="906"/>
      <c r="N275" s="907"/>
      <c r="O275" s="908"/>
      <c r="P275" s="905"/>
      <c r="Q275" s="906"/>
      <c r="R275" s="907"/>
      <c r="S275" s="908"/>
      <c r="T275" s="909"/>
      <c r="U275" s="906"/>
      <c r="V275" s="907"/>
      <c r="W275" s="908"/>
      <c r="X275" s="905"/>
      <c r="Y275" s="906"/>
      <c r="Z275" s="907"/>
      <c r="AA275" s="908"/>
      <c r="AB275" s="905"/>
      <c r="AC275" s="906"/>
      <c r="AD275" s="907"/>
      <c r="AE275" s="908"/>
      <c r="AF275" s="563">
        <v>251</v>
      </c>
      <c r="AJ275" s="338"/>
    </row>
    <row r="276" spans="2:36" s="113" customFormat="1" x14ac:dyDescent="0.4">
      <c r="B276" s="80"/>
      <c r="C276" s="566">
        <v>254</v>
      </c>
      <c r="D276" s="905"/>
      <c r="E276" s="906"/>
      <c r="F276" s="907"/>
      <c r="G276" s="908"/>
      <c r="H276" s="905"/>
      <c r="I276" s="906"/>
      <c r="J276" s="907"/>
      <c r="K276" s="908"/>
      <c r="L276" s="905"/>
      <c r="M276" s="906"/>
      <c r="N276" s="907"/>
      <c r="O276" s="908"/>
      <c r="P276" s="905"/>
      <c r="Q276" s="906"/>
      <c r="R276" s="907"/>
      <c r="S276" s="908"/>
      <c r="T276" s="909"/>
      <c r="U276" s="906"/>
      <c r="V276" s="907"/>
      <c r="W276" s="908"/>
      <c r="X276" s="905"/>
      <c r="Y276" s="906"/>
      <c r="Z276" s="907"/>
      <c r="AA276" s="908"/>
      <c r="AB276" s="905"/>
      <c r="AC276" s="906"/>
      <c r="AD276" s="907"/>
      <c r="AE276" s="908"/>
      <c r="AF276" s="563">
        <v>254</v>
      </c>
      <c r="AJ276" s="338"/>
    </row>
    <row r="277" spans="2:36" s="113" customFormat="1" x14ac:dyDescent="0.4">
      <c r="B277" s="80"/>
      <c r="C277" s="566">
        <v>257</v>
      </c>
      <c r="D277" s="905"/>
      <c r="E277" s="906"/>
      <c r="F277" s="907"/>
      <c r="G277" s="908"/>
      <c r="H277" s="905"/>
      <c r="I277" s="906"/>
      <c r="J277" s="907"/>
      <c r="K277" s="908"/>
      <c r="L277" s="905"/>
      <c r="M277" s="906"/>
      <c r="N277" s="907"/>
      <c r="O277" s="908"/>
      <c r="P277" s="905"/>
      <c r="Q277" s="906"/>
      <c r="R277" s="907"/>
      <c r="S277" s="908"/>
      <c r="T277" s="909"/>
      <c r="U277" s="906"/>
      <c r="V277" s="907"/>
      <c r="W277" s="908"/>
      <c r="X277" s="905"/>
      <c r="Y277" s="906"/>
      <c r="Z277" s="907"/>
      <c r="AA277" s="908"/>
      <c r="AB277" s="905"/>
      <c r="AC277" s="906"/>
      <c r="AD277" s="907"/>
      <c r="AE277" s="908"/>
      <c r="AF277" s="563">
        <v>257</v>
      </c>
      <c r="AJ277" s="338"/>
    </row>
    <row r="278" spans="2:36" s="113" customFormat="1" x14ac:dyDescent="0.4">
      <c r="B278" s="80"/>
      <c r="C278" s="566">
        <v>260</v>
      </c>
      <c r="D278" s="905"/>
      <c r="E278" s="906"/>
      <c r="F278" s="907"/>
      <c r="G278" s="908"/>
      <c r="H278" s="905"/>
      <c r="I278" s="906"/>
      <c r="J278" s="907"/>
      <c r="K278" s="908"/>
      <c r="L278" s="905"/>
      <c r="M278" s="906"/>
      <c r="N278" s="907"/>
      <c r="O278" s="908"/>
      <c r="P278" s="905"/>
      <c r="Q278" s="906"/>
      <c r="R278" s="907"/>
      <c r="S278" s="908"/>
      <c r="T278" s="909"/>
      <c r="U278" s="906"/>
      <c r="V278" s="907"/>
      <c r="W278" s="908"/>
      <c r="X278" s="905"/>
      <c r="Y278" s="906"/>
      <c r="Z278" s="907"/>
      <c r="AA278" s="908"/>
      <c r="AB278" s="905"/>
      <c r="AC278" s="906"/>
      <c r="AD278" s="907"/>
      <c r="AE278" s="908"/>
      <c r="AF278" s="563">
        <v>260</v>
      </c>
      <c r="AJ278" s="338"/>
    </row>
    <row r="279" spans="2:36" s="113" customFormat="1" x14ac:dyDescent="0.4">
      <c r="B279" s="80"/>
      <c r="C279" s="566">
        <v>263</v>
      </c>
      <c r="D279" s="905"/>
      <c r="E279" s="906"/>
      <c r="F279" s="907"/>
      <c r="G279" s="908"/>
      <c r="H279" s="905"/>
      <c r="I279" s="906"/>
      <c r="J279" s="907"/>
      <c r="K279" s="908"/>
      <c r="L279" s="905"/>
      <c r="M279" s="906"/>
      <c r="N279" s="907"/>
      <c r="O279" s="908"/>
      <c r="P279" s="905"/>
      <c r="Q279" s="906"/>
      <c r="R279" s="907"/>
      <c r="S279" s="908"/>
      <c r="T279" s="909"/>
      <c r="U279" s="906"/>
      <c r="V279" s="907"/>
      <c r="W279" s="908"/>
      <c r="X279" s="905"/>
      <c r="Y279" s="906"/>
      <c r="Z279" s="907"/>
      <c r="AA279" s="908"/>
      <c r="AB279" s="905"/>
      <c r="AC279" s="906"/>
      <c r="AD279" s="907"/>
      <c r="AE279" s="908"/>
      <c r="AF279" s="563">
        <v>263</v>
      </c>
      <c r="AJ279" s="338"/>
    </row>
    <row r="280" spans="2:36" s="113" customFormat="1" x14ac:dyDescent="0.4">
      <c r="B280" s="80"/>
      <c r="C280" s="566">
        <v>266</v>
      </c>
      <c r="D280" s="905"/>
      <c r="E280" s="906"/>
      <c r="F280" s="907"/>
      <c r="G280" s="908"/>
      <c r="H280" s="905"/>
      <c r="I280" s="906"/>
      <c r="J280" s="907"/>
      <c r="K280" s="908"/>
      <c r="L280" s="905"/>
      <c r="M280" s="906"/>
      <c r="N280" s="907"/>
      <c r="O280" s="908"/>
      <c r="P280" s="905"/>
      <c r="Q280" s="906"/>
      <c r="R280" s="907"/>
      <c r="S280" s="908"/>
      <c r="T280" s="909"/>
      <c r="U280" s="906"/>
      <c r="V280" s="907"/>
      <c r="W280" s="908"/>
      <c r="X280" s="905"/>
      <c r="Y280" s="906"/>
      <c r="Z280" s="907"/>
      <c r="AA280" s="908"/>
      <c r="AB280" s="905"/>
      <c r="AC280" s="906"/>
      <c r="AD280" s="907"/>
      <c r="AE280" s="908"/>
      <c r="AF280" s="563">
        <v>266</v>
      </c>
      <c r="AJ280" s="338"/>
    </row>
    <row r="281" spans="2:36" s="113" customFormat="1" x14ac:dyDescent="0.4">
      <c r="B281" s="80"/>
      <c r="C281" s="566">
        <v>269</v>
      </c>
      <c r="D281" s="905"/>
      <c r="E281" s="906"/>
      <c r="F281" s="907"/>
      <c r="G281" s="908"/>
      <c r="H281" s="905"/>
      <c r="I281" s="906"/>
      <c r="J281" s="907"/>
      <c r="K281" s="908"/>
      <c r="L281" s="905"/>
      <c r="M281" s="906"/>
      <c r="N281" s="907"/>
      <c r="O281" s="908"/>
      <c r="P281" s="905"/>
      <c r="Q281" s="906"/>
      <c r="R281" s="907"/>
      <c r="S281" s="908"/>
      <c r="T281" s="909"/>
      <c r="U281" s="906"/>
      <c r="V281" s="907"/>
      <c r="W281" s="908"/>
      <c r="X281" s="905"/>
      <c r="Y281" s="906"/>
      <c r="Z281" s="907"/>
      <c r="AA281" s="908"/>
      <c r="AB281" s="905"/>
      <c r="AC281" s="906"/>
      <c r="AD281" s="907"/>
      <c r="AE281" s="908"/>
      <c r="AF281" s="563">
        <v>269</v>
      </c>
      <c r="AJ281" s="338"/>
    </row>
    <row r="282" spans="2:36" s="113" customFormat="1" x14ac:dyDescent="0.4">
      <c r="B282" s="80"/>
      <c r="C282" s="566">
        <v>272</v>
      </c>
      <c r="D282" s="905"/>
      <c r="E282" s="906"/>
      <c r="F282" s="907"/>
      <c r="G282" s="908"/>
      <c r="H282" s="905"/>
      <c r="I282" s="906"/>
      <c r="J282" s="907"/>
      <c r="K282" s="908"/>
      <c r="L282" s="905"/>
      <c r="M282" s="906"/>
      <c r="N282" s="907"/>
      <c r="O282" s="908"/>
      <c r="P282" s="905"/>
      <c r="Q282" s="906"/>
      <c r="R282" s="907"/>
      <c r="S282" s="908"/>
      <c r="T282" s="909"/>
      <c r="U282" s="906"/>
      <c r="V282" s="907"/>
      <c r="W282" s="908"/>
      <c r="X282" s="905"/>
      <c r="Y282" s="906"/>
      <c r="Z282" s="907"/>
      <c r="AA282" s="908"/>
      <c r="AB282" s="905"/>
      <c r="AC282" s="906"/>
      <c r="AD282" s="907"/>
      <c r="AE282" s="908"/>
      <c r="AF282" s="563">
        <v>272</v>
      </c>
      <c r="AJ282" s="338"/>
    </row>
    <row r="283" spans="2:36" s="113" customFormat="1" x14ac:dyDescent="0.4">
      <c r="B283" s="80"/>
      <c r="C283" s="566">
        <v>275</v>
      </c>
      <c r="D283" s="905"/>
      <c r="E283" s="906"/>
      <c r="F283" s="907"/>
      <c r="G283" s="908"/>
      <c r="H283" s="905"/>
      <c r="I283" s="906"/>
      <c r="J283" s="907"/>
      <c r="K283" s="908"/>
      <c r="L283" s="905"/>
      <c r="M283" s="906"/>
      <c r="N283" s="907"/>
      <c r="O283" s="908"/>
      <c r="P283" s="905"/>
      <c r="Q283" s="906"/>
      <c r="R283" s="907"/>
      <c r="S283" s="908"/>
      <c r="T283" s="909"/>
      <c r="U283" s="906"/>
      <c r="V283" s="907"/>
      <c r="W283" s="908"/>
      <c r="X283" s="905"/>
      <c r="Y283" s="906"/>
      <c r="Z283" s="907"/>
      <c r="AA283" s="908"/>
      <c r="AB283" s="905"/>
      <c r="AC283" s="906"/>
      <c r="AD283" s="907"/>
      <c r="AE283" s="908"/>
      <c r="AF283" s="563">
        <v>275</v>
      </c>
      <c r="AJ283" s="338"/>
    </row>
    <row r="284" spans="2:36" s="113" customFormat="1" x14ac:dyDescent="0.4">
      <c r="B284" s="80"/>
      <c r="C284" s="566">
        <v>278</v>
      </c>
      <c r="D284" s="905"/>
      <c r="E284" s="906"/>
      <c r="F284" s="907"/>
      <c r="G284" s="908"/>
      <c r="H284" s="905"/>
      <c r="I284" s="906"/>
      <c r="J284" s="907"/>
      <c r="K284" s="908"/>
      <c r="L284" s="905"/>
      <c r="M284" s="906"/>
      <c r="N284" s="907"/>
      <c r="O284" s="908"/>
      <c r="P284" s="905"/>
      <c r="Q284" s="906"/>
      <c r="R284" s="907"/>
      <c r="S284" s="908"/>
      <c r="T284" s="909"/>
      <c r="U284" s="906"/>
      <c r="V284" s="907"/>
      <c r="W284" s="908"/>
      <c r="X284" s="905"/>
      <c r="Y284" s="906"/>
      <c r="Z284" s="907"/>
      <c r="AA284" s="908"/>
      <c r="AB284" s="905"/>
      <c r="AC284" s="906"/>
      <c r="AD284" s="907"/>
      <c r="AE284" s="908"/>
      <c r="AF284" s="563">
        <v>278</v>
      </c>
      <c r="AJ284" s="338"/>
    </row>
    <row r="285" spans="2:36" s="113" customFormat="1" x14ac:dyDescent="0.4">
      <c r="B285" s="80"/>
      <c r="C285" s="566">
        <v>281</v>
      </c>
      <c r="D285" s="905"/>
      <c r="E285" s="906"/>
      <c r="F285" s="907"/>
      <c r="G285" s="908"/>
      <c r="H285" s="905"/>
      <c r="I285" s="906"/>
      <c r="J285" s="907"/>
      <c r="K285" s="908"/>
      <c r="L285" s="905"/>
      <c r="M285" s="906"/>
      <c r="N285" s="907"/>
      <c r="O285" s="908"/>
      <c r="P285" s="905"/>
      <c r="Q285" s="906"/>
      <c r="R285" s="907"/>
      <c r="S285" s="908"/>
      <c r="T285" s="909"/>
      <c r="U285" s="906"/>
      <c r="V285" s="907"/>
      <c r="W285" s="908"/>
      <c r="X285" s="905"/>
      <c r="Y285" s="906"/>
      <c r="Z285" s="907"/>
      <c r="AA285" s="908"/>
      <c r="AB285" s="905"/>
      <c r="AC285" s="906"/>
      <c r="AD285" s="907"/>
      <c r="AE285" s="908"/>
      <c r="AF285" s="563">
        <v>281</v>
      </c>
      <c r="AJ285" s="338"/>
    </row>
    <row r="286" spans="2:36" s="113" customFormat="1" x14ac:dyDescent="0.4">
      <c r="B286" s="80"/>
      <c r="C286" s="566">
        <v>284</v>
      </c>
      <c r="D286" s="905"/>
      <c r="E286" s="906"/>
      <c r="F286" s="907"/>
      <c r="G286" s="908"/>
      <c r="H286" s="905"/>
      <c r="I286" s="906"/>
      <c r="J286" s="907"/>
      <c r="K286" s="908"/>
      <c r="L286" s="905"/>
      <c r="M286" s="906"/>
      <c r="N286" s="907"/>
      <c r="O286" s="908"/>
      <c r="P286" s="905"/>
      <c r="Q286" s="906"/>
      <c r="R286" s="907"/>
      <c r="S286" s="908"/>
      <c r="T286" s="909"/>
      <c r="U286" s="906"/>
      <c r="V286" s="907"/>
      <c r="W286" s="908"/>
      <c r="X286" s="905"/>
      <c r="Y286" s="906"/>
      <c r="Z286" s="907"/>
      <c r="AA286" s="908"/>
      <c r="AB286" s="905"/>
      <c r="AC286" s="906"/>
      <c r="AD286" s="907"/>
      <c r="AE286" s="908"/>
      <c r="AF286" s="563">
        <v>284</v>
      </c>
      <c r="AJ286" s="338"/>
    </row>
    <row r="287" spans="2:36" s="113" customFormat="1" x14ac:dyDescent="0.4">
      <c r="B287" s="80"/>
      <c r="C287" s="566">
        <v>287</v>
      </c>
      <c r="D287" s="905"/>
      <c r="E287" s="906"/>
      <c r="F287" s="907"/>
      <c r="G287" s="908"/>
      <c r="H287" s="905"/>
      <c r="I287" s="906"/>
      <c r="J287" s="907"/>
      <c r="K287" s="908"/>
      <c r="L287" s="905"/>
      <c r="M287" s="906"/>
      <c r="N287" s="907"/>
      <c r="O287" s="908"/>
      <c r="P287" s="905"/>
      <c r="Q287" s="906"/>
      <c r="R287" s="907"/>
      <c r="S287" s="908"/>
      <c r="T287" s="909"/>
      <c r="U287" s="906"/>
      <c r="V287" s="907"/>
      <c r="W287" s="908"/>
      <c r="X287" s="905"/>
      <c r="Y287" s="906"/>
      <c r="Z287" s="907"/>
      <c r="AA287" s="908"/>
      <c r="AB287" s="905"/>
      <c r="AC287" s="906"/>
      <c r="AD287" s="907"/>
      <c r="AE287" s="908"/>
      <c r="AF287" s="563">
        <v>287</v>
      </c>
      <c r="AJ287" s="338"/>
    </row>
    <row r="288" spans="2:36" s="113" customFormat="1" x14ac:dyDescent="0.4">
      <c r="B288" s="80"/>
      <c r="C288" s="566">
        <v>290</v>
      </c>
      <c r="D288" s="905"/>
      <c r="E288" s="906"/>
      <c r="F288" s="907"/>
      <c r="G288" s="908"/>
      <c r="H288" s="905"/>
      <c r="I288" s="906"/>
      <c r="J288" s="907"/>
      <c r="K288" s="908"/>
      <c r="L288" s="905"/>
      <c r="M288" s="906"/>
      <c r="N288" s="907"/>
      <c r="O288" s="908"/>
      <c r="P288" s="905"/>
      <c r="Q288" s="906"/>
      <c r="R288" s="907"/>
      <c r="S288" s="908"/>
      <c r="T288" s="909"/>
      <c r="U288" s="906"/>
      <c r="V288" s="907"/>
      <c r="W288" s="908"/>
      <c r="X288" s="905"/>
      <c r="Y288" s="906"/>
      <c r="Z288" s="907"/>
      <c r="AA288" s="908"/>
      <c r="AB288" s="905"/>
      <c r="AC288" s="906"/>
      <c r="AD288" s="907"/>
      <c r="AE288" s="908"/>
      <c r="AF288" s="563">
        <v>290</v>
      </c>
      <c r="AJ288" s="338"/>
    </row>
    <row r="289" spans="2:36" s="113" customFormat="1" x14ac:dyDescent="0.4">
      <c r="B289" s="80"/>
      <c r="C289" s="566">
        <v>293</v>
      </c>
      <c r="D289" s="905"/>
      <c r="E289" s="906"/>
      <c r="F289" s="907"/>
      <c r="G289" s="908"/>
      <c r="H289" s="905"/>
      <c r="I289" s="906"/>
      <c r="J289" s="907"/>
      <c r="K289" s="908"/>
      <c r="L289" s="905"/>
      <c r="M289" s="906"/>
      <c r="N289" s="907"/>
      <c r="O289" s="908"/>
      <c r="P289" s="905"/>
      <c r="Q289" s="906"/>
      <c r="R289" s="907"/>
      <c r="S289" s="908"/>
      <c r="T289" s="909"/>
      <c r="U289" s="906"/>
      <c r="V289" s="907"/>
      <c r="W289" s="908"/>
      <c r="X289" s="905"/>
      <c r="Y289" s="906"/>
      <c r="Z289" s="907"/>
      <c r="AA289" s="908"/>
      <c r="AB289" s="905"/>
      <c r="AC289" s="906"/>
      <c r="AD289" s="907"/>
      <c r="AE289" s="908"/>
      <c r="AF289" s="563">
        <v>293</v>
      </c>
      <c r="AJ289" s="338"/>
    </row>
    <row r="290" spans="2:36" s="113" customFormat="1" x14ac:dyDescent="0.4">
      <c r="B290" s="80"/>
      <c r="C290" s="566">
        <v>296</v>
      </c>
      <c r="D290" s="905"/>
      <c r="E290" s="906"/>
      <c r="F290" s="907"/>
      <c r="G290" s="908"/>
      <c r="H290" s="905"/>
      <c r="I290" s="906"/>
      <c r="J290" s="907"/>
      <c r="K290" s="908"/>
      <c r="L290" s="905"/>
      <c r="M290" s="906"/>
      <c r="N290" s="907"/>
      <c r="O290" s="908"/>
      <c r="P290" s="905"/>
      <c r="Q290" s="906"/>
      <c r="R290" s="907"/>
      <c r="S290" s="908"/>
      <c r="T290" s="909"/>
      <c r="U290" s="906"/>
      <c r="V290" s="907"/>
      <c r="W290" s="908"/>
      <c r="X290" s="905"/>
      <c r="Y290" s="906"/>
      <c r="Z290" s="907"/>
      <c r="AA290" s="908"/>
      <c r="AB290" s="905"/>
      <c r="AC290" s="906"/>
      <c r="AD290" s="907"/>
      <c r="AE290" s="908"/>
      <c r="AF290" s="563">
        <v>296</v>
      </c>
      <c r="AJ290" s="338"/>
    </row>
    <row r="291" spans="2:36" s="113" customFormat="1" x14ac:dyDescent="0.4">
      <c r="B291" s="80"/>
      <c r="C291" s="566">
        <v>299</v>
      </c>
      <c r="D291" s="905"/>
      <c r="E291" s="906"/>
      <c r="F291" s="907"/>
      <c r="G291" s="908"/>
      <c r="H291" s="905"/>
      <c r="I291" s="906"/>
      <c r="J291" s="907"/>
      <c r="K291" s="908"/>
      <c r="L291" s="905"/>
      <c r="M291" s="906"/>
      <c r="N291" s="907"/>
      <c r="O291" s="908"/>
      <c r="P291" s="905"/>
      <c r="Q291" s="906"/>
      <c r="R291" s="907"/>
      <c r="S291" s="908"/>
      <c r="T291" s="909"/>
      <c r="U291" s="906"/>
      <c r="V291" s="907"/>
      <c r="W291" s="908"/>
      <c r="X291" s="905"/>
      <c r="Y291" s="906"/>
      <c r="Z291" s="907"/>
      <c r="AA291" s="908"/>
      <c r="AB291" s="905"/>
      <c r="AC291" s="906"/>
      <c r="AD291" s="907"/>
      <c r="AE291" s="908"/>
      <c r="AF291" s="563">
        <v>299</v>
      </c>
      <c r="AJ291" s="338"/>
    </row>
    <row r="292" spans="2:36" s="113" customFormat="1" x14ac:dyDescent="0.4">
      <c r="B292" s="80"/>
      <c r="C292" s="566">
        <v>302</v>
      </c>
      <c r="D292" s="905"/>
      <c r="E292" s="906"/>
      <c r="F292" s="907"/>
      <c r="G292" s="908"/>
      <c r="H292" s="905"/>
      <c r="I292" s="906"/>
      <c r="J292" s="907"/>
      <c r="K292" s="908"/>
      <c r="L292" s="905"/>
      <c r="M292" s="906"/>
      <c r="N292" s="907"/>
      <c r="O292" s="908"/>
      <c r="P292" s="905"/>
      <c r="Q292" s="906"/>
      <c r="R292" s="907"/>
      <c r="S292" s="908"/>
      <c r="T292" s="909"/>
      <c r="U292" s="906"/>
      <c r="V292" s="907"/>
      <c r="W292" s="908"/>
      <c r="X292" s="905"/>
      <c r="Y292" s="906"/>
      <c r="Z292" s="907"/>
      <c r="AA292" s="908"/>
      <c r="AB292" s="905"/>
      <c r="AC292" s="906"/>
      <c r="AD292" s="907"/>
      <c r="AE292" s="908"/>
      <c r="AF292" s="563">
        <v>302</v>
      </c>
      <c r="AJ292" s="338"/>
    </row>
    <row r="293" spans="2:36" s="113" customFormat="1" x14ac:dyDescent="0.4">
      <c r="B293" s="80"/>
      <c r="C293" s="566">
        <v>305</v>
      </c>
      <c r="D293" s="905"/>
      <c r="E293" s="906"/>
      <c r="F293" s="907"/>
      <c r="G293" s="908"/>
      <c r="H293" s="905"/>
      <c r="I293" s="906"/>
      <c r="J293" s="907"/>
      <c r="K293" s="908"/>
      <c r="L293" s="905"/>
      <c r="M293" s="906"/>
      <c r="N293" s="907"/>
      <c r="O293" s="908"/>
      <c r="P293" s="905"/>
      <c r="Q293" s="906"/>
      <c r="R293" s="907"/>
      <c r="S293" s="908"/>
      <c r="T293" s="909"/>
      <c r="U293" s="906"/>
      <c r="V293" s="907"/>
      <c r="W293" s="908"/>
      <c r="X293" s="905"/>
      <c r="Y293" s="906"/>
      <c r="Z293" s="907"/>
      <c r="AA293" s="908"/>
      <c r="AB293" s="905"/>
      <c r="AC293" s="906"/>
      <c r="AD293" s="907"/>
      <c r="AE293" s="908"/>
      <c r="AF293" s="563">
        <v>305</v>
      </c>
      <c r="AJ293" s="338"/>
    </row>
    <row r="294" spans="2:36" s="113" customFormat="1" x14ac:dyDescent="0.4">
      <c r="B294" s="80"/>
      <c r="C294" s="566">
        <v>308</v>
      </c>
      <c r="D294" s="905"/>
      <c r="E294" s="906"/>
      <c r="F294" s="907"/>
      <c r="G294" s="908"/>
      <c r="H294" s="905"/>
      <c r="I294" s="906"/>
      <c r="J294" s="907"/>
      <c r="K294" s="908"/>
      <c r="L294" s="905"/>
      <c r="M294" s="906"/>
      <c r="N294" s="907"/>
      <c r="O294" s="908"/>
      <c r="P294" s="905"/>
      <c r="Q294" s="906"/>
      <c r="R294" s="907"/>
      <c r="S294" s="908"/>
      <c r="T294" s="909"/>
      <c r="U294" s="906"/>
      <c r="V294" s="907"/>
      <c r="W294" s="908"/>
      <c r="X294" s="905"/>
      <c r="Y294" s="906"/>
      <c r="Z294" s="907"/>
      <c r="AA294" s="908"/>
      <c r="AB294" s="905"/>
      <c r="AC294" s="906"/>
      <c r="AD294" s="907"/>
      <c r="AE294" s="908"/>
      <c r="AF294" s="563">
        <v>308</v>
      </c>
      <c r="AJ294" s="338"/>
    </row>
    <row r="295" spans="2:36" s="113" customFormat="1" x14ac:dyDescent="0.4">
      <c r="B295" s="80"/>
      <c r="C295" s="566">
        <v>311</v>
      </c>
      <c r="D295" s="905"/>
      <c r="E295" s="906"/>
      <c r="F295" s="907"/>
      <c r="G295" s="908"/>
      <c r="H295" s="905"/>
      <c r="I295" s="906"/>
      <c r="J295" s="907"/>
      <c r="K295" s="908"/>
      <c r="L295" s="905"/>
      <c r="M295" s="906"/>
      <c r="N295" s="907"/>
      <c r="O295" s="908"/>
      <c r="P295" s="905"/>
      <c r="Q295" s="906"/>
      <c r="R295" s="907"/>
      <c r="S295" s="908"/>
      <c r="T295" s="909"/>
      <c r="U295" s="906"/>
      <c r="V295" s="907"/>
      <c r="W295" s="908"/>
      <c r="X295" s="905"/>
      <c r="Y295" s="906"/>
      <c r="Z295" s="907"/>
      <c r="AA295" s="908"/>
      <c r="AB295" s="905"/>
      <c r="AC295" s="906"/>
      <c r="AD295" s="907"/>
      <c r="AE295" s="908"/>
      <c r="AF295" s="563">
        <v>311</v>
      </c>
      <c r="AJ295" s="338"/>
    </row>
    <row r="296" spans="2:36" s="113" customFormat="1" x14ac:dyDescent="0.4">
      <c r="B296" s="80"/>
      <c r="C296" s="566">
        <v>314</v>
      </c>
      <c r="D296" s="905"/>
      <c r="E296" s="906"/>
      <c r="F296" s="907"/>
      <c r="G296" s="908"/>
      <c r="H296" s="905"/>
      <c r="I296" s="906"/>
      <c r="J296" s="907"/>
      <c r="K296" s="908"/>
      <c r="L296" s="905"/>
      <c r="M296" s="906"/>
      <c r="N296" s="907"/>
      <c r="O296" s="908"/>
      <c r="P296" s="905"/>
      <c r="Q296" s="906"/>
      <c r="R296" s="907"/>
      <c r="S296" s="908"/>
      <c r="T296" s="909"/>
      <c r="U296" s="906"/>
      <c r="V296" s="907"/>
      <c r="W296" s="908"/>
      <c r="X296" s="905"/>
      <c r="Y296" s="906"/>
      <c r="Z296" s="907"/>
      <c r="AA296" s="908"/>
      <c r="AB296" s="905"/>
      <c r="AC296" s="906"/>
      <c r="AD296" s="907"/>
      <c r="AE296" s="908"/>
      <c r="AF296" s="563">
        <v>314</v>
      </c>
      <c r="AJ296" s="338"/>
    </row>
    <row r="297" spans="2:36" s="113" customFormat="1" x14ac:dyDescent="0.4">
      <c r="B297" s="80"/>
      <c r="C297" s="566">
        <v>317</v>
      </c>
      <c r="D297" s="905"/>
      <c r="E297" s="906"/>
      <c r="F297" s="907"/>
      <c r="G297" s="908"/>
      <c r="H297" s="905"/>
      <c r="I297" s="906"/>
      <c r="J297" s="907"/>
      <c r="K297" s="908"/>
      <c r="L297" s="905"/>
      <c r="M297" s="906"/>
      <c r="N297" s="907"/>
      <c r="O297" s="908"/>
      <c r="P297" s="905"/>
      <c r="Q297" s="906"/>
      <c r="R297" s="907"/>
      <c r="S297" s="908"/>
      <c r="T297" s="909"/>
      <c r="U297" s="906"/>
      <c r="V297" s="907"/>
      <c r="W297" s="908"/>
      <c r="X297" s="905"/>
      <c r="Y297" s="906"/>
      <c r="Z297" s="907"/>
      <c r="AA297" s="908"/>
      <c r="AB297" s="905"/>
      <c r="AC297" s="906"/>
      <c r="AD297" s="907"/>
      <c r="AE297" s="908"/>
      <c r="AF297" s="563">
        <v>317</v>
      </c>
      <c r="AJ297" s="338"/>
    </row>
    <row r="298" spans="2:36" s="113" customFormat="1" x14ac:dyDescent="0.4">
      <c r="B298" s="80"/>
      <c r="C298" s="566">
        <v>320</v>
      </c>
      <c r="D298" s="905"/>
      <c r="E298" s="906"/>
      <c r="F298" s="907"/>
      <c r="G298" s="908"/>
      <c r="H298" s="905"/>
      <c r="I298" s="906"/>
      <c r="J298" s="907"/>
      <c r="K298" s="908"/>
      <c r="L298" s="905"/>
      <c r="M298" s="906"/>
      <c r="N298" s="907"/>
      <c r="O298" s="908"/>
      <c r="P298" s="905"/>
      <c r="Q298" s="906"/>
      <c r="R298" s="907"/>
      <c r="S298" s="908"/>
      <c r="T298" s="909"/>
      <c r="U298" s="906"/>
      <c r="V298" s="907"/>
      <c r="W298" s="908"/>
      <c r="X298" s="905"/>
      <c r="Y298" s="906"/>
      <c r="Z298" s="907"/>
      <c r="AA298" s="908"/>
      <c r="AB298" s="905"/>
      <c r="AC298" s="906"/>
      <c r="AD298" s="907"/>
      <c r="AE298" s="908"/>
      <c r="AF298" s="563">
        <v>320</v>
      </c>
      <c r="AJ298" s="338"/>
    </row>
    <row r="299" spans="2:36" s="113" customFormat="1" x14ac:dyDescent="0.4">
      <c r="B299" s="80"/>
      <c r="C299" s="566">
        <v>323</v>
      </c>
      <c r="D299" s="905"/>
      <c r="E299" s="906"/>
      <c r="F299" s="907"/>
      <c r="G299" s="908"/>
      <c r="H299" s="905"/>
      <c r="I299" s="906"/>
      <c r="J299" s="907"/>
      <c r="K299" s="908"/>
      <c r="L299" s="905"/>
      <c r="M299" s="906"/>
      <c r="N299" s="907"/>
      <c r="O299" s="908"/>
      <c r="P299" s="905"/>
      <c r="Q299" s="906"/>
      <c r="R299" s="907"/>
      <c r="S299" s="908"/>
      <c r="T299" s="909"/>
      <c r="U299" s="906"/>
      <c r="V299" s="907"/>
      <c r="W299" s="908"/>
      <c r="X299" s="905"/>
      <c r="Y299" s="906"/>
      <c r="Z299" s="907"/>
      <c r="AA299" s="908"/>
      <c r="AB299" s="905"/>
      <c r="AC299" s="906"/>
      <c r="AD299" s="907"/>
      <c r="AE299" s="908"/>
      <c r="AF299" s="563">
        <v>323</v>
      </c>
      <c r="AJ299" s="338"/>
    </row>
    <row r="300" spans="2:36" s="113" customFormat="1" x14ac:dyDescent="0.4">
      <c r="B300" s="80"/>
      <c r="C300" s="566">
        <v>326</v>
      </c>
      <c r="D300" s="905"/>
      <c r="E300" s="906"/>
      <c r="F300" s="907"/>
      <c r="G300" s="908"/>
      <c r="H300" s="905"/>
      <c r="I300" s="906"/>
      <c r="J300" s="907"/>
      <c r="K300" s="908"/>
      <c r="L300" s="905"/>
      <c r="M300" s="906"/>
      <c r="N300" s="907"/>
      <c r="O300" s="908"/>
      <c r="P300" s="905"/>
      <c r="Q300" s="906"/>
      <c r="R300" s="907"/>
      <c r="S300" s="908"/>
      <c r="T300" s="909"/>
      <c r="U300" s="906"/>
      <c r="V300" s="907"/>
      <c r="W300" s="908"/>
      <c r="X300" s="905"/>
      <c r="Y300" s="906"/>
      <c r="Z300" s="907"/>
      <c r="AA300" s="908"/>
      <c r="AB300" s="905"/>
      <c r="AC300" s="906"/>
      <c r="AD300" s="907"/>
      <c r="AE300" s="908"/>
      <c r="AF300" s="563">
        <v>326</v>
      </c>
      <c r="AJ300" s="338"/>
    </row>
    <row r="301" spans="2:36" s="113" customFormat="1" x14ac:dyDescent="0.4">
      <c r="B301" s="80"/>
      <c r="C301" s="566">
        <v>329</v>
      </c>
      <c r="D301" s="905"/>
      <c r="E301" s="906"/>
      <c r="F301" s="907"/>
      <c r="G301" s="908"/>
      <c r="H301" s="905"/>
      <c r="I301" s="906"/>
      <c r="J301" s="907"/>
      <c r="K301" s="908"/>
      <c r="L301" s="905"/>
      <c r="M301" s="906"/>
      <c r="N301" s="907"/>
      <c r="O301" s="908"/>
      <c r="P301" s="905"/>
      <c r="Q301" s="906"/>
      <c r="R301" s="907"/>
      <c r="S301" s="908"/>
      <c r="T301" s="909"/>
      <c r="U301" s="906"/>
      <c r="V301" s="907"/>
      <c r="W301" s="908"/>
      <c r="X301" s="905"/>
      <c r="Y301" s="906"/>
      <c r="Z301" s="907"/>
      <c r="AA301" s="908"/>
      <c r="AB301" s="905"/>
      <c r="AC301" s="906"/>
      <c r="AD301" s="907"/>
      <c r="AE301" s="908"/>
      <c r="AF301" s="563">
        <v>329</v>
      </c>
      <c r="AJ301" s="338"/>
    </row>
    <row r="302" spans="2:36" s="113" customFormat="1" x14ac:dyDescent="0.4">
      <c r="B302" s="80"/>
      <c r="C302" s="566">
        <v>332</v>
      </c>
      <c r="D302" s="905"/>
      <c r="E302" s="906"/>
      <c r="F302" s="907"/>
      <c r="G302" s="908"/>
      <c r="H302" s="905"/>
      <c r="I302" s="906"/>
      <c r="J302" s="907"/>
      <c r="K302" s="908"/>
      <c r="L302" s="905"/>
      <c r="M302" s="906"/>
      <c r="N302" s="907"/>
      <c r="O302" s="908"/>
      <c r="P302" s="905"/>
      <c r="Q302" s="906"/>
      <c r="R302" s="907"/>
      <c r="S302" s="908"/>
      <c r="T302" s="909"/>
      <c r="U302" s="906"/>
      <c r="V302" s="907"/>
      <c r="W302" s="908"/>
      <c r="X302" s="905"/>
      <c r="Y302" s="906"/>
      <c r="Z302" s="907"/>
      <c r="AA302" s="908"/>
      <c r="AB302" s="905"/>
      <c r="AC302" s="906"/>
      <c r="AD302" s="907"/>
      <c r="AE302" s="908"/>
      <c r="AF302" s="563">
        <v>332</v>
      </c>
      <c r="AJ302" s="338"/>
    </row>
    <row r="303" spans="2:36" s="113" customFormat="1" x14ac:dyDescent="0.4">
      <c r="B303" s="80"/>
      <c r="C303" s="566">
        <v>335</v>
      </c>
      <c r="D303" s="905"/>
      <c r="E303" s="906"/>
      <c r="F303" s="907"/>
      <c r="G303" s="908"/>
      <c r="H303" s="905"/>
      <c r="I303" s="906"/>
      <c r="J303" s="907"/>
      <c r="K303" s="908"/>
      <c r="L303" s="905"/>
      <c r="M303" s="906"/>
      <c r="N303" s="907"/>
      <c r="O303" s="908"/>
      <c r="P303" s="905"/>
      <c r="Q303" s="906"/>
      <c r="R303" s="907"/>
      <c r="S303" s="908"/>
      <c r="T303" s="909"/>
      <c r="U303" s="906"/>
      <c r="V303" s="907"/>
      <c r="W303" s="908"/>
      <c r="X303" s="905"/>
      <c r="Y303" s="906"/>
      <c r="Z303" s="907"/>
      <c r="AA303" s="908"/>
      <c r="AB303" s="905"/>
      <c r="AC303" s="906"/>
      <c r="AD303" s="907"/>
      <c r="AE303" s="908"/>
      <c r="AF303" s="563">
        <v>335</v>
      </c>
      <c r="AJ303" s="338"/>
    </row>
    <row r="304" spans="2:36" s="113" customFormat="1" x14ac:dyDescent="0.4">
      <c r="B304" s="80"/>
      <c r="C304" s="566">
        <v>338</v>
      </c>
      <c r="D304" s="905"/>
      <c r="E304" s="906"/>
      <c r="F304" s="907"/>
      <c r="G304" s="908"/>
      <c r="H304" s="905"/>
      <c r="I304" s="906"/>
      <c r="J304" s="907"/>
      <c r="K304" s="908"/>
      <c r="L304" s="905"/>
      <c r="M304" s="906"/>
      <c r="N304" s="907"/>
      <c r="O304" s="908"/>
      <c r="P304" s="905"/>
      <c r="Q304" s="906"/>
      <c r="R304" s="907"/>
      <c r="S304" s="908"/>
      <c r="T304" s="909"/>
      <c r="U304" s="906"/>
      <c r="V304" s="907"/>
      <c r="W304" s="908"/>
      <c r="X304" s="905"/>
      <c r="Y304" s="906"/>
      <c r="Z304" s="907"/>
      <c r="AA304" s="908"/>
      <c r="AB304" s="905"/>
      <c r="AC304" s="906"/>
      <c r="AD304" s="907"/>
      <c r="AE304" s="908"/>
      <c r="AF304" s="563">
        <v>338</v>
      </c>
      <c r="AJ304" s="338"/>
    </row>
    <row r="305" spans="2:36" s="113" customFormat="1" x14ac:dyDescent="0.4">
      <c r="B305" s="80"/>
      <c r="C305" s="566">
        <v>341</v>
      </c>
      <c r="D305" s="905"/>
      <c r="E305" s="906"/>
      <c r="F305" s="907"/>
      <c r="G305" s="908"/>
      <c r="H305" s="905"/>
      <c r="I305" s="906"/>
      <c r="J305" s="907"/>
      <c r="K305" s="908"/>
      <c r="L305" s="905"/>
      <c r="M305" s="906"/>
      <c r="N305" s="907"/>
      <c r="O305" s="908"/>
      <c r="P305" s="905"/>
      <c r="Q305" s="906"/>
      <c r="R305" s="907"/>
      <c r="S305" s="908"/>
      <c r="T305" s="909"/>
      <c r="U305" s="906"/>
      <c r="V305" s="907"/>
      <c r="W305" s="908"/>
      <c r="X305" s="905"/>
      <c r="Y305" s="906"/>
      <c r="Z305" s="907"/>
      <c r="AA305" s="908"/>
      <c r="AB305" s="905"/>
      <c r="AC305" s="906"/>
      <c r="AD305" s="907"/>
      <c r="AE305" s="908"/>
      <c r="AF305" s="563">
        <v>341</v>
      </c>
      <c r="AJ305" s="338"/>
    </row>
    <row r="306" spans="2:36" s="113" customFormat="1" x14ac:dyDescent="0.4">
      <c r="B306" s="80"/>
      <c r="C306" s="566">
        <v>344</v>
      </c>
      <c r="D306" s="905"/>
      <c r="E306" s="906"/>
      <c r="F306" s="907"/>
      <c r="G306" s="908"/>
      <c r="H306" s="905"/>
      <c r="I306" s="906"/>
      <c r="J306" s="907"/>
      <c r="K306" s="908"/>
      <c r="L306" s="905"/>
      <c r="M306" s="906"/>
      <c r="N306" s="907"/>
      <c r="O306" s="908"/>
      <c r="P306" s="905"/>
      <c r="Q306" s="906"/>
      <c r="R306" s="907"/>
      <c r="S306" s="908"/>
      <c r="T306" s="909"/>
      <c r="U306" s="906"/>
      <c r="V306" s="907"/>
      <c r="W306" s="908"/>
      <c r="X306" s="905"/>
      <c r="Y306" s="906"/>
      <c r="Z306" s="907"/>
      <c r="AA306" s="908"/>
      <c r="AB306" s="905"/>
      <c r="AC306" s="906"/>
      <c r="AD306" s="907"/>
      <c r="AE306" s="908"/>
      <c r="AF306" s="563">
        <v>344</v>
      </c>
      <c r="AJ306" s="338"/>
    </row>
    <row r="307" spans="2:36" s="113" customFormat="1" x14ac:dyDescent="0.4">
      <c r="B307" s="80"/>
      <c r="C307" s="566">
        <v>347</v>
      </c>
      <c r="D307" s="905"/>
      <c r="E307" s="906"/>
      <c r="F307" s="907"/>
      <c r="G307" s="908"/>
      <c r="H307" s="905"/>
      <c r="I307" s="906"/>
      <c r="J307" s="907"/>
      <c r="K307" s="908"/>
      <c r="L307" s="905"/>
      <c r="M307" s="906"/>
      <c r="N307" s="907"/>
      <c r="O307" s="908"/>
      <c r="P307" s="905"/>
      <c r="Q307" s="906"/>
      <c r="R307" s="907"/>
      <c r="S307" s="908"/>
      <c r="T307" s="909"/>
      <c r="U307" s="906"/>
      <c r="V307" s="907"/>
      <c r="W307" s="908"/>
      <c r="X307" s="905"/>
      <c r="Y307" s="906"/>
      <c r="Z307" s="907"/>
      <c r="AA307" s="908"/>
      <c r="AB307" s="905"/>
      <c r="AC307" s="906"/>
      <c r="AD307" s="907"/>
      <c r="AE307" s="908"/>
      <c r="AF307" s="563">
        <v>347</v>
      </c>
      <c r="AJ307" s="338"/>
    </row>
    <row r="308" spans="2:36" s="113" customFormat="1" x14ac:dyDescent="0.4">
      <c r="B308" s="80"/>
      <c r="C308" s="566">
        <v>350</v>
      </c>
      <c r="D308" s="905"/>
      <c r="E308" s="906"/>
      <c r="F308" s="907"/>
      <c r="G308" s="908"/>
      <c r="H308" s="905"/>
      <c r="I308" s="906"/>
      <c r="J308" s="907"/>
      <c r="K308" s="908"/>
      <c r="L308" s="905"/>
      <c r="M308" s="906"/>
      <c r="N308" s="907"/>
      <c r="O308" s="908"/>
      <c r="P308" s="905"/>
      <c r="Q308" s="906"/>
      <c r="R308" s="907"/>
      <c r="S308" s="908"/>
      <c r="T308" s="909"/>
      <c r="U308" s="906"/>
      <c r="V308" s="907"/>
      <c r="W308" s="908"/>
      <c r="X308" s="905"/>
      <c r="Y308" s="906"/>
      <c r="Z308" s="907"/>
      <c r="AA308" s="908"/>
      <c r="AB308" s="905"/>
      <c r="AC308" s="906"/>
      <c r="AD308" s="907"/>
      <c r="AE308" s="908"/>
      <c r="AF308" s="563">
        <v>350</v>
      </c>
      <c r="AJ308" s="338"/>
    </row>
    <row r="309" spans="2:36" s="113" customFormat="1" x14ac:dyDescent="0.4">
      <c r="B309" s="80"/>
      <c r="C309" s="566">
        <v>353</v>
      </c>
      <c r="D309" s="905"/>
      <c r="E309" s="906"/>
      <c r="F309" s="907"/>
      <c r="G309" s="908"/>
      <c r="H309" s="905"/>
      <c r="I309" s="906"/>
      <c r="J309" s="907"/>
      <c r="K309" s="908"/>
      <c r="L309" s="905"/>
      <c r="M309" s="906"/>
      <c r="N309" s="907"/>
      <c r="O309" s="908"/>
      <c r="P309" s="905"/>
      <c r="Q309" s="906"/>
      <c r="R309" s="907"/>
      <c r="S309" s="908"/>
      <c r="T309" s="909"/>
      <c r="U309" s="906"/>
      <c r="V309" s="907"/>
      <c r="W309" s="908"/>
      <c r="X309" s="905"/>
      <c r="Y309" s="906"/>
      <c r="Z309" s="907"/>
      <c r="AA309" s="908"/>
      <c r="AB309" s="905"/>
      <c r="AC309" s="906"/>
      <c r="AD309" s="907"/>
      <c r="AE309" s="908"/>
      <c r="AF309" s="563">
        <v>353</v>
      </c>
      <c r="AJ309" s="338"/>
    </row>
    <row r="310" spans="2:36" s="113" customFormat="1" x14ac:dyDescent="0.4">
      <c r="B310" s="80"/>
      <c r="C310" s="566">
        <v>356</v>
      </c>
      <c r="D310" s="905"/>
      <c r="E310" s="906"/>
      <c r="F310" s="907"/>
      <c r="G310" s="908"/>
      <c r="H310" s="905"/>
      <c r="I310" s="906"/>
      <c r="J310" s="907"/>
      <c r="K310" s="908"/>
      <c r="L310" s="905"/>
      <c r="M310" s="906"/>
      <c r="N310" s="907"/>
      <c r="O310" s="908"/>
      <c r="P310" s="905"/>
      <c r="Q310" s="906"/>
      <c r="R310" s="907"/>
      <c r="S310" s="908"/>
      <c r="T310" s="909"/>
      <c r="U310" s="906"/>
      <c r="V310" s="907"/>
      <c r="W310" s="908"/>
      <c r="X310" s="905"/>
      <c r="Y310" s="906"/>
      <c r="Z310" s="907"/>
      <c r="AA310" s="908"/>
      <c r="AB310" s="905"/>
      <c r="AC310" s="906"/>
      <c r="AD310" s="907"/>
      <c r="AE310" s="908"/>
      <c r="AF310" s="563">
        <v>356</v>
      </c>
      <c r="AJ310" s="338"/>
    </row>
    <row r="311" spans="2:36" s="113" customFormat="1" x14ac:dyDescent="0.4">
      <c r="B311" s="80"/>
      <c r="C311" s="566">
        <v>359</v>
      </c>
      <c r="D311" s="905"/>
      <c r="E311" s="906"/>
      <c r="F311" s="907"/>
      <c r="G311" s="908"/>
      <c r="H311" s="905"/>
      <c r="I311" s="906"/>
      <c r="J311" s="907"/>
      <c r="K311" s="908"/>
      <c r="L311" s="905"/>
      <c r="M311" s="906"/>
      <c r="N311" s="907"/>
      <c r="O311" s="908"/>
      <c r="P311" s="905"/>
      <c r="Q311" s="906"/>
      <c r="R311" s="907"/>
      <c r="S311" s="908"/>
      <c r="T311" s="909"/>
      <c r="U311" s="906"/>
      <c r="V311" s="907"/>
      <c r="W311" s="908"/>
      <c r="X311" s="905"/>
      <c r="Y311" s="906"/>
      <c r="Z311" s="907"/>
      <c r="AA311" s="908"/>
      <c r="AB311" s="905"/>
      <c r="AC311" s="906"/>
      <c r="AD311" s="907"/>
      <c r="AE311" s="908"/>
      <c r="AF311" s="563">
        <v>359</v>
      </c>
      <c r="AJ311" s="338"/>
    </row>
    <row r="312" spans="2:36" s="113" customFormat="1" x14ac:dyDescent="0.4">
      <c r="B312" s="80"/>
      <c r="C312" s="566">
        <v>362</v>
      </c>
      <c r="D312" s="905"/>
      <c r="E312" s="906"/>
      <c r="F312" s="907"/>
      <c r="G312" s="908"/>
      <c r="H312" s="905"/>
      <c r="I312" s="906"/>
      <c r="J312" s="907"/>
      <c r="K312" s="908"/>
      <c r="L312" s="905"/>
      <c r="M312" s="906"/>
      <c r="N312" s="907"/>
      <c r="O312" s="908"/>
      <c r="P312" s="905"/>
      <c r="Q312" s="906"/>
      <c r="R312" s="907"/>
      <c r="S312" s="908"/>
      <c r="T312" s="909"/>
      <c r="U312" s="906"/>
      <c r="V312" s="907"/>
      <c r="W312" s="908"/>
      <c r="X312" s="905"/>
      <c r="Y312" s="906"/>
      <c r="Z312" s="907"/>
      <c r="AA312" s="908"/>
      <c r="AB312" s="905"/>
      <c r="AC312" s="906"/>
      <c r="AD312" s="907"/>
      <c r="AE312" s="908"/>
      <c r="AF312" s="563">
        <v>362</v>
      </c>
      <c r="AJ312" s="338"/>
    </row>
    <row r="313" spans="2:36" s="113" customFormat="1" x14ac:dyDescent="0.4">
      <c r="B313" s="80"/>
      <c r="C313" s="566">
        <v>365</v>
      </c>
      <c r="D313" s="905"/>
      <c r="E313" s="906"/>
      <c r="F313" s="907"/>
      <c r="G313" s="908"/>
      <c r="H313" s="905"/>
      <c r="I313" s="906"/>
      <c r="J313" s="907"/>
      <c r="K313" s="908"/>
      <c r="L313" s="905"/>
      <c r="M313" s="906"/>
      <c r="N313" s="907"/>
      <c r="O313" s="908"/>
      <c r="P313" s="905"/>
      <c r="Q313" s="906"/>
      <c r="R313" s="907"/>
      <c r="S313" s="908"/>
      <c r="T313" s="909"/>
      <c r="U313" s="906"/>
      <c r="V313" s="907"/>
      <c r="W313" s="908"/>
      <c r="X313" s="905"/>
      <c r="Y313" s="906"/>
      <c r="Z313" s="907"/>
      <c r="AA313" s="908"/>
      <c r="AB313" s="905"/>
      <c r="AC313" s="906"/>
      <c r="AD313" s="907"/>
      <c r="AE313" s="908"/>
      <c r="AF313" s="563">
        <v>365</v>
      </c>
      <c r="AJ313" s="338"/>
    </row>
    <row r="314" spans="2:36" s="113" customFormat="1" x14ac:dyDescent="0.4">
      <c r="B314" s="80"/>
      <c r="C314" s="566">
        <v>368</v>
      </c>
      <c r="D314" s="905"/>
      <c r="E314" s="906"/>
      <c r="F314" s="907"/>
      <c r="G314" s="908"/>
      <c r="H314" s="905"/>
      <c r="I314" s="906"/>
      <c r="J314" s="907"/>
      <c r="K314" s="908"/>
      <c r="L314" s="905"/>
      <c r="M314" s="906"/>
      <c r="N314" s="907"/>
      <c r="O314" s="908"/>
      <c r="P314" s="905"/>
      <c r="Q314" s="906"/>
      <c r="R314" s="907"/>
      <c r="S314" s="908"/>
      <c r="T314" s="909"/>
      <c r="U314" s="906"/>
      <c r="V314" s="907"/>
      <c r="W314" s="908"/>
      <c r="X314" s="905"/>
      <c r="Y314" s="906"/>
      <c r="Z314" s="907"/>
      <c r="AA314" s="908"/>
      <c r="AB314" s="905"/>
      <c r="AC314" s="906"/>
      <c r="AD314" s="907"/>
      <c r="AE314" s="908"/>
      <c r="AF314" s="563">
        <v>368</v>
      </c>
      <c r="AJ314" s="338"/>
    </row>
    <row r="315" spans="2:36" s="113" customFormat="1" x14ac:dyDescent="0.4">
      <c r="B315" s="80"/>
      <c r="C315" s="566">
        <v>371</v>
      </c>
      <c r="D315" s="905"/>
      <c r="E315" s="906"/>
      <c r="F315" s="907"/>
      <c r="G315" s="908"/>
      <c r="H315" s="905"/>
      <c r="I315" s="906"/>
      <c r="J315" s="907"/>
      <c r="K315" s="908"/>
      <c r="L315" s="905"/>
      <c r="M315" s="906"/>
      <c r="N315" s="907"/>
      <c r="O315" s="908"/>
      <c r="P315" s="905"/>
      <c r="Q315" s="906"/>
      <c r="R315" s="907"/>
      <c r="S315" s="908"/>
      <c r="T315" s="909"/>
      <c r="U315" s="906"/>
      <c r="V315" s="907"/>
      <c r="W315" s="908"/>
      <c r="X315" s="905"/>
      <c r="Y315" s="906"/>
      <c r="Z315" s="907"/>
      <c r="AA315" s="908"/>
      <c r="AB315" s="905"/>
      <c r="AC315" s="906"/>
      <c r="AD315" s="907"/>
      <c r="AE315" s="908"/>
      <c r="AF315" s="563">
        <v>371</v>
      </c>
      <c r="AJ315" s="338"/>
    </row>
    <row r="316" spans="2:36" s="113" customFormat="1" x14ac:dyDescent="0.4">
      <c r="B316" s="80"/>
      <c r="C316" s="566">
        <v>374</v>
      </c>
      <c r="D316" s="905"/>
      <c r="E316" s="906"/>
      <c r="F316" s="907"/>
      <c r="G316" s="908"/>
      <c r="H316" s="905"/>
      <c r="I316" s="906"/>
      <c r="J316" s="907"/>
      <c r="K316" s="908"/>
      <c r="L316" s="905"/>
      <c r="M316" s="906"/>
      <c r="N316" s="907"/>
      <c r="O316" s="908"/>
      <c r="P316" s="905"/>
      <c r="Q316" s="906"/>
      <c r="R316" s="907"/>
      <c r="S316" s="908"/>
      <c r="T316" s="909"/>
      <c r="U316" s="906"/>
      <c r="V316" s="907"/>
      <c r="W316" s="908"/>
      <c r="X316" s="905"/>
      <c r="Y316" s="906"/>
      <c r="Z316" s="907"/>
      <c r="AA316" s="908"/>
      <c r="AB316" s="905"/>
      <c r="AC316" s="906"/>
      <c r="AD316" s="907"/>
      <c r="AE316" s="908"/>
      <c r="AF316" s="563">
        <v>374</v>
      </c>
      <c r="AJ316" s="338"/>
    </row>
    <row r="317" spans="2:36" s="113" customFormat="1" x14ac:dyDescent="0.4">
      <c r="B317" s="80"/>
      <c r="C317" s="566">
        <v>377</v>
      </c>
      <c r="D317" s="905"/>
      <c r="E317" s="906"/>
      <c r="F317" s="907"/>
      <c r="G317" s="908"/>
      <c r="H317" s="905"/>
      <c r="I317" s="906"/>
      <c r="J317" s="907"/>
      <c r="K317" s="908"/>
      <c r="L317" s="905"/>
      <c r="M317" s="906"/>
      <c r="N317" s="907"/>
      <c r="O317" s="908"/>
      <c r="P317" s="905"/>
      <c r="Q317" s="906"/>
      <c r="R317" s="907"/>
      <c r="S317" s="908"/>
      <c r="T317" s="909"/>
      <c r="U317" s="906"/>
      <c r="V317" s="907"/>
      <c r="W317" s="908"/>
      <c r="X317" s="905"/>
      <c r="Y317" s="906"/>
      <c r="Z317" s="907"/>
      <c r="AA317" s="908"/>
      <c r="AB317" s="905"/>
      <c r="AC317" s="906"/>
      <c r="AD317" s="907"/>
      <c r="AE317" s="908"/>
      <c r="AF317" s="563">
        <v>377</v>
      </c>
      <c r="AJ317" s="338"/>
    </row>
    <row r="318" spans="2:36" s="113" customFormat="1" x14ac:dyDescent="0.4">
      <c r="B318" s="80"/>
      <c r="C318" s="566">
        <v>380</v>
      </c>
      <c r="D318" s="905"/>
      <c r="E318" s="906"/>
      <c r="F318" s="907"/>
      <c r="G318" s="908"/>
      <c r="H318" s="905"/>
      <c r="I318" s="906"/>
      <c r="J318" s="907"/>
      <c r="K318" s="908"/>
      <c r="L318" s="905"/>
      <c r="M318" s="906"/>
      <c r="N318" s="907"/>
      <c r="O318" s="908"/>
      <c r="P318" s="905"/>
      <c r="Q318" s="906"/>
      <c r="R318" s="907"/>
      <c r="S318" s="908"/>
      <c r="T318" s="909"/>
      <c r="U318" s="906"/>
      <c r="V318" s="907"/>
      <c r="W318" s="908"/>
      <c r="X318" s="905"/>
      <c r="Y318" s="906"/>
      <c r="Z318" s="907"/>
      <c r="AA318" s="908"/>
      <c r="AB318" s="905"/>
      <c r="AC318" s="906"/>
      <c r="AD318" s="907"/>
      <c r="AE318" s="908"/>
      <c r="AF318" s="563">
        <v>380</v>
      </c>
      <c r="AJ318" s="338"/>
    </row>
    <row r="319" spans="2:36" s="113" customFormat="1" x14ac:dyDescent="0.4">
      <c r="B319" s="80"/>
      <c r="C319" s="566">
        <v>383</v>
      </c>
      <c r="D319" s="905"/>
      <c r="E319" s="906"/>
      <c r="F319" s="907"/>
      <c r="G319" s="908"/>
      <c r="H319" s="905"/>
      <c r="I319" s="906"/>
      <c r="J319" s="907"/>
      <c r="K319" s="908"/>
      <c r="L319" s="905"/>
      <c r="M319" s="906"/>
      <c r="N319" s="907"/>
      <c r="O319" s="908"/>
      <c r="P319" s="905"/>
      <c r="Q319" s="906"/>
      <c r="R319" s="907"/>
      <c r="S319" s="908"/>
      <c r="T319" s="909"/>
      <c r="U319" s="906"/>
      <c r="V319" s="907"/>
      <c r="W319" s="908"/>
      <c r="X319" s="905"/>
      <c r="Y319" s="906"/>
      <c r="Z319" s="907"/>
      <c r="AA319" s="908"/>
      <c r="AB319" s="905"/>
      <c r="AC319" s="906"/>
      <c r="AD319" s="907"/>
      <c r="AE319" s="908"/>
      <c r="AF319" s="563">
        <v>383</v>
      </c>
      <c r="AJ319" s="338"/>
    </row>
    <row r="320" spans="2:36" s="113" customFormat="1" x14ac:dyDescent="0.4">
      <c r="B320" s="80"/>
      <c r="C320" s="566">
        <v>386</v>
      </c>
      <c r="D320" s="905"/>
      <c r="E320" s="906"/>
      <c r="F320" s="907"/>
      <c r="G320" s="908"/>
      <c r="H320" s="905"/>
      <c r="I320" s="906"/>
      <c r="J320" s="907"/>
      <c r="K320" s="908"/>
      <c r="L320" s="905"/>
      <c r="M320" s="906"/>
      <c r="N320" s="907"/>
      <c r="O320" s="908"/>
      <c r="P320" s="905"/>
      <c r="Q320" s="906"/>
      <c r="R320" s="907"/>
      <c r="S320" s="908"/>
      <c r="T320" s="909"/>
      <c r="U320" s="906"/>
      <c r="V320" s="907"/>
      <c r="W320" s="908"/>
      <c r="X320" s="905"/>
      <c r="Y320" s="906"/>
      <c r="Z320" s="907"/>
      <c r="AA320" s="908"/>
      <c r="AB320" s="905"/>
      <c r="AC320" s="906"/>
      <c r="AD320" s="907"/>
      <c r="AE320" s="908"/>
      <c r="AF320" s="563">
        <v>386</v>
      </c>
      <c r="AJ320" s="338"/>
    </row>
    <row r="321" spans="2:36" s="113" customFormat="1" x14ac:dyDescent="0.4">
      <c r="B321" s="80"/>
      <c r="C321" s="566">
        <v>389</v>
      </c>
      <c r="D321" s="905"/>
      <c r="E321" s="906"/>
      <c r="F321" s="907"/>
      <c r="G321" s="908"/>
      <c r="H321" s="905"/>
      <c r="I321" s="906"/>
      <c r="J321" s="907"/>
      <c r="K321" s="908"/>
      <c r="L321" s="905"/>
      <c r="M321" s="906"/>
      <c r="N321" s="907"/>
      <c r="O321" s="908"/>
      <c r="P321" s="905"/>
      <c r="Q321" s="906"/>
      <c r="R321" s="907"/>
      <c r="S321" s="908"/>
      <c r="T321" s="909"/>
      <c r="U321" s="906"/>
      <c r="V321" s="907"/>
      <c r="W321" s="908"/>
      <c r="X321" s="905"/>
      <c r="Y321" s="906"/>
      <c r="Z321" s="907"/>
      <c r="AA321" s="908"/>
      <c r="AB321" s="905"/>
      <c r="AC321" s="906"/>
      <c r="AD321" s="907"/>
      <c r="AE321" s="908"/>
      <c r="AF321" s="563">
        <v>389</v>
      </c>
      <c r="AJ321" s="338"/>
    </row>
    <row r="322" spans="2:36" s="113" customFormat="1" x14ac:dyDescent="0.4">
      <c r="B322" s="80"/>
      <c r="C322" s="566">
        <v>392</v>
      </c>
      <c r="D322" s="905"/>
      <c r="E322" s="906"/>
      <c r="F322" s="907"/>
      <c r="G322" s="908"/>
      <c r="H322" s="905"/>
      <c r="I322" s="906"/>
      <c r="J322" s="907"/>
      <c r="K322" s="908"/>
      <c r="L322" s="905"/>
      <c r="M322" s="906"/>
      <c r="N322" s="907"/>
      <c r="O322" s="908"/>
      <c r="P322" s="905"/>
      <c r="Q322" s="906"/>
      <c r="R322" s="907"/>
      <c r="S322" s="908"/>
      <c r="T322" s="909"/>
      <c r="U322" s="906"/>
      <c r="V322" s="907"/>
      <c r="W322" s="908"/>
      <c r="X322" s="905"/>
      <c r="Y322" s="906"/>
      <c r="Z322" s="907"/>
      <c r="AA322" s="908"/>
      <c r="AB322" s="905"/>
      <c r="AC322" s="906"/>
      <c r="AD322" s="907"/>
      <c r="AE322" s="908"/>
      <c r="AF322" s="563">
        <v>392</v>
      </c>
      <c r="AJ322" s="338"/>
    </row>
    <row r="323" spans="2:36" s="113" customFormat="1" x14ac:dyDescent="0.4">
      <c r="B323" s="80"/>
      <c r="C323" s="566">
        <v>395</v>
      </c>
      <c r="D323" s="905"/>
      <c r="E323" s="906"/>
      <c r="F323" s="907"/>
      <c r="G323" s="908"/>
      <c r="H323" s="905"/>
      <c r="I323" s="906"/>
      <c r="J323" s="907"/>
      <c r="K323" s="908"/>
      <c r="L323" s="905"/>
      <c r="M323" s="906"/>
      <c r="N323" s="907"/>
      <c r="O323" s="908"/>
      <c r="P323" s="905"/>
      <c r="Q323" s="906"/>
      <c r="R323" s="907"/>
      <c r="S323" s="908"/>
      <c r="T323" s="909"/>
      <c r="U323" s="906"/>
      <c r="V323" s="907"/>
      <c r="W323" s="908"/>
      <c r="X323" s="905"/>
      <c r="Y323" s="906"/>
      <c r="Z323" s="907"/>
      <c r="AA323" s="908"/>
      <c r="AB323" s="905"/>
      <c r="AC323" s="906"/>
      <c r="AD323" s="907"/>
      <c r="AE323" s="908"/>
      <c r="AF323" s="563">
        <v>395</v>
      </c>
      <c r="AJ323" s="338"/>
    </row>
    <row r="324" spans="2:36" s="113" customFormat="1" x14ac:dyDescent="0.4">
      <c r="B324" s="80"/>
      <c r="C324" s="566">
        <v>398</v>
      </c>
      <c r="D324" s="905"/>
      <c r="E324" s="906"/>
      <c r="F324" s="907"/>
      <c r="G324" s="908"/>
      <c r="H324" s="905"/>
      <c r="I324" s="906"/>
      <c r="J324" s="907"/>
      <c r="K324" s="908"/>
      <c r="L324" s="905"/>
      <c r="M324" s="906"/>
      <c r="N324" s="907"/>
      <c r="O324" s="908"/>
      <c r="P324" s="905"/>
      <c r="Q324" s="906"/>
      <c r="R324" s="907"/>
      <c r="S324" s="908"/>
      <c r="T324" s="909"/>
      <c r="U324" s="906"/>
      <c r="V324" s="907"/>
      <c r="W324" s="908"/>
      <c r="X324" s="905"/>
      <c r="Y324" s="906"/>
      <c r="Z324" s="907"/>
      <c r="AA324" s="908"/>
      <c r="AB324" s="905"/>
      <c r="AC324" s="906"/>
      <c r="AD324" s="907"/>
      <c r="AE324" s="908"/>
      <c r="AF324" s="563">
        <v>398</v>
      </c>
      <c r="AJ324" s="338"/>
    </row>
    <row r="325" spans="2:36" s="113" customFormat="1" x14ac:dyDescent="0.4">
      <c r="B325" s="80"/>
      <c r="C325" s="566">
        <v>401</v>
      </c>
      <c r="D325" s="905"/>
      <c r="E325" s="906"/>
      <c r="F325" s="907"/>
      <c r="G325" s="908"/>
      <c r="H325" s="905"/>
      <c r="I325" s="906"/>
      <c r="J325" s="907"/>
      <c r="K325" s="908"/>
      <c r="L325" s="905"/>
      <c r="M325" s="906"/>
      <c r="N325" s="907"/>
      <c r="O325" s="908"/>
      <c r="P325" s="905"/>
      <c r="Q325" s="906"/>
      <c r="R325" s="907"/>
      <c r="S325" s="908"/>
      <c r="T325" s="909"/>
      <c r="U325" s="906"/>
      <c r="V325" s="907"/>
      <c r="W325" s="908"/>
      <c r="X325" s="905"/>
      <c r="Y325" s="906"/>
      <c r="Z325" s="907"/>
      <c r="AA325" s="908"/>
      <c r="AB325" s="905"/>
      <c r="AC325" s="906"/>
      <c r="AD325" s="907"/>
      <c r="AE325" s="908"/>
      <c r="AF325" s="563">
        <v>401</v>
      </c>
      <c r="AJ325" s="338"/>
    </row>
    <row r="326" spans="2:36" s="113" customFormat="1" x14ac:dyDescent="0.4">
      <c r="B326" s="80"/>
      <c r="C326" s="566">
        <v>404</v>
      </c>
      <c r="D326" s="905"/>
      <c r="E326" s="906"/>
      <c r="F326" s="907"/>
      <c r="G326" s="908"/>
      <c r="H326" s="905"/>
      <c r="I326" s="906"/>
      <c r="J326" s="907"/>
      <c r="K326" s="908"/>
      <c r="L326" s="905"/>
      <c r="M326" s="906"/>
      <c r="N326" s="907"/>
      <c r="O326" s="908"/>
      <c r="P326" s="905"/>
      <c r="Q326" s="906"/>
      <c r="R326" s="907"/>
      <c r="S326" s="908"/>
      <c r="T326" s="909"/>
      <c r="U326" s="906"/>
      <c r="V326" s="907"/>
      <c r="W326" s="908"/>
      <c r="X326" s="905"/>
      <c r="Y326" s="906"/>
      <c r="Z326" s="907"/>
      <c r="AA326" s="908"/>
      <c r="AB326" s="905"/>
      <c r="AC326" s="906"/>
      <c r="AD326" s="907"/>
      <c r="AE326" s="908"/>
      <c r="AF326" s="563">
        <v>404</v>
      </c>
      <c r="AJ326" s="338"/>
    </row>
    <row r="327" spans="2:36" s="113" customFormat="1" x14ac:dyDescent="0.4">
      <c r="B327" s="80"/>
      <c r="C327" s="566">
        <v>407</v>
      </c>
      <c r="D327" s="905"/>
      <c r="E327" s="906"/>
      <c r="F327" s="907"/>
      <c r="G327" s="908"/>
      <c r="H327" s="905"/>
      <c r="I327" s="906"/>
      <c r="J327" s="907"/>
      <c r="K327" s="908"/>
      <c r="L327" s="905"/>
      <c r="M327" s="906"/>
      <c r="N327" s="907"/>
      <c r="O327" s="908"/>
      <c r="P327" s="905"/>
      <c r="Q327" s="906"/>
      <c r="R327" s="907"/>
      <c r="S327" s="908"/>
      <c r="T327" s="909"/>
      <c r="U327" s="906"/>
      <c r="V327" s="907"/>
      <c r="W327" s="908"/>
      <c r="X327" s="905"/>
      <c r="Y327" s="906"/>
      <c r="Z327" s="907"/>
      <c r="AA327" s="908"/>
      <c r="AB327" s="905"/>
      <c r="AC327" s="906"/>
      <c r="AD327" s="907"/>
      <c r="AE327" s="908"/>
      <c r="AF327" s="563">
        <v>407</v>
      </c>
      <c r="AJ327" s="338"/>
    </row>
    <row r="328" spans="2:36" s="113" customFormat="1" x14ac:dyDescent="0.4">
      <c r="B328" s="80"/>
      <c r="C328" s="566">
        <v>410</v>
      </c>
      <c r="D328" s="905"/>
      <c r="E328" s="906"/>
      <c r="F328" s="907"/>
      <c r="G328" s="908"/>
      <c r="H328" s="905"/>
      <c r="I328" s="906"/>
      <c r="J328" s="907"/>
      <c r="K328" s="908"/>
      <c r="L328" s="905"/>
      <c r="M328" s="906"/>
      <c r="N328" s="907"/>
      <c r="O328" s="908"/>
      <c r="P328" s="905"/>
      <c r="Q328" s="906"/>
      <c r="R328" s="907"/>
      <c r="S328" s="908"/>
      <c r="T328" s="909"/>
      <c r="U328" s="906"/>
      <c r="V328" s="907"/>
      <c r="W328" s="908"/>
      <c r="X328" s="905"/>
      <c r="Y328" s="906"/>
      <c r="Z328" s="907"/>
      <c r="AA328" s="908"/>
      <c r="AB328" s="905"/>
      <c r="AC328" s="906"/>
      <c r="AD328" s="907"/>
      <c r="AE328" s="908"/>
      <c r="AF328" s="563">
        <v>410</v>
      </c>
      <c r="AJ328" s="338"/>
    </row>
    <row r="329" spans="2:36" s="113" customFormat="1" x14ac:dyDescent="0.4">
      <c r="B329" s="80"/>
      <c r="C329" s="566">
        <v>413</v>
      </c>
      <c r="D329" s="905"/>
      <c r="E329" s="906"/>
      <c r="F329" s="907"/>
      <c r="G329" s="908"/>
      <c r="H329" s="905"/>
      <c r="I329" s="906"/>
      <c r="J329" s="907"/>
      <c r="K329" s="908"/>
      <c r="L329" s="905"/>
      <c r="M329" s="906"/>
      <c r="N329" s="907"/>
      <c r="O329" s="908"/>
      <c r="P329" s="905"/>
      <c r="Q329" s="906"/>
      <c r="R329" s="907"/>
      <c r="S329" s="908"/>
      <c r="T329" s="909"/>
      <c r="U329" s="906"/>
      <c r="V329" s="907"/>
      <c r="W329" s="908"/>
      <c r="X329" s="905"/>
      <c r="Y329" s="906"/>
      <c r="Z329" s="907"/>
      <c r="AA329" s="908"/>
      <c r="AB329" s="905"/>
      <c r="AC329" s="906"/>
      <c r="AD329" s="907"/>
      <c r="AE329" s="908"/>
      <c r="AF329" s="563">
        <v>413</v>
      </c>
      <c r="AJ329" s="338"/>
    </row>
    <row r="330" spans="2:36" s="113" customFormat="1" x14ac:dyDescent="0.4">
      <c r="B330" s="80"/>
      <c r="C330" s="566">
        <v>416</v>
      </c>
      <c r="D330" s="905"/>
      <c r="E330" s="906"/>
      <c r="F330" s="907"/>
      <c r="G330" s="908"/>
      <c r="H330" s="905"/>
      <c r="I330" s="906"/>
      <c r="J330" s="907"/>
      <c r="K330" s="908"/>
      <c r="L330" s="905"/>
      <c r="M330" s="906"/>
      <c r="N330" s="907"/>
      <c r="O330" s="908"/>
      <c r="P330" s="905"/>
      <c r="Q330" s="906"/>
      <c r="R330" s="907"/>
      <c r="S330" s="908"/>
      <c r="T330" s="909"/>
      <c r="U330" s="906"/>
      <c r="V330" s="907"/>
      <c r="W330" s="908"/>
      <c r="X330" s="905"/>
      <c r="Y330" s="906"/>
      <c r="Z330" s="907"/>
      <c r="AA330" s="908"/>
      <c r="AB330" s="905"/>
      <c r="AC330" s="906"/>
      <c r="AD330" s="907"/>
      <c r="AE330" s="908"/>
      <c r="AF330" s="563">
        <v>416</v>
      </c>
      <c r="AJ330" s="338"/>
    </row>
    <row r="331" spans="2:36" s="113" customFormat="1" x14ac:dyDescent="0.4">
      <c r="B331" s="80"/>
      <c r="C331" s="566">
        <v>419</v>
      </c>
      <c r="D331" s="905"/>
      <c r="E331" s="906"/>
      <c r="F331" s="907"/>
      <c r="G331" s="908"/>
      <c r="H331" s="905"/>
      <c r="I331" s="906"/>
      <c r="J331" s="907"/>
      <c r="K331" s="908"/>
      <c r="L331" s="905"/>
      <c r="M331" s="906"/>
      <c r="N331" s="907"/>
      <c r="O331" s="908"/>
      <c r="P331" s="905"/>
      <c r="Q331" s="906"/>
      <c r="R331" s="907"/>
      <c r="S331" s="908"/>
      <c r="T331" s="909"/>
      <c r="U331" s="906"/>
      <c r="V331" s="907"/>
      <c r="W331" s="908"/>
      <c r="X331" s="905"/>
      <c r="Y331" s="906"/>
      <c r="Z331" s="907"/>
      <c r="AA331" s="908"/>
      <c r="AB331" s="905"/>
      <c r="AC331" s="906"/>
      <c r="AD331" s="907"/>
      <c r="AE331" s="908"/>
      <c r="AF331" s="563">
        <v>419</v>
      </c>
      <c r="AJ331" s="338"/>
    </row>
    <row r="332" spans="2:36" s="113" customFormat="1" x14ac:dyDescent="0.4">
      <c r="B332" s="80"/>
      <c r="C332" s="566">
        <v>422</v>
      </c>
      <c r="D332" s="905"/>
      <c r="E332" s="906"/>
      <c r="F332" s="907"/>
      <c r="G332" s="908"/>
      <c r="H332" s="905"/>
      <c r="I332" s="906"/>
      <c r="J332" s="907"/>
      <c r="K332" s="908"/>
      <c r="L332" s="905"/>
      <c r="M332" s="906"/>
      <c r="N332" s="907"/>
      <c r="O332" s="908"/>
      <c r="P332" s="905"/>
      <c r="Q332" s="906"/>
      <c r="R332" s="907"/>
      <c r="S332" s="908"/>
      <c r="T332" s="909"/>
      <c r="U332" s="906"/>
      <c r="V332" s="907"/>
      <c r="W332" s="908"/>
      <c r="X332" s="905"/>
      <c r="Y332" s="906"/>
      <c r="Z332" s="907"/>
      <c r="AA332" s="908"/>
      <c r="AB332" s="905"/>
      <c r="AC332" s="906"/>
      <c r="AD332" s="907"/>
      <c r="AE332" s="908"/>
      <c r="AF332" s="563">
        <v>422</v>
      </c>
      <c r="AJ332" s="338"/>
    </row>
    <row r="333" spans="2:36" s="113" customFormat="1" x14ac:dyDescent="0.4">
      <c r="B333" s="80"/>
      <c r="C333" s="566">
        <v>425</v>
      </c>
      <c r="D333" s="905"/>
      <c r="E333" s="906"/>
      <c r="F333" s="907"/>
      <c r="G333" s="908"/>
      <c r="H333" s="905"/>
      <c r="I333" s="906"/>
      <c r="J333" s="907"/>
      <c r="K333" s="908"/>
      <c r="L333" s="905"/>
      <c r="M333" s="906"/>
      <c r="N333" s="907"/>
      <c r="O333" s="908"/>
      <c r="P333" s="905"/>
      <c r="Q333" s="906"/>
      <c r="R333" s="907"/>
      <c r="S333" s="908"/>
      <c r="T333" s="909"/>
      <c r="U333" s="906"/>
      <c r="V333" s="907"/>
      <c r="W333" s="908"/>
      <c r="X333" s="905"/>
      <c r="Y333" s="906"/>
      <c r="Z333" s="907"/>
      <c r="AA333" s="908"/>
      <c r="AB333" s="905"/>
      <c r="AC333" s="906"/>
      <c r="AD333" s="907"/>
      <c r="AE333" s="908"/>
      <c r="AF333" s="563">
        <v>425</v>
      </c>
      <c r="AJ333" s="338"/>
    </row>
    <row r="334" spans="2:36" s="113" customFormat="1" x14ac:dyDescent="0.4">
      <c r="B334" s="80"/>
      <c r="C334" s="566">
        <v>428</v>
      </c>
      <c r="D334" s="905"/>
      <c r="E334" s="906"/>
      <c r="F334" s="907"/>
      <c r="G334" s="908"/>
      <c r="H334" s="905"/>
      <c r="I334" s="906"/>
      <c r="J334" s="907"/>
      <c r="K334" s="908"/>
      <c r="L334" s="905"/>
      <c r="M334" s="906"/>
      <c r="N334" s="907"/>
      <c r="O334" s="908"/>
      <c r="P334" s="905"/>
      <c r="Q334" s="906"/>
      <c r="R334" s="907"/>
      <c r="S334" s="908"/>
      <c r="T334" s="909"/>
      <c r="U334" s="906"/>
      <c r="V334" s="907"/>
      <c r="W334" s="908"/>
      <c r="X334" s="905"/>
      <c r="Y334" s="906"/>
      <c r="Z334" s="907"/>
      <c r="AA334" s="908"/>
      <c r="AB334" s="905"/>
      <c r="AC334" s="906"/>
      <c r="AD334" s="907"/>
      <c r="AE334" s="908"/>
      <c r="AF334" s="563">
        <v>428</v>
      </c>
      <c r="AJ334" s="338"/>
    </row>
    <row r="335" spans="2:36" s="113" customFormat="1" x14ac:dyDescent="0.4">
      <c r="B335" s="80"/>
      <c r="C335" s="566">
        <v>431</v>
      </c>
      <c r="D335" s="905"/>
      <c r="E335" s="906"/>
      <c r="F335" s="907"/>
      <c r="G335" s="908"/>
      <c r="H335" s="905"/>
      <c r="I335" s="906"/>
      <c r="J335" s="907"/>
      <c r="K335" s="908"/>
      <c r="L335" s="905"/>
      <c r="M335" s="906"/>
      <c r="N335" s="907"/>
      <c r="O335" s="908"/>
      <c r="P335" s="905"/>
      <c r="Q335" s="906"/>
      <c r="R335" s="907"/>
      <c r="S335" s="908"/>
      <c r="T335" s="909"/>
      <c r="U335" s="906"/>
      <c r="V335" s="907"/>
      <c r="W335" s="908"/>
      <c r="X335" s="905"/>
      <c r="Y335" s="906"/>
      <c r="Z335" s="907"/>
      <c r="AA335" s="908"/>
      <c r="AB335" s="905"/>
      <c r="AC335" s="906"/>
      <c r="AD335" s="907"/>
      <c r="AE335" s="908"/>
      <c r="AF335" s="563">
        <v>431</v>
      </c>
      <c r="AJ335" s="338"/>
    </row>
    <row r="336" spans="2:36" s="113" customFormat="1" x14ac:dyDescent="0.4">
      <c r="B336" s="80"/>
      <c r="C336" s="566">
        <v>434</v>
      </c>
      <c r="D336" s="905"/>
      <c r="E336" s="906"/>
      <c r="F336" s="907"/>
      <c r="G336" s="908"/>
      <c r="H336" s="905"/>
      <c r="I336" s="906"/>
      <c r="J336" s="907"/>
      <c r="K336" s="908"/>
      <c r="L336" s="905"/>
      <c r="M336" s="906"/>
      <c r="N336" s="907"/>
      <c r="O336" s="908"/>
      <c r="P336" s="905"/>
      <c r="Q336" s="906"/>
      <c r="R336" s="907"/>
      <c r="S336" s="908"/>
      <c r="T336" s="909"/>
      <c r="U336" s="906"/>
      <c r="V336" s="907"/>
      <c r="W336" s="908"/>
      <c r="X336" s="905"/>
      <c r="Y336" s="906"/>
      <c r="Z336" s="907"/>
      <c r="AA336" s="908"/>
      <c r="AB336" s="905"/>
      <c r="AC336" s="906"/>
      <c r="AD336" s="907"/>
      <c r="AE336" s="908"/>
      <c r="AF336" s="563">
        <v>434</v>
      </c>
      <c r="AJ336" s="338"/>
    </row>
    <row r="337" spans="2:36" s="113" customFormat="1" x14ac:dyDescent="0.4">
      <c r="B337" s="80"/>
      <c r="C337" s="566">
        <v>437</v>
      </c>
      <c r="D337" s="905"/>
      <c r="E337" s="906"/>
      <c r="F337" s="907"/>
      <c r="G337" s="908"/>
      <c r="H337" s="905"/>
      <c r="I337" s="906"/>
      <c r="J337" s="907"/>
      <c r="K337" s="908"/>
      <c r="L337" s="905"/>
      <c r="M337" s="906"/>
      <c r="N337" s="907"/>
      <c r="O337" s="908"/>
      <c r="P337" s="905"/>
      <c r="Q337" s="906"/>
      <c r="R337" s="907"/>
      <c r="S337" s="908"/>
      <c r="T337" s="909"/>
      <c r="U337" s="906"/>
      <c r="V337" s="907"/>
      <c r="W337" s="908"/>
      <c r="X337" s="905"/>
      <c r="Y337" s="906"/>
      <c r="Z337" s="907"/>
      <c r="AA337" s="908"/>
      <c r="AB337" s="905"/>
      <c r="AC337" s="906"/>
      <c r="AD337" s="907"/>
      <c r="AE337" s="908"/>
      <c r="AF337" s="563">
        <v>437</v>
      </c>
      <c r="AJ337" s="338"/>
    </row>
    <row r="338" spans="2:36" s="113" customFormat="1" x14ac:dyDescent="0.4">
      <c r="B338" s="80"/>
      <c r="C338" s="566">
        <v>440</v>
      </c>
      <c r="D338" s="905"/>
      <c r="E338" s="906"/>
      <c r="F338" s="907"/>
      <c r="G338" s="908"/>
      <c r="H338" s="905"/>
      <c r="I338" s="906"/>
      <c r="J338" s="907"/>
      <c r="K338" s="908"/>
      <c r="L338" s="905"/>
      <c r="M338" s="906"/>
      <c r="N338" s="907"/>
      <c r="O338" s="908"/>
      <c r="P338" s="905"/>
      <c r="Q338" s="906"/>
      <c r="R338" s="907"/>
      <c r="S338" s="908"/>
      <c r="T338" s="909"/>
      <c r="U338" s="906"/>
      <c r="V338" s="907"/>
      <c r="W338" s="908"/>
      <c r="X338" s="905"/>
      <c r="Y338" s="906"/>
      <c r="Z338" s="907"/>
      <c r="AA338" s="908"/>
      <c r="AB338" s="905"/>
      <c r="AC338" s="906"/>
      <c r="AD338" s="907"/>
      <c r="AE338" s="908"/>
      <c r="AF338" s="563">
        <v>440</v>
      </c>
      <c r="AJ338" s="338"/>
    </row>
    <row r="339" spans="2:36" s="113" customFormat="1" x14ac:dyDescent="0.4">
      <c r="B339" s="80"/>
      <c r="C339" s="566">
        <v>443</v>
      </c>
      <c r="D339" s="905"/>
      <c r="E339" s="906"/>
      <c r="F339" s="907"/>
      <c r="G339" s="908"/>
      <c r="H339" s="905"/>
      <c r="I339" s="906"/>
      <c r="J339" s="907"/>
      <c r="K339" s="908"/>
      <c r="L339" s="905"/>
      <c r="M339" s="906"/>
      <c r="N339" s="907"/>
      <c r="O339" s="908"/>
      <c r="P339" s="905"/>
      <c r="Q339" s="906"/>
      <c r="R339" s="907"/>
      <c r="S339" s="908"/>
      <c r="T339" s="909"/>
      <c r="U339" s="906"/>
      <c r="V339" s="907"/>
      <c r="W339" s="908"/>
      <c r="X339" s="905"/>
      <c r="Y339" s="906"/>
      <c r="Z339" s="907"/>
      <c r="AA339" s="908"/>
      <c r="AB339" s="905"/>
      <c r="AC339" s="906"/>
      <c r="AD339" s="907"/>
      <c r="AE339" s="908"/>
      <c r="AF339" s="563">
        <v>443</v>
      </c>
      <c r="AJ339" s="338"/>
    </row>
    <row r="340" spans="2:36" s="113" customFormat="1" x14ac:dyDescent="0.4">
      <c r="B340" s="80"/>
      <c r="C340" s="566">
        <v>446</v>
      </c>
      <c r="D340" s="905"/>
      <c r="E340" s="906"/>
      <c r="F340" s="907"/>
      <c r="G340" s="908"/>
      <c r="H340" s="905"/>
      <c r="I340" s="906"/>
      <c r="J340" s="907"/>
      <c r="K340" s="908"/>
      <c r="L340" s="905"/>
      <c r="M340" s="906"/>
      <c r="N340" s="907"/>
      <c r="O340" s="908"/>
      <c r="P340" s="905"/>
      <c r="Q340" s="906"/>
      <c r="R340" s="907"/>
      <c r="S340" s="908"/>
      <c r="T340" s="909"/>
      <c r="U340" s="906"/>
      <c r="V340" s="907"/>
      <c r="W340" s="908"/>
      <c r="X340" s="905"/>
      <c r="Y340" s="906"/>
      <c r="Z340" s="907"/>
      <c r="AA340" s="908"/>
      <c r="AB340" s="905"/>
      <c r="AC340" s="906"/>
      <c r="AD340" s="907"/>
      <c r="AE340" s="908"/>
      <c r="AF340" s="563">
        <v>446</v>
      </c>
      <c r="AJ340" s="338"/>
    </row>
    <row r="341" spans="2:36" s="113" customFormat="1" x14ac:dyDescent="0.4">
      <c r="B341" s="80"/>
      <c r="C341" s="566">
        <v>449</v>
      </c>
      <c r="D341" s="905"/>
      <c r="E341" s="906"/>
      <c r="F341" s="907"/>
      <c r="G341" s="908"/>
      <c r="H341" s="905"/>
      <c r="I341" s="906"/>
      <c r="J341" s="907"/>
      <c r="K341" s="908"/>
      <c r="L341" s="905"/>
      <c r="M341" s="906"/>
      <c r="N341" s="907"/>
      <c r="O341" s="908"/>
      <c r="P341" s="905"/>
      <c r="Q341" s="906"/>
      <c r="R341" s="907"/>
      <c r="S341" s="908"/>
      <c r="T341" s="909"/>
      <c r="U341" s="906"/>
      <c r="V341" s="907"/>
      <c r="W341" s="908"/>
      <c r="X341" s="905"/>
      <c r="Y341" s="906"/>
      <c r="Z341" s="907"/>
      <c r="AA341" s="908"/>
      <c r="AB341" s="905"/>
      <c r="AC341" s="906"/>
      <c r="AD341" s="907"/>
      <c r="AE341" s="908"/>
      <c r="AF341" s="563">
        <v>449</v>
      </c>
      <c r="AJ341" s="338"/>
    </row>
    <row r="342" spans="2:36" s="113" customFormat="1" x14ac:dyDescent="0.4">
      <c r="B342" s="80"/>
      <c r="C342" s="566">
        <v>452</v>
      </c>
      <c r="D342" s="905"/>
      <c r="E342" s="906"/>
      <c r="F342" s="907"/>
      <c r="G342" s="908"/>
      <c r="H342" s="905"/>
      <c r="I342" s="906"/>
      <c r="J342" s="907"/>
      <c r="K342" s="908"/>
      <c r="L342" s="905"/>
      <c r="M342" s="906"/>
      <c r="N342" s="907"/>
      <c r="O342" s="908"/>
      <c r="P342" s="905"/>
      <c r="Q342" s="906"/>
      <c r="R342" s="907"/>
      <c r="S342" s="908"/>
      <c r="T342" s="909"/>
      <c r="U342" s="906"/>
      <c r="V342" s="907"/>
      <c r="W342" s="908"/>
      <c r="X342" s="905"/>
      <c r="Y342" s="906"/>
      <c r="Z342" s="907"/>
      <c r="AA342" s="908"/>
      <c r="AB342" s="905"/>
      <c r="AC342" s="906"/>
      <c r="AD342" s="907"/>
      <c r="AE342" s="908"/>
      <c r="AF342" s="563">
        <v>452</v>
      </c>
      <c r="AJ342" s="338"/>
    </row>
    <row r="343" spans="2:36" s="113" customFormat="1" x14ac:dyDescent="0.4">
      <c r="B343" s="80"/>
      <c r="C343" s="566">
        <v>455</v>
      </c>
      <c r="D343" s="905"/>
      <c r="E343" s="906"/>
      <c r="F343" s="907"/>
      <c r="G343" s="908"/>
      <c r="H343" s="905"/>
      <c r="I343" s="906"/>
      <c r="J343" s="907"/>
      <c r="K343" s="908"/>
      <c r="L343" s="905"/>
      <c r="M343" s="906"/>
      <c r="N343" s="907"/>
      <c r="O343" s="908"/>
      <c r="P343" s="905"/>
      <c r="Q343" s="906"/>
      <c r="R343" s="907"/>
      <c r="S343" s="908"/>
      <c r="T343" s="909"/>
      <c r="U343" s="906"/>
      <c r="V343" s="907"/>
      <c r="W343" s="908"/>
      <c r="X343" s="905"/>
      <c r="Y343" s="906"/>
      <c r="Z343" s="907"/>
      <c r="AA343" s="908"/>
      <c r="AB343" s="905"/>
      <c r="AC343" s="906"/>
      <c r="AD343" s="907"/>
      <c r="AE343" s="908"/>
      <c r="AF343" s="563">
        <v>455</v>
      </c>
      <c r="AJ343" s="338"/>
    </row>
    <row r="344" spans="2:36" s="113" customFormat="1" x14ac:dyDescent="0.4">
      <c r="B344" s="80"/>
      <c r="C344" s="566">
        <v>458</v>
      </c>
      <c r="D344" s="905"/>
      <c r="E344" s="906"/>
      <c r="F344" s="907"/>
      <c r="G344" s="908"/>
      <c r="H344" s="905"/>
      <c r="I344" s="906"/>
      <c r="J344" s="907"/>
      <c r="K344" s="908"/>
      <c r="L344" s="905"/>
      <c r="M344" s="906"/>
      <c r="N344" s="907"/>
      <c r="O344" s="908"/>
      <c r="P344" s="905"/>
      <c r="Q344" s="906"/>
      <c r="R344" s="907"/>
      <c r="S344" s="908"/>
      <c r="T344" s="909"/>
      <c r="U344" s="906"/>
      <c r="V344" s="907"/>
      <c r="W344" s="908"/>
      <c r="X344" s="905"/>
      <c r="Y344" s="906"/>
      <c r="Z344" s="907"/>
      <c r="AA344" s="908"/>
      <c r="AB344" s="905"/>
      <c r="AC344" s="906"/>
      <c r="AD344" s="907"/>
      <c r="AE344" s="908"/>
      <c r="AF344" s="563">
        <v>458</v>
      </c>
      <c r="AJ344" s="338"/>
    </row>
    <row r="345" spans="2:36" s="113" customFormat="1" x14ac:dyDescent="0.4">
      <c r="B345" s="80"/>
      <c r="C345" s="566">
        <v>461</v>
      </c>
      <c r="D345" s="905"/>
      <c r="E345" s="906"/>
      <c r="F345" s="907"/>
      <c r="G345" s="908"/>
      <c r="H345" s="905"/>
      <c r="I345" s="906"/>
      <c r="J345" s="907"/>
      <c r="K345" s="908"/>
      <c r="L345" s="905"/>
      <c r="M345" s="906"/>
      <c r="N345" s="907"/>
      <c r="O345" s="908"/>
      <c r="P345" s="905"/>
      <c r="Q345" s="906"/>
      <c r="R345" s="907"/>
      <c r="S345" s="908"/>
      <c r="T345" s="909"/>
      <c r="U345" s="906"/>
      <c r="V345" s="907"/>
      <c r="W345" s="908"/>
      <c r="X345" s="905"/>
      <c r="Y345" s="906"/>
      <c r="Z345" s="907"/>
      <c r="AA345" s="908"/>
      <c r="AB345" s="905"/>
      <c r="AC345" s="906"/>
      <c r="AD345" s="907"/>
      <c r="AE345" s="908"/>
      <c r="AF345" s="563">
        <v>461</v>
      </c>
      <c r="AJ345" s="338"/>
    </row>
    <row r="346" spans="2:36" s="113" customFormat="1" x14ac:dyDescent="0.4">
      <c r="B346" s="80"/>
      <c r="C346" s="566">
        <v>464</v>
      </c>
      <c r="D346" s="905"/>
      <c r="E346" s="906"/>
      <c r="F346" s="907"/>
      <c r="G346" s="908"/>
      <c r="H346" s="905"/>
      <c r="I346" s="906"/>
      <c r="J346" s="907"/>
      <c r="K346" s="908"/>
      <c r="L346" s="905"/>
      <c r="M346" s="906"/>
      <c r="N346" s="907"/>
      <c r="O346" s="908"/>
      <c r="P346" s="905"/>
      <c r="Q346" s="906"/>
      <c r="R346" s="907"/>
      <c r="S346" s="908"/>
      <c r="T346" s="909"/>
      <c r="U346" s="906"/>
      <c r="V346" s="907"/>
      <c r="W346" s="908"/>
      <c r="X346" s="905"/>
      <c r="Y346" s="906"/>
      <c r="Z346" s="907"/>
      <c r="AA346" s="908"/>
      <c r="AB346" s="905"/>
      <c r="AC346" s="906"/>
      <c r="AD346" s="907"/>
      <c r="AE346" s="908"/>
      <c r="AF346" s="563">
        <v>464</v>
      </c>
      <c r="AJ346" s="338"/>
    </row>
    <row r="347" spans="2:36" s="113" customFormat="1" x14ac:dyDescent="0.4">
      <c r="B347" s="80"/>
      <c r="C347" s="566">
        <v>467</v>
      </c>
      <c r="D347" s="905"/>
      <c r="E347" s="906"/>
      <c r="F347" s="907"/>
      <c r="G347" s="908"/>
      <c r="H347" s="905"/>
      <c r="I347" s="906"/>
      <c r="J347" s="907"/>
      <c r="K347" s="908"/>
      <c r="L347" s="905"/>
      <c r="M347" s="906"/>
      <c r="N347" s="907"/>
      <c r="O347" s="908"/>
      <c r="P347" s="905"/>
      <c r="Q347" s="906"/>
      <c r="R347" s="907"/>
      <c r="S347" s="908"/>
      <c r="T347" s="909"/>
      <c r="U347" s="906"/>
      <c r="V347" s="907"/>
      <c r="W347" s="908"/>
      <c r="X347" s="905"/>
      <c r="Y347" s="906"/>
      <c r="Z347" s="907"/>
      <c r="AA347" s="908"/>
      <c r="AB347" s="905"/>
      <c r="AC347" s="906"/>
      <c r="AD347" s="907"/>
      <c r="AE347" s="908"/>
      <c r="AF347" s="563">
        <v>467</v>
      </c>
      <c r="AJ347" s="338"/>
    </row>
    <row r="348" spans="2:36" s="113" customFormat="1" x14ac:dyDescent="0.4">
      <c r="B348" s="80"/>
      <c r="C348" s="566">
        <v>470</v>
      </c>
      <c r="D348" s="905"/>
      <c r="E348" s="906"/>
      <c r="F348" s="907"/>
      <c r="G348" s="908"/>
      <c r="H348" s="905"/>
      <c r="I348" s="906"/>
      <c r="J348" s="907"/>
      <c r="K348" s="908"/>
      <c r="L348" s="905"/>
      <c r="M348" s="906"/>
      <c r="N348" s="907"/>
      <c r="O348" s="908"/>
      <c r="P348" s="905"/>
      <c r="Q348" s="906"/>
      <c r="R348" s="907"/>
      <c r="S348" s="908"/>
      <c r="T348" s="909"/>
      <c r="U348" s="906"/>
      <c r="V348" s="907"/>
      <c r="W348" s="908"/>
      <c r="X348" s="905"/>
      <c r="Y348" s="906"/>
      <c r="Z348" s="907"/>
      <c r="AA348" s="908"/>
      <c r="AB348" s="905"/>
      <c r="AC348" s="906"/>
      <c r="AD348" s="907"/>
      <c r="AE348" s="908"/>
      <c r="AF348" s="563">
        <v>470</v>
      </c>
      <c r="AJ348" s="338"/>
    </row>
    <row r="349" spans="2:36" s="113" customFormat="1" x14ac:dyDescent="0.4">
      <c r="B349" s="80"/>
      <c r="C349" s="566">
        <v>473</v>
      </c>
      <c r="D349" s="905"/>
      <c r="E349" s="906"/>
      <c r="F349" s="907"/>
      <c r="G349" s="908"/>
      <c r="H349" s="905"/>
      <c r="I349" s="906"/>
      <c r="J349" s="907"/>
      <c r="K349" s="908"/>
      <c r="L349" s="905"/>
      <c r="M349" s="906"/>
      <c r="N349" s="907"/>
      <c r="O349" s="908"/>
      <c r="P349" s="905"/>
      <c r="Q349" s="906"/>
      <c r="R349" s="907"/>
      <c r="S349" s="908"/>
      <c r="T349" s="909"/>
      <c r="U349" s="906"/>
      <c r="V349" s="907"/>
      <c r="W349" s="908"/>
      <c r="X349" s="905"/>
      <c r="Y349" s="906"/>
      <c r="Z349" s="907"/>
      <c r="AA349" s="908"/>
      <c r="AB349" s="905"/>
      <c r="AC349" s="906"/>
      <c r="AD349" s="907"/>
      <c r="AE349" s="908"/>
      <c r="AF349" s="563">
        <v>473</v>
      </c>
      <c r="AJ349" s="338"/>
    </row>
    <row r="350" spans="2:36" s="113" customFormat="1" x14ac:dyDescent="0.4">
      <c r="B350" s="80"/>
      <c r="C350" s="566">
        <v>476</v>
      </c>
      <c r="D350" s="905"/>
      <c r="E350" s="906"/>
      <c r="F350" s="907"/>
      <c r="G350" s="908"/>
      <c r="H350" s="905"/>
      <c r="I350" s="906"/>
      <c r="J350" s="907"/>
      <c r="K350" s="908"/>
      <c r="L350" s="905"/>
      <c r="M350" s="906"/>
      <c r="N350" s="907"/>
      <c r="O350" s="908"/>
      <c r="P350" s="905"/>
      <c r="Q350" s="906"/>
      <c r="R350" s="907"/>
      <c r="S350" s="908"/>
      <c r="T350" s="909"/>
      <c r="U350" s="906"/>
      <c r="V350" s="907"/>
      <c r="W350" s="908"/>
      <c r="X350" s="905"/>
      <c r="Y350" s="906"/>
      <c r="Z350" s="907"/>
      <c r="AA350" s="908"/>
      <c r="AB350" s="905"/>
      <c r="AC350" s="906"/>
      <c r="AD350" s="907"/>
      <c r="AE350" s="908"/>
      <c r="AF350" s="563">
        <v>476</v>
      </c>
      <c r="AJ350" s="338"/>
    </row>
    <row r="351" spans="2:36" s="113" customFormat="1" x14ac:dyDescent="0.4">
      <c r="B351" s="80"/>
      <c r="C351" s="566">
        <v>479</v>
      </c>
      <c r="D351" s="905"/>
      <c r="E351" s="906"/>
      <c r="F351" s="907"/>
      <c r="G351" s="908"/>
      <c r="H351" s="905"/>
      <c r="I351" s="906"/>
      <c r="J351" s="907"/>
      <c r="K351" s="908"/>
      <c r="L351" s="905"/>
      <c r="M351" s="906"/>
      <c r="N351" s="907"/>
      <c r="O351" s="908"/>
      <c r="P351" s="905"/>
      <c r="Q351" s="906"/>
      <c r="R351" s="907"/>
      <c r="S351" s="908"/>
      <c r="T351" s="909"/>
      <c r="U351" s="906"/>
      <c r="V351" s="907"/>
      <c r="W351" s="908"/>
      <c r="X351" s="905"/>
      <c r="Y351" s="906"/>
      <c r="Z351" s="907"/>
      <c r="AA351" s="908"/>
      <c r="AB351" s="905"/>
      <c r="AC351" s="906"/>
      <c r="AD351" s="907"/>
      <c r="AE351" s="908"/>
      <c r="AF351" s="563">
        <v>479</v>
      </c>
      <c r="AJ351" s="338"/>
    </row>
    <row r="352" spans="2:36" s="113" customFormat="1" x14ac:dyDescent="0.4">
      <c r="B352" s="80"/>
      <c r="C352" s="566">
        <v>482</v>
      </c>
      <c r="D352" s="905"/>
      <c r="E352" s="906"/>
      <c r="F352" s="907"/>
      <c r="G352" s="908"/>
      <c r="H352" s="905"/>
      <c r="I352" s="906"/>
      <c r="J352" s="907"/>
      <c r="K352" s="908"/>
      <c r="L352" s="905"/>
      <c r="M352" s="906"/>
      <c r="N352" s="907"/>
      <c r="O352" s="908"/>
      <c r="P352" s="905"/>
      <c r="Q352" s="906"/>
      <c r="R352" s="907"/>
      <c r="S352" s="908"/>
      <c r="T352" s="909"/>
      <c r="U352" s="906"/>
      <c r="V352" s="907"/>
      <c r="W352" s="908"/>
      <c r="X352" s="905"/>
      <c r="Y352" s="906"/>
      <c r="Z352" s="907"/>
      <c r="AA352" s="908"/>
      <c r="AB352" s="905"/>
      <c r="AC352" s="906"/>
      <c r="AD352" s="907"/>
      <c r="AE352" s="908"/>
      <c r="AF352" s="563">
        <v>482</v>
      </c>
      <c r="AJ352" s="338"/>
    </row>
    <row r="353" spans="2:36" s="113" customFormat="1" x14ac:dyDescent="0.4">
      <c r="B353" s="80"/>
      <c r="C353" s="566">
        <v>485</v>
      </c>
      <c r="D353" s="905"/>
      <c r="E353" s="906"/>
      <c r="F353" s="907"/>
      <c r="G353" s="908"/>
      <c r="H353" s="905"/>
      <c r="I353" s="906"/>
      <c r="J353" s="907"/>
      <c r="K353" s="908"/>
      <c r="L353" s="905"/>
      <c r="M353" s="906"/>
      <c r="N353" s="907"/>
      <c r="O353" s="908"/>
      <c r="P353" s="905"/>
      <c r="Q353" s="906"/>
      <c r="R353" s="907"/>
      <c r="S353" s="908"/>
      <c r="T353" s="909"/>
      <c r="U353" s="906"/>
      <c r="V353" s="907"/>
      <c r="W353" s="908"/>
      <c r="X353" s="905"/>
      <c r="Y353" s="906"/>
      <c r="Z353" s="907"/>
      <c r="AA353" s="908"/>
      <c r="AB353" s="905"/>
      <c r="AC353" s="906"/>
      <c r="AD353" s="907"/>
      <c r="AE353" s="908"/>
      <c r="AF353" s="563">
        <v>485</v>
      </c>
      <c r="AJ353" s="338"/>
    </row>
    <row r="354" spans="2:36" s="113" customFormat="1" x14ac:dyDescent="0.4">
      <c r="B354" s="80"/>
      <c r="C354" s="566">
        <v>488</v>
      </c>
      <c r="D354" s="905"/>
      <c r="E354" s="906"/>
      <c r="F354" s="907"/>
      <c r="G354" s="908"/>
      <c r="H354" s="905"/>
      <c r="I354" s="906"/>
      <c r="J354" s="907"/>
      <c r="K354" s="908"/>
      <c r="L354" s="905"/>
      <c r="M354" s="906"/>
      <c r="N354" s="907"/>
      <c r="O354" s="908"/>
      <c r="P354" s="905"/>
      <c r="Q354" s="906"/>
      <c r="R354" s="907"/>
      <c r="S354" s="908"/>
      <c r="T354" s="909"/>
      <c r="U354" s="906"/>
      <c r="V354" s="907"/>
      <c r="W354" s="908"/>
      <c r="X354" s="905"/>
      <c r="Y354" s="906"/>
      <c r="Z354" s="907"/>
      <c r="AA354" s="908"/>
      <c r="AB354" s="905"/>
      <c r="AC354" s="906"/>
      <c r="AD354" s="907"/>
      <c r="AE354" s="908"/>
      <c r="AF354" s="563">
        <v>488</v>
      </c>
      <c r="AJ354" s="338"/>
    </row>
    <row r="355" spans="2:36" s="113" customFormat="1" x14ac:dyDescent="0.4">
      <c r="B355" s="80"/>
      <c r="C355" s="566">
        <v>491</v>
      </c>
      <c r="D355" s="905"/>
      <c r="E355" s="906"/>
      <c r="F355" s="907"/>
      <c r="G355" s="908"/>
      <c r="H355" s="905"/>
      <c r="I355" s="906"/>
      <c r="J355" s="907"/>
      <c r="K355" s="908"/>
      <c r="L355" s="905"/>
      <c r="M355" s="906"/>
      <c r="N355" s="907"/>
      <c r="O355" s="908"/>
      <c r="P355" s="905"/>
      <c r="Q355" s="906"/>
      <c r="R355" s="907"/>
      <c r="S355" s="908"/>
      <c r="T355" s="909"/>
      <c r="U355" s="906"/>
      <c r="V355" s="907"/>
      <c r="W355" s="908"/>
      <c r="X355" s="905"/>
      <c r="Y355" s="906"/>
      <c r="Z355" s="907"/>
      <c r="AA355" s="908"/>
      <c r="AB355" s="905"/>
      <c r="AC355" s="906"/>
      <c r="AD355" s="907"/>
      <c r="AE355" s="908"/>
      <c r="AF355" s="563">
        <v>491</v>
      </c>
      <c r="AJ355" s="338"/>
    </row>
    <row r="356" spans="2:36" s="113" customFormat="1" x14ac:dyDescent="0.4">
      <c r="B356" s="80"/>
      <c r="C356" s="566">
        <v>494</v>
      </c>
      <c r="D356" s="905"/>
      <c r="E356" s="906"/>
      <c r="F356" s="907"/>
      <c r="G356" s="908"/>
      <c r="H356" s="905"/>
      <c r="I356" s="906"/>
      <c r="J356" s="907"/>
      <c r="K356" s="908"/>
      <c r="L356" s="905"/>
      <c r="M356" s="906"/>
      <c r="N356" s="907"/>
      <c r="O356" s="908"/>
      <c r="P356" s="905"/>
      <c r="Q356" s="906"/>
      <c r="R356" s="907"/>
      <c r="S356" s="908"/>
      <c r="T356" s="909"/>
      <c r="U356" s="906"/>
      <c r="V356" s="907"/>
      <c r="W356" s="908"/>
      <c r="X356" s="905"/>
      <c r="Y356" s="906"/>
      <c r="Z356" s="907"/>
      <c r="AA356" s="908"/>
      <c r="AB356" s="905"/>
      <c r="AC356" s="906"/>
      <c r="AD356" s="907"/>
      <c r="AE356" s="908"/>
      <c r="AF356" s="563">
        <v>494</v>
      </c>
      <c r="AJ356" s="338"/>
    </row>
    <row r="357" spans="2:36" s="113" customFormat="1" x14ac:dyDescent="0.4">
      <c r="B357" s="80"/>
      <c r="C357" s="566">
        <v>497</v>
      </c>
      <c r="D357" s="905"/>
      <c r="E357" s="906"/>
      <c r="F357" s="907"/>
      <c r="G357" s="908"/>
      <c r="H357" s="905"/>
      <c r="I357" s="906"/>
      <c r="J357" s="907"/>
      <c r="K357" s="908"/>
      <c r="L357" s="905"/>
      <c r="M357" s="906"/>
      <c r="N357" s="907"/>
      <c r="O357" s="908"/>
      <c r="P357" s="905"/>
      <c r="Q357" s="906"/>
      <c r="R357" s="907"/>
      <c r="S357" s="908"/>
      <c r="T357" s="909"/>
      <c r="U357" s="906"/>
      <c r="V357" s="907"/>
      <c r="W357" s="908"/>
      <c r="X357" s="905"/>
      <c r="Y357" s="906"/>
      <c r="Z357" s="907"/>
      <c r="AA357" s="908"/>
      <c r="AB357" s="905"/>
      <c r="AC357" s="906"/>
      <c r="AD357" s="907"/>
      <c r="AE357" s="908"/>
      <c r="AF357" s="563">
        <v>497</v>
      </c>
      <c r="AJ357" s="338"/>
    </row>
    <row r="358" spans="2:36" s="113" customFormat="1" x14ac:dyDescent="0.4">
      <c r="B358" s="80"/>
      <c r="C358" s="566">
        <v>500</v>
      </c>
      <c r="D358" s="905"/>
      <c r="E358" s="906"/>
      <c r="F358" s="907"/>
      <c r="G358" s="908"/>
      <c r="H358" s="905"/>
      <c r="I358" s="906"/>
      <c r="J358" s="907"/>
      <c r="K358" s="908"/>
      <c r="L358" s="905"/>
      <c r="M358" s="906"/>
      <c r="N358" s="907"/>
      <c r="O358" s="908"/>
      <c r="P358" s="905"/>
      <c r="Q358" s="906"/>
      <c r="R358" s="907"/>
      <c r="S358" s="908"/>
      <c r="T358" s="909"/>
      <c r="U358" s="906"/>
      <c r="V358" s="907"/>
      <c r="W358" s="908"/>
      <c r="X358" s="905"/>
      <c r="Y358" s="906"/>
      <c r="Z358" s="907"/>
      <c r="AA358" s="908"/>
      <c r="AB358" s="905"/>
      <c r="AC358" s="906"/>
      <c r="AD358" s="907"/>
      <c r="AE358" s="908"/>
      <c r="AF358" s="563">
        <v>500</v>
      </c>
      <c r="AJ358" s="338"/>
    </row>
    <row r="359" spans="2:36" s="113" customFormat="1" x14ac:dyDescent="0.4">
      <c r="B359" s="80"/>
      <c r="C359" s="566">
        <v>503</v>
      </c>
      <c r="D359" s="905"/>
      <c r="E359" s="906"/>
      <c r="F359" s="907"/>
      <c r="G359" s="908"/>
      <c r="H359" s="905"/>
      <c r="I359" s="906"/>
      <c r="J359" s="907"/>
      <c r="K359" s="908"/>
      <c r="L359" s="905"/>
      <c r="M359" s="906"/>
      <c r="N359" s="907"/>
      <c r="O359" s="908"/>
      <c r="P359" s="905"/>
      <c r="Q359" s="906"/>
      <c r="R359" s="907"/>
      <c r="S359" s="908"/>
      <c r="T359" s="909"/>
      <c r="U359" s="906"/>
      <c r="V359" s="907"/>
      <c r="W359" s="908"/>
      <c r="X359" s="905"/>
      <c r="Y359" s="906"/>
      <c r="Z359" s="907"/>
      <c r="AA359" s="908"/>
      <c r="AB359" s="905"/>
      <c r="AC359" s="906"/>
      <c r="AD359" s="907"/>
      <c r="AE359" s="908"/>
      <c r="AF359" s="563">
        <v>503</v>
      </c>
      <c r="AJ359" s="338"/>
    </row>
    <row r="360" spans="2:36" s="113" customFormat="1" x14ac:dyDescent="0.4">
      <c r="B360" s="80"/>
      <c r="C360" s="566">
        <v>506</v>
      </c>
      <c r="D360" s="905"/>
      <c r="E360" s="906"/>
      <c r="F360" s="907"/>
      <c r="G360" s="908"/>
      <c r="H360" s="905"/>
      <c r="I360" s="906"/>
      <c r="J360" s="907"/>
      <c r="K360" s="908"/>
      <c r="L360" s="905"/>
      <c r="M360" s="906"/>
      <c r="N360" s="907"/>
      <c r="O360" s="908"/>
      <c r="P360" s="905"/>
      <c r="Q360" s="906"/>
      <c r="R360" s="907"/>
      <c r="S360" s="908"/>
      <c r="T360" s="909"/>
      <c r="U360" s="906"/>
      <c r="V360" s="907"/>
      <c r="W360" s="908"/>
      <c r="X360" s="905"/>
      <c r="Y360" s="906"/>
      <c r="Z360" s="907"/>
      <c r="AA360" s="908"/>
      <c r="AB360" s="905"/>
      <c r="AC360" s="906"/>
      <c r="AD360" s="907"/>
      <c r="AE360" s="908"/>
      <c r="AF360" s="563">
        <v>506</v>
      </c>
      <c r="AJ360" s="338"/>
    </row>
    <row r="361" spans="2:36" s="113" customFormat="1" x14ac:dyDescent="0.4">
      <c r="B361" s="80"/>
      <c r="C361" s="566">
        <v>509</v>
      </c>
      <c r="D361" s="905"/>
      <c r="E361" s="906"/>
      <c r="F361" s="907"/>
      <c r="G361" s="908"/>
      <c r="H361" s="905"/>
      <c r="I361" s="906"/>
      <c r="J361" s="907"/>
      <c r="K361" s="908"/>
      <c r="L361" s="905"/>
      <c r="M361" s="906"/>
      <c r="N361" s="907"/>
      <c r="O361" s="908"/>
      <c r="P361" s="905"/>
      <c r="Q361" s="906"/>
      <c r="R361" s="907"/>
      <c r="S361" s="908"/>
      <c r="T361" s="909"/>
      <c r="U361" s="906"/>
      <c r="V361" s="907"/>
      <c r="W361" s="908"/>
      <c r="X361" s="905"/>
      <c r="Y361" s="906"/>
      <c r="Z361" s="907"/>
      <c r="AA361" s="908"/>
      <c r="AB361" s="905"/>
      <c r="AC361" s="906"/>
      <c r="AD361" s="907"/>
      <c r="AE361" s="908"/>
      <c r="AF361" s="563">
        <v>509</v>
      </c>
      <c r="AJ361" s="338"/>
    </row>
    <row r="362" spans="2:36" s="113" customFormat="1" x14ac:dyDescent="0.4">
      <c r="B362" s="80"/>
      <c r="C362" s="566">
        <v>512</v>
      </c>
      <c r="D362" s="905"/>
      <c r="E362" s="906"/>
      <c r="F362" s="907"/>
      <c r="G362" s="908"/>
      <c r="H362" s="905"/>
      <c r="I362" s="906"/>
      <c r="J362" s="907"/>
      <c r="K362" s="908"/>
      <c r="L362" s="905"/>
      <c r="M362" s="906"/>
      <c r="N362" s="907"/>
      <c r="O362" s="908"/>
      <c r="P362" s="905"/>
      <c r="Q362" s="906"/>
      <c r="R362" s="907"/>
      <c r="S362" s="908"/>
      <c r="T362" s="909"/>
      <c r="U362" s="906"/>
      <c r="V362" s="907"/>
      <c r="W362" s="908"/>
      <c r="X362" s="905"/>
      <c r="Y362" s="906"/>
      <c r="Z362" s="907"/>
      <c r="AA362" s="908"/>
      <c r="AB362" s="905"/>
      <c r="AC362" s="906"/>
      <c r="AD362" s="907"/>
      <c r="AE362" s="908"/>
      <c r="AF362" s="563">
        <v>512</v>
      </c>
      <c r="AJ362" s="338"/>
    </row>
    <row r="363" spans="2:36" s="113" customFormat="1" x14ac:dyDescent="0.4">
      <c r="B363" s="80"/>
      <c r="C363" s="566">
        <v>515</v>
      </c>
      <c r="D363" s="905"/>
      <c r="E363" s="906"/>
      <c r="F363" s="907"/>
      <c r="G363" s="908"/>
      <c r="H363" s="905"/>
      <c r="I363" s="906"/>
      <c r="J363" s="907"/>
      <c r="K363" s="908"/>
      <c r="L363" s="905"/>
      <c r="M363" s="906"/>
      <c r="N363" s="907"/>
      <c r="O363" s="908"/>
      <c r="P363" s="905"/>
      <c r="Q363" s="906"/>
      <c r="R363" s="907"/>
      <c r="S363" s="908"/>
      <c r="T363" s="909"/>
      <c r="U363" s="906"/>
      <c r="V363" s="907"/>
      <c r="W363" s="908"/>
      <c r="X363" s="905"/>
      <c r="Y363" s="906"/>
      <c r="Z363" s="907"/>
      <c r="AA363" s="908"/>
      <c r="AB363" s="905"/>
      <c r="AC363" s="906"/>
      <c r="AD363" s="907"/>
      <c r="AE363" s="908"/>
      <c r="AF363" s="563">
        <v>515</v>
      </c>
      <c r="AJ363" s="338"/>
    </row>
    <row r="364" spans="2:36" s="113" customFormat="1" x14ac:dyDescent="0.4">
      <c r="B364" s="80"/>
      <c r="C364" s="566">
        <v>518</v>
      </c>
      <c r="D364" s="905"/>
      <c r="E364" s="906"/>
      <c r="F364" s="907"/>
      <c r="G364" s="908"/>
      <c r="H364" s="905"/>
      <c r="I364" s="906"/>
      <c r="J364" s="907"/>
      <c r="K364" s="908"/>
      <c r="L364" s="905"/>
      <c r="M364" s="906"/>
      <c r="N364" s="907"/>
      <c r="O364" s="908"/>
      <c r="P364" s="905"/>
      <c r="Q364" s="906"/>
      <c r="R364" s="907"/>
      <c r="S364" s="908"/>
      <c r="T364" s="909"/>
      <c r="U364" s="906"/>
      <c r="V364" s="907"/>
      <c r="W364" s="908"/>
      <c r="X364" s="905"/>
      <c r="Y364" s="906"/>
      <c r="Z364" s="907"/>
      <c r="AA364" s="908"/>
      <c r="AB364" s="905"/>
      <c r="AC364" s="906"/>
      <c r="AD364" s="907"/>
      <c r="AE364" s="908"/>
      <c r="AF364" s="563">
        <v>518</v>
      </c>
      <c r="AJ364" s="338"/>
    </row>
    <row r="365" spans="2:36" s="113" customFormat="1" x14ac:dyDescent="0.4">
      <c r="B365" s="80"/>
      <c r="C365" s="566">
        <v>521</v>
      </c>
      <c r="D365" s="905"/>
      <c r="E365" s="906"/>
      <c r="F365" s="907"/>
      <c r="G365" s="908"/>
      <c r="H365" s="905"/>
      <c r="I365" s="906"/>
      <c r="J365" s="907"/>
      <c r="K365" s="908"/>
      <c r="L365" s="905"/>
      <c r="M365" s="906"/>
      <c r="N365" s="907"/>
      <c r="O365" s="908"/>
      <c r="P365" s="905"/>
      <c r="Q365" s="906"/>
      <c r="R365" s="907"/>
      <c r="S365" s="908"/>
      <c r="T365" s="909"/>
      <c r="U365" s="906"/>
      <c r="V365" s="907"/>
      <c r="W365" s="908"/>
      <c r="X365" s="905"/>
      <c r="Y365" s="906"/>
      <c r="Z365" s="907"/>
      <c r="AA365" s="908"/>
      <c r="AB365" s="905"/>
      <c r="AC365" s="906"/>
      <c r="AD365" s="907"/>
      <c r="AE365" s="908"/>
      <c r="AF365" s="563">
        <v>521</v>
      </c>
      <c r="AJ365" s="338"/>
    </row>
    <row r="366" spans="2:36" s="113" customFormat="1" x14ac:dyDescent="0.4">
      <c r="B366" s="80"/>
      <c r="C366" s="566">
        <v>524</v>
      </c>
      <c r="D366" s="905"/>
      <c r="E366" s="906"/>
      <c r="F366" s="907"/>
      <c r="G366" s="908"/>
      <c r="H366" s="905"/>
      <c r="I366" s="906"/>
      <c r="J366" s="907"/>
      <c r="K366" s="908"/>
      <c r="L366" s="905"/>
      <c r="M366" s="906"/>
      <c r="N366" s="907"/>
      <c r="O366" s="908"/>
      <c r="P366" s="905"/>
      <c r="Q366" s="906"/>
      <c r="R366" s="907"/>
      <c r="S366" s="908"/>
      <c r="T366" s="909"/>
      <c r="U366" s="906"/>
      <c r="V366" s="907"/>
      <c r="W366" s="908"/>
      <c r="X366" s="905"/>
      <c r="Y366" s="906"/>
      <c r="Z366" s="907"/>
      <c r="AA366" s="908"/>
      <c r="AB366" s="905"/>
      <c r="AC366" s="906"/>
      <c r="AD366" s="907"/>
      <c r="AE366" s="908"/>
      <c r="AF366" s="563">
        <v>524</v>
      </c>
      <c r="AJ366" s="338"/>
    </row>
    <row r="367" spans="2:36" s="113" customFormat="1" x14ac:dyDescent="0.4">
      <c r="B367" s="80"/>
      <c r="C367" s="566">
        <v>527</v>
      </c>
      <c r="D367" s="905"/>
      <c r="E367" s="906"/>
      <c r="F367" s="907"/>
      <c r="G367" s="908"/>
      <c r="H367" s="905"/>
      <c r="I367" s="906"/>
      <c r="J367" s="907"/>
      <c r="K367" s="908"/>
      <c r="L367" s="905"/>
      <c r="M367" s="906"/>
      <c r="N367" s="907"/>
      <c r="O367" s="908"/>
      <c r="P367" s="905"/>
      <c r="Q367" s="906"/>
      <c r="R367" s="907"/>
      <c r="S367" s="908"/>
      <c r="T367" s="909"/>
      <c r="U367" s="906"/>
      <c r="V367" s="907"/>
      <c r="W367" s="908"/>
      <c r="X367" s="905"/>
      <c r="Y367" s="906"/>
      <c r="Z367" s="907"/>
      <c r="AA367" s="908"/>
      <c r="AB367" s="905"/>
      <c r="AC367" s="906"/>
      <c r="AD367" s="907"/>
      <c r="AE367" s="908"/>
      <c r="AF367" s="563">
        <v>527</v>
      </c>
      <c r="AJ367" s="338"/>
    </row>
    <row r="368" spans="2:36" s="113" customFormat="1" x14ac:dyDescent="0.4">
      <c r="B368" s="80"/>
      <c r="C368" s="566">
        <v>530</v>
      </c>
      <c r="D368" s="905"/>
      <c r="E368" s="906"/>
      <c r="F368" s="907"/>
      <c r="G368" s="908"/>
      <c r="H368" s="905"/>
      <c r="I368" s="906"/>
      <c r="J368" s="907"/>
      <c r="K368" s="908"/>
      <c r="L368" s="905"/>
      <c r="M368" s="906"/>
      <c r="N368" s="907"/>
      <c r="O368" s="908"/>
      <c r="P368" s="905"/>
      <c r="Q368" s="906"/>
      <c r="R368" s="907"/>
      <c r="S368" s="908"/>
      <c r="T368" s="909"/>
      <c r="U368" s="906"/>
      <c r="V368" s="907"/>
      <c r="W368" s="908"/>
      <c r="X368" s="905"/>
      <c r="Y368" s="906"/>
      <c r="Z368" s="907"/>
      <c r="AA368" s="908"/>
      <c r="AB368" s="905"/>
      <c r="AC368" s="906"/>
      <c r="AD368" s="907"/>
      <c r="AE368" s="908"/>
      <c r="AF368" s="563">
        <v>530</v>
      </c>
      <c r="AJ368" s="338"/>
    </row>
    <row r="369" spans="2:36" s="113" customFormat="1" x14ac:dyDescent="0.4">
      <c r="B369" s="80"/>
      <c r="C369" s="566">
        <v>533</v>
      </c>
      <c r="D369" s="905"/>
      <c r="E369" s="906"/>
      <c r="F369" s="907"/>
      <c r="G369" s="908"/>
      <c r="H369" s="905"/>
      <c r="I369" s="906"/>
      <c r="J369" s="907"/>
      <c r="K369" s="908"/>
      <c r="L369" s="905"/>
      <c r="M369" s="906"/>
      <c r="N369" s="907"/>
      <c r="O369" s="908"/>
      <c r="P369" s="905"/>
      <c r="Q369" s="906"/>
      <c r="R369" s="907"/>
      <c r="S369" s="908"/>
      <c r="T369" s="909"/>
      <c r="U369" s="906"/>
      <c r="V369" s="907"/>
      <c r="W369" s="908"/>
      <c r="X369" s="905"/>
      <c r="Y369" s="906"/>
      <c r="Z369" s="907"/>
      <c r="AA369" s="908"/>
      <c r="AB369" s="905"/>
      <c r="AC369" s="906"/>
      <c r="AD369" s="907"/>
      <c r="AE369" s="908"/>
      <c r="AF369" s="563">
        <v>533</v>
      </c>
      <c r="AJ369" s="338"/>
    </row>
    <row r="370" spans="2:36" s="113" customFormat="1" x14ac:dyDescent="0.4">
      <c r="B370" s="80"/>
      <c r="C370" s="566">
        <v>536</v>
      </c>
      <c r="D370" s="905"/>
      <c r="E370" s="906"/>
      <c r="F370" s="907"/>
      <c r="G370" s="908"/>
      <c r="H370" s="905"/>
      <c r="I370" s="906"/>
      <c r="J370" s="907"/>
      <c r="K370" s="908"/>
      <c r="L370" s="905"/>
      <c r="M370" s="906"/>
      <c r="N370" s="907"/>
      <c r="O370" s="908"/>
      <c r="P370" s="905"/>
      <c r="Q370" s="906"/>
      <c r="R370" s="907"/>
      <c r="S370" s="908"/>
      <c r="T370" s="909"/>
      <c r="U370" s="906"/>
      <c r="V370" s="907"/>
      <c r="W370" s="908"/>
      <c r="X370" s="905"/>
      <c r="Y370" s="906"/>
      <c r="Z370" s="907"/>
      <c r="AA370" s="908"/>
      <c r="AB370" s="905"/>
      <c r="AC370" s="906"/>
      <c r="AD370" s="907"/>
      <c r="AE370" s="908"/>
      <c r="AF370" s="563">
        <v>536</v>
      </c>
      <c r="AJ370" s="338"/>
    </row>
    <row r="371" spans="2:36" s="113" customFormat="1" x14ac:dyDescent="0.4">
      <c r="B371" s="80"/>
      <c r="C371" s="566">
        <v>539</v>
      </c>
      <c r="D371" s="905"/>
      <c r="E371" s="906"/>
      <c r="F371" s="907"/>
      <c r="G371" s="908"/>
      <c r="H371" s="905"/>
      <c r="I371" s="906"/>
      <c r="J371" s="907"/>
      <c r="K371" s="908"/>
      <c r="L371" s="905"/>
      <c r="M371" s="906"/>
      <c r="N371" s="907"/>
      <c r="O371" s="908"/>
      <c r="P371" s="905"/>
      <c r="Q371" s="906"/>
      <c r="R371" s="907"/>
      <c r="S371" s="908"/>
      <c r="T371" s="909"/>
      <c r="U371" s="906"/>
      <c r="V371" s="907"/>
      <c r="W371" s="908"/>
      <c r="X371" s="905"/>
      <c r="Y371" s="906"/>
      <c r="Z371" s="907"/>
      <c r="AA371" s="908"/>
      <c r="AB371" s="905"/>
      <c r="AC371" s="906"/>
      <c r="AD371" s="907"/>
      <c r="AE371" s="908"/>
      <c r="AF371" s="563">
        <v>539</v>
      </c>
      <c r="AJ371" s="338"/>
    </row>
    <row r="372" spans="2:36" s="113" customFormat="1" x14ac:dyDescent="0.4">
      <c r="B372" s="80"/>
      <c r="C372" s="566">
        <v>542</v>
      </c>
      <c r="D372" s="905"/>
      <c r="E372" s="906"/>
      <c r="F372" s="907"/>
      <c r="G372" s="908"/>
      <c r="H372" s="905"/>
      <c r="I372" s="906"/>
      <c r="J372" s="907"/>
      <c r="K372" s="908"/>
      <c r="L372" s="905"/>
      <c r="M372" s="906"/>
      <c r="N372" s="907"/>
      <c r="O372" s="908"/>
      <c r="P372" s="905"/>
      <c r="Q372" s="906"/>
      <c r="R372" s="907"/>
      <c r="S372" s="908"/>
      <c r="T372" s="909"/>
      <c r="U372" s="906"/>
      <c r="V372" s="907"/>
      <c r="W372" s="908"/>
      <c r="X372" s="905"/>
      <c r="Y372" s="906"/>
      <c r="Z372" s="907"/>
      <c r="AA372" s="908"/>
      <c r="AB372" s="905"/>
      <c r="AC372" s="906"/>
      <c r="AD372" s="907"/>
      <c r="AE372" s="908"/>
      <c r="AF372" s="563">
        <v>542</v>
      </c>
      <c r="AJ372" s="338"/>
    </row>
    <row r="373" spans="2:36" s="113" customFormat="1" x14ac:dyDescent="0.4">
      <c r="B373" s="80"/>
      <c r="C373" s="566">
        <v>545</v>
      </c>
      <c r="D373" s="905"/>
      <c r="E373" s="906"/>
      <c r="F373" s="907"/>
      <c r="G373" s="908"/>
      <c r="H373" s="905"/>
      <c r="I373" s="906"/>
      <c r="J373" s="907"/>
      <c r="K373" s="908"/>
      <c r="L373" s="905"/>
      <c r="M373" s="906"/>
      <c r="N373" s="907"/>
      <c r="O373" s="908"/>
      <c r="P373" s="905"/>
      <c r="Q373" s="906"/>
      <c r="R373" s="907"/>
      <c r="S373" s="908"/>
      <c r="T373" s="909"/>
      <c r="U373" s="906"/>
      <c r="V373" s="907"/>
      <c r="W373" s="908"/>
      <c r="X373" s="905"/>
      <c r="Y373" s="906"/>
      <c r="Z373" s="907"/>
      <c r="AA373" s="908"/>
      <c r="AB373" s="905"/>
      <c r="AC373" s="906"/>
      <c r="AD373" s="907"/>
      <c r="AE373" s="908"/>
      <c r="AF373" s="563">
        <v>545</v>
      </c>
      <c r="AJ373" s="338"/>
    </row>
    <row r="374" spans="2:36" s="113" customFormat="1" x14ac:dyDescent="0.4">
      <c r="B374" s="80"/>
      <c r="C374" s="566">
        <v>548</v>
      </c>
      <c r="D374" s="905"/>
      <c r="E374" s="906"/>
      <c r="F374" s="907"/>
      <c r="G374" s="908"/>
      <c r="H374" s="905"/>
      <c r="I374" s="906"/>
      <c r="J374" s="907"/>
      <c r="K374" s="908"/>
      <c r="L374" s="905"/>
      <c r="M374" s="906"/>
      <c r="N374" s="907"/>
      <c r="O374" s="908"/>
      <c r="P374" s="905"/>
      <c r="Q374" s="906"/>
      <c r="R374" s="907"/>
      <c r="S374" s="908"/>
      <c r="T374" s="909"/>
      <c r="U374" s="906"/>
      <c r="V374" s="907"/>
      <c r="W374" s="908"/>
      <c r="X374" s="905"/>
      <c r="Y374" s="906"/>
      <c r="Z374" s="907"/>
      <c r="AA374" s="908"/>
      <c r="AB374" s="905"/>
      <c r="AC374" s="906"/>
      <c r="AD374" s="907"/>
      <c r="AE374" s="908"/>
      <c r="AF374" s="563">
        <v>548</v>
      </c>
      <c r="AJ374" s="338"/>
    </row>
    <row r="375" spans="2:36" s="113" customFormat="1" x14ac:dyDescent="0.4">
      <c r="B375" s="80"/>
      <c r="C375" s="566">
        <v>551</v>
      </c>
      <c r="D375" s="905"/>
      <c r="E375" s="906"/>
      <c r="F375" s="907"/>
      <c r="G375" s="908"/>
      <c r="H375" s="905"/>
      <c r="I375" s="906"/>
      <c r="J375" s="907"/>
      <c r="K375" s="908"/>
      <c r="L375" s="905"/>
      <c r="M375" s="906"/>
      <c r="N375" s="907"/>
      <c r="O375" s="908"/>
      <c r="P375" s="905"/>
      <c r="Q375" s="906"/>
      <c r="R375" s="907"/>
      <c r="S375" s="908"/>
      <c r="T375" s="909"/>
      <c r="U375" s="906"/>
      <c r="V375" s="907"/>
      <c r="W375" s="908"/>
      <c r="X375" s="905"/>
      <c r="Y375" s="906"/>
      <c r="Z375" s="907"/>
      <c r="AA375" s="908"/>
      <c r="AB375" s="905"/>
      <c r="AC375" s="906"/>
      <c r="AD375" s="907"/>
      <c r="AE375" s="908"/>
      <c r="AF375" s="563">
        <v>551</v>
      </c>
      <c r="AJ375" s="338"/>
    </row>
    <row r="376" spans="2:36" s="113" customFormat="1" x14ac:dyDescent="0.4">
      <c r="B376" s="80"/>
      <c r="C376" s="566">
        <v>554</v>
      </c>
      <c r="D376" s="905"/>
      <c r="E376" s="906"/>
      <c r="F376" s="907"/>
      <c r="G376" s="908"/>
      <c r="H376" s="905"/>
      <c r="I376" s="906"/>
      <c r="J376" s="907"/>
      <c r="K376" s="908"/>
      <c r="L376" s="905"/>
      <c r="M376" s="906"/>
      <c r="N376" s="907"/>
      <c r="O376" s="908"/>
      <c r="P376" s="905"/>
      <c r="Q376" s="906"/>
      <c r="R376" s="907"/>
      <c r="S376" s="908"/>
      <c r="T376" s="909"/>
      <c r="U376" s="906"/>
      <c r="V376" s="907"/>
      <c r="W376" s="908"/>
      <c r="X376" s="905"/>
      <c r="Y376" s="906"/>
      <c r="Z376" s="907"/>
      <c r="AA376" s="908"/>
      <c r="AB376" s="905"/>
      <c r="AC376" s="906"/>
      <c r="AD376" s="907"/>
      <c r="AE376" s="908"/>
      <c r="AF376" s="563">
        <v>554</v>
      </c>
      <c r="AJ376" s="338"/>
    </row>
    <row r="377" spans="2:36" s="113" customFormat="1" x14ac:dyDescent="0.4">
      <c r="B377" s="80"/>
      <c r="C377" s="566">
        <v>557</v>
      </c>
      <c r="D377" s="905"/>
      <c r="E377" s="906"/>
      <c r="F377" s="907"/>
      <c r="G377" s="908"/>
      <c r="H377" s="905"/>
      <c r="I377" s="906"/>
      <c r="J377" s="907"/>
      <c r="K377" s="908"/>
      <c r="L377" s="905"/>
      <c r="M377" s="906"/>
      <c r="N377" s="907"/>
      <c r="O377" s="908"/>
      <c r="P377" s="905"/>
      <c r="Q377" s="906"/>
      <c r="R377" s="907"/>
      <c r="S377" s="908"/>
      <c r="T377" s="909"/>
      <c r="U377" s="906"/>
      <c r="V377" s="907"/>
      <c r="W377" s="908"/>
      <c r="X377" s="905"/>
      <c r="Y377" s="906"/>
      <c r="Z377" s="907"/>
      <c r="AA377" s="908"/>
      <c r="AB377" s="905"/>
      <c r="AC377" s="906"/>
      <c r="AD377" s="907"/>
      <c r="AE377" s="908"/>
      <c r="AF377" s="563">
        <v>557</v>
      </c>
      <c r="AJ377" s="338"/>
    </row>
    <row r="378" spans="2:36" s="113" customFormat="1" x14ac:dyDescent="0.4">
      <c r="B378" s="80"/>
      <c r="C378" s="566">
        <v>560</v>
      </c>
      <c r="D378" s="905"/>
      <c r="E378" s="906"/>
      <c r="F378" s="907"/>
      <c r="G378" s="908"/>
      <c r="H378" s="905"/>
      <c r="I378" s="906"/>
      <c r="J378" s="907"/>
      <c r="K378" s="908"/>
      <c r="L378" s="905"/>
      <c r="M378" s="906"/>
      <c r="N378" s="907"/>
      <c r="O378" s="908"/>
      <c r="P378" s="905"/>
      <c r="Q378" s="906"/>
      <c r="R378" s="907"/>
      <c r="S378" s="908"/>
      <c r="T378" s="909"/>
      <c r="U378" s="906"/>
      <c r="V378" s="907"/>
      <c r="W378" s="908"/>
      <c r="X378" s="905"/>
      <c r="Y378" s="906"/>
      <c r="Z378" s="907"/>
      <c r="AA378" s="908"/>
      <c r="AB378" s="905"/>
      <c r="AC378" s="906"/>
      <c r="AD378" s="907"/>
      <c r="AE378" s="908"/>
      <c r="AF378" s="563">
        <v>560</v>
      </c>
      <c r="AJ378" s="338"/>
    </row>
    <row r="379" spans="2:36" s="113" customFormat="1" x14ac:dyDescent="0.4">
      <c r="B379" s="80"/>
      <c r="C379" s="566">
        <v>563</v>
      </c>
      <c r="D379" s="905"/>
      <c r="E379" s="906"/>
      <c r="F379" s="907"/>
      <c r="G379" s="908"/>
      <c r="H379" s="905"/>
      <c r="I379" s="906"/>
      <c r="J379" s="907"/>
      <c r="K379" s="908"/>
      <c r="L379" s="905"/>
      <c r="M379" s="906"/>
      <c r="N379" s="907"/>
      <c r="O379" s="908"/>
      <c r="P379" s="905"/>
      <c r="Q379" s="906"/>
      <c r="R379" s="907"/>
      <c r="S379" s="908"/>
      <c r="T379" s="909"/>
      <c r="U379" s="906"/>
      <c r="V379" s="907"/>
      <c r="W379" s="908"/>
      <c r="X379" s="905"/>
      <c r="Y379" s="906"/>
      <c r="Z379" s="907"/>
      <c r="AA379" s="908"/>
      <c r="AB379" s="905"/>
      <c r="AC379" s="906"/>
      <c r="AD379" s="907"/>
      <c r="AE379" s="908"/>
      <c r="AF379" s="563">
        <v>563</v>
      </c>
      <c r="AJ379" s="338"/>
    </row>
    <row r="380" spans="2:36" s="113" customFormat="1" x14ac:dyDescent="0.4">
      <c r="B380" s="80"/>
      <c r="C380" s="566">
        <v>566</v>
      </c>
      <c r="D380" s="905"/>
      <c r="E380" s="906"/>
      <c r="F380" s="907"/>
      <c r="G380" s="908"/>
      <c r="H380" s="905"/>
      <c r="I380" s="906"/>
      <c r="J380" s="907"/>
      <c r="K380" s="908"/>
      <c r="L380" s="905"/>
      <c r="M380" s="906"/>
      <c r="N380" s="907"/>
      <c r="O380" s="908"/>
      <c r="P380" s="905"/>
      <c r="Q380" s="906"/>
      <c r="R380" s="907"/>
      <c r="S380" s="908"/>
      <c r="T380" s="909"/>
      <c r="U380" s="906"/>
      <c r="V380" s="907"/>
      <c r="W380" s="908"/>
      <c r="X380" s="905"/>
      <c r="Y380" s="906"/>
      <c r="Z380" s="907"/>
      <c r="AA380" s="908"/>
      <c r="AB380" s="905"/>
      <c r="AC380" s="906"/>
      <c r="AD380" s="907"/>
      <c r="AE380" s="908"/>
      <c r="AF380" s="563">
        <v>566</v>
      </c>
      <c r="AJ380" s="338"/>
    </row>
    <row r="381" spans="2:36" s="113" customFormat="1" x14ac:dyDescent="0.4">
      <c r="B381" s="80"/>
      <c r="C381" s="566">
        <v>569</v>
      </c>
      <c r="D381" s="905"/>
      <c r="E381" s="906"/>
      <c r="F381" s="907"/>
      <c r="G381" s="908"/>
      <c r="H381" s="905"/>
      <c r="I381" s="906"/>
      <c r="J381" s="907"/>
      <c r="K381" s="908"/>
      <c r="L381" s="905"/>
      <c r="M381" s="906"/>
      <c r="N381" s="907"/>
      <c r="O381" s="908"/>
      <c r="P381" s="905"/>
      <c r="Q381" s="906"/>
      <c r="R381" s="907"/>
      <c r="S381" s="908"/>
      <c r="T381" s="909"/>
      <c r="U381" s="906"/>
      <c r="V381" s="907"/>
      <c r="W381" s="908"/>
      <c r="X381" s="905"/>
      <c r="Y381" s="906"/>
      <c r="Z381" s="907"/>
      <c r="AA381" s="908"/>
      <c r="AB381" s="905"/>
      <c r="AC381" s="906"/>
      <c r="AD381" s="907"/>
      <c r="AE381" s="908"/>
      <c r="AF381" s="563">
        <v>569</v>
      </c>
      <c r="AJ381" s="338"/>
    </row>
    <row r="382" spans="2:36" s="113" customFormat="1" x14ac:dyDescent="0.4">
      <c r="B382" s="80"/>
      <c r="C382" s="566">
        <v>572</v>
      </c>
      <c r="D382" s="905"/>
      <c r="E382" s="906"/>
      <c r="F382" s="907"/>
      <c r="G382" s="908"/>
      <c r="H382" s="905"/>
      <c r="I382" s="906"/>
      <c r="J382" s="907"/>
      <c r="K382" s="908"/>
      <c r="L382" s="905"/>
      <c r="M382" s="906"/>
      <c r="N382" s="907"/>
      <c r="O382" s="908"/>
      <c r="P382" s="905"/>
      <c r="Q382" s="906"/>
      <c r="R382" s="907"/>
      <c r="S382" s="908"/>
      <c r="T382" s="909"/>
      <c r="U382" s="906"/>
      <c r="V382" s="907"/>
      <c r="W382" s="908"/>
      <c r="X382" s="905"/>
      <c r="Y382" s="906"/>
      <c r="Z382" s="907"/>
      <c r="AA382" s="908"/>
      <c r="AB382" s="905"/>
      <c r="AC382" s="906"/>
      <c r="AD382" s="907"/>
      <c r="AE382" s="908"/>
      <c r="AF382" s="563">
        <v>572</v>
      </c>
      <c r="AJ382" s="338"/>
    </row>
    <row r="383" spans="2:36" s="113" customFormat="1" x14ac:dyDescent="0.4">
      <c r="B383" s="80"/>
      <c r="C383" s="566">
        <v>575</v>
      </c>
      <c r="D383" s="905"/>
      <c r="E383" s="906"/>
      <c r="F383" s="907"/>
      <c r="G383" s="908"/>
      <c r="H383" s="905"/>
      <c r="I383" s="906"/>
      <c r="J383" s="907"/>
      <c r="K383" s="908"/>
      <c r="L383" s="905"/>
      <c r="M383" s="906"/>
      <c r="N383" s="907"/>
      <c r="O383" s="908"/>
      <c r="P383" s="905"/>
      <c r="Q383" s="906"/>
      <c r="R383" s="907"/>
      <c r="S383" s="908"/>
      <c r="T383" s="909"/>
      <c r="U383" s="906"/>
      <c r="V383" s="907"/>
      <c r="W383" s="908"/>
      <c r="X383" s="905"/>
      <c r="Y383" s="906"/>
      <c r="Z383" s="907"/>
      <c r="AA383" s="908"/>
      <c r="AB383" s="905"/>
      <c r="AC383" s="906"/>
      <c r="AD383" s="907"/>
      <c r="AE383" s="908"/>
      <c r="AF383" s="563">
        <v>575</v>
      </c>
      <c r="AJ383" s="338"/>
    </row>
    <row r="384" spans="2:36" s="113" customFormat="1" x14ac:dyDescent="0.4">
      <c r="B384" s="80"/>
      <c r="C384" s="566">
        <v>578</v>
      </c>
      <c r="D384" s="905"/>
      <c r="E384" s="906"/>
      <c r="F384" s="907"/>
      <c r="G384" s="908"/>
      <c r="H384" s="905"/>
      <c r="I384" s="906"/>
      <c r="J384" s="907"/>
      <c r="K384" s="908"/>
      <c r="L384" s="905"/>
      <c r="M384" s="906"/>
      <c r="N384" s="907"/>
      <c r="O384" s="908"/>
      <c r="P384" s="905"/>
      <c r="Q384" s="906"/>
      <c r="R384" s="907"/>
      <c r="S384" s="908"/>
      <c r="T384" s="909"/>
      <c r="U384" s="906"/>
      <c r="V384" s="907"/>
      <c r="W384" s="908"/>
      <c r="X384" s="905"/>
      <c r="Y384" s="906"/>
      <c r="Z384" s="907"/>
      <c r="AA384" s="908"/>
      <c r="AB384" s="905"/>
      <c r="AC384" s="906"/>
      <c r="AD384" s="907"/>
      <c r="AE384" s="908"/>
      <c r="AF384" s="563">
        <v>578</v>
      </c>
      <c r="AJ384" s="338"/>
    </row>
    <row r="385" spans="2:36" s="113" customFormat="1" x14ac:dyDescent="0.4">
      <c r="B385" s="80"/>
      <c r="C385" s="566">
        <v>581</v>
      </c>
      <c r="D385" s="905"/>
      <c r="E385" s="906"/>
      <c r="F385" s="907"/>
      <c r="G385" s="908"/>
      <c r="H385" s="905"/>
      <c r="I385" s="906"/>
      <c r="J385" s="907"/>
      <c r="K385" s="908"/>
      <c r="L385" s="905"/>
      <c r="M385" s="906"/>
      <c r="N385" s="907"/>
      <c r="O385" s="908"/>
      <c r="P385" s="905"/>
      <c r="Q385" s="906"/>
      <c r="R385" s="907"/>
      <c r="S385" s="908"/>
      <c r="T385" s="909"/>
      <c r="U385" s="906"/>
      <c r="V385" s="907"/>
      <c r="W385" s="908"/>
      <c r="X385" s="905"/>
      <c r="Y385" s="906"/>
      <c r="Z385" s="907"/>
      <c r="AA385" s="908"/>
      <c r="AB385" s="905"/>
      <c r="AC385" s="906"/>
      <c r="AD385" s="907"/>
      <c r="AE385" s="908"/>
      <c r="AF385" s="563">
        <v>581</v>
      </c>
      <c r="AJ385" s="338"/>
    </row>
    <row r="386" spans="2:36" s="113" customFormat="1" x14ac:dyDescent="0.4">
      <c r="B386" s="80"/>
      <c r="C386" s="566">
        <v>584</v>
      </c>
      <c r="D386" s="905"/>
      <c r="E386" s="906"/>
      <c r="F386" s="907"/>
      <c r="G386" s="908"/>
      <c r="H386" s="905"/>
      <c r="I386" s="906"/>
      <c r="J386" s="907"/>
      <c r="K386" s="908"/>
      <c r="L386" s="905"/>
      <c r="M386" s="906"/>
      <c r="N386" s="907"/>
      <c r="O386" s="908"/>
      <c r="P386" s="905"/>
      <c r="Q386" s="906"/>
      <c r="R386" s="907"/>
      <c r="S386" s="908"/>
      <c r="T386" s="909"/>
      <c r="U386" s="906"/>
      <c r="V386" s="907"/>
      <c r="W386" s="908"/>
      <c r="X386" s="905"/>
      <c r="Y386" s="906"/>
      <c r="Z386" s="907"/>
      <c r="AA386" s="908"/>
      <c r="AB386" s="905"/>
      <c r="AC386" s="906"/>
      <c r="AD386" s="907"/>
      <c r="AE386" s="908"/>
      <c r="AF386" s="563">
        <v>584</v>
      </c>
      <c r="AJ386" s="338"/>
    </row>
    <row r="387" spans="2:36" s="113" customFormat="1" x14ac:dyDescent="0.4">
      <c r="B387" s="80"/>
      <c r="C387" s="566">
        <v>587</v>
      </c>
      <c r="D387" s="905"/>
      <c r="E387" s="906"/>
      <c r="F387" s="907"/>
      <c r="G387" s="908"/>
      <c r="H387" s="905"/>
      <c r="I387" s="906"/>
      <c r="J387" s="907"/>
      <c r="K387" s="908"/>
      <c r="L387" s="905"/>
      <c r="M387" s="906"/>
      <c r="N387" s="907"/>
      <c r="O387" s="908"/>
      <c r="P387" s="905"/>
      <c r="Q387" s="906"/>
      <c r="R387" s="907"/>
      <c r="S387" s="908"/>
      <c r="T387" s="909"/>
      <c r="U387" s="906"/>
      <c r="V387" s="907"/>
      <c r="W387" s="908"/>
      <c r="X387" s="905"/>
      <c r="Y387" s="906"/>
      <c r="Z387" s="907"/>
      <c r="AA387" s="908"/>
      <c r="AB387" s="905"/>
      <c r="AC387" s="906"/>
      <c r="AD387" s="907"/>
      <c r="AE387" s="908"/>
      <c r="AF387" s="563">
        <v>587</v>
      </c>
      <c r="AJ387" s="338"/>
    </row>
    <row r="388" spans="2:36" s="113" customFormat="1" x14ac:dyDescent="0.4">
      <c r="B388" s="80"/>
      <c r="C388" s="566">
        <v>590</v>
      </c>
      <c r="D388" s="905"/>
      <c r="E388" s="906"/>
      <c r="F388" s="907"/>
      <c r="G388" s="908"/>
      <c r="H388" s="905"/>
      <c r="I388" s="906"/>
      <c r="J388" s="907"/>
      <c r="K388" s="908"/>
      <c r="L388" s="905"/>
      <c r="M388" s="906"/>
      <c r="N388" s="907"/>
      <c r="O388" s="908"/>
      <c r="P388" s="905"/>
      <c r="Q388" s="906"/>
      <c r="R388" s="907"/>
      <c r="S388" s="908"/>
      <c r="T388" s="909"/>
      <c r="U388" s="906"/>
      <c r="V388" s="907"/>
      <c r="W388" s="908"/>
      <c r="X388" s="905"/>
      <c r="Y388" s="906"/>
      <c r="Z388" s="907"/>
      <c r="AA388" s="908"/>
      <c r="AB388" s="905"/>
      <c r="AC388" s="906"/>
      <c r="AD388" s="907"/>
      <c r="AE388" s="908"/>
      <c r="AF388" s="563">
        <v>590</v>
      </c>
      <c r="AJ388" s="338"/>
    </row>
    <row r="389" spans="2:36" s="113" customFormat="1" x14ac:dyDescent="0.4">
      <c r="B389" s="80"/>
      <c r="C389" s="566">
        <v>593</v>
      </c>
      <c r="D389" s="905"/>
      <c r="E389" s="906"/>
      <c r="F389" s="907"/>
      <c r="G389" s="908"/>
      <c r="H389" s="905"/>
      <c r="I389" s="906"/>
      <c r="J389" s="907"/>
      <c r="K389" s="908"/>
      <c r="L389" s="905"/>
      <c r="M389" s="906"/>
      <c r="N389" s="907"/>
      <c r="O389" s="908"/>
      <c r="P389" s="905"/>
      <c r="Q389" s="906"/>
      <c r="R389" s="907"/>
      <c r="S389" s="908"/>
      <c r="T389" s="909"/>
      <c r="U389" s="906"/>
      <c r="V389" s="907"/>
      <c r="W389" s="908"/>
      <c r="X389" s="905"/>
      <c r="Y389" s="906"/>
      <c r="Z389" s="907"/>
      <c r="AA389" s="908"/>
      <c r="AB389" s="905"/>
      <c r="AC389" s="906"/>
      <c r="AD389" s="907"/>
      <c r="AE389" s="908"/>
      <c r="AF389" s="563">
        <v>593</v>
      </c>
      <c r="AJ389" s="338"/>
    </row>
    <row r="390" spans="2:36" s="113" customFormat="1" x14ac:dyDescent="0.4">
      <c r="B390" s="80"/>
      <c r="C390" s="566">
        <v>596</v>
      </c>
      <c r="D390" s="905"/>
      <c r="E390" s="906"/>
      <c r="F390" s="907"/>
      <c r="G390" s="908"/>
      <c r="H390" s="905"/>
      <c r="I390" s="906"/>
      <c r="J390" s="907"/>
      <c r="K390" s="908"/>
      <c r="L390" s="905"/>
      <c r="M390" s="906"/>
      <c r="N390" s="907"/>
      <c r="O390" s="908"/>
      <c r="P390" s="905"/>
      <c r="Q390" s="906"/>
      <c r="R390" s="907"/>
      <c r="S390" s="908"/>
      <c r="T390" s="909"/>
      <c r="U390" s="906"/>
      <c r="V390" s="907"/>
      <c r="W390" s="908"/>
      <c r="X390" s="905"/>
      <c r="Y390" s="906"/>
      <c r="Z390" s="907"/>
      <c r="AA390" s="908"/>
      <c r="AB390" s="905"/>
      <c r="AC390" s="906"/>
      <c r="AD390" s="907"/>
      <c r="AE390" s="908"/>
      <c r="AF390" s="563">
        <v>596</v>
      </c>
      <c r="AJ390" s="338"/>
    </row>
    <row r="391" spans="2:36" s="113" customFormat="1" x14ac:dyDescent="0.4">
      <c r="B391" s="80"/>
      <c r="C391" s="566">
        <v>599</v>
      </c>
      <c r="D391" s="905"/>
      <c r="E391" s="906"/>
      <c r="F391" s="907"/>
      <c r="G391" s="908"/>
      <c r="H391" s="905"/>
      <c r="I391" s="906"/>
      <c r="J391" s="907"/>
      <c r="K391" s="908"/>
      <c r="L391" s="905"/>
      <c r="M391" s="906"/>
      <c r="N391" s="907"/>
      <c r="O391" s="908"/>
      <c r="P391" s="905"/>
      <c r="Q391" s="906"/>
      <c r="R391" s="907"/>
      <c r="S391" s="908"/>
      <c r="T391" s="909"/>
      <c r="U391" s="906"/>
      <c r="V391" s="907"/>
      <c r="W391" s="908"/>
      <c r="X391" s="905"/>
      <c r="Y391" s="906"/>
      <c r="Z391" s="907"/>
      <c r="AA391" s="908"/>
      <c r="AB391" s="905"/>
      <c r="AC391" s="906"/>
      <c r="AD391" s="907"/>
      <c r="AE391" s="908"/>
      <c r="AF391" s="563">
        <v>599</v>
      </c>
      <c r="AJ391" s="338"/>
    </row>
    <row r="392" spans="2:36" s="113" customFormat="1" x14ac:dyDescent="0.4">
      <c r="B392" s="80"/>
      <c r="C392" s="566">
        <v>602</v>
      </c>
      <c r="D392" s="905"/>
      <c r="E392" s="906"/>
      <c r="F392" s="907"/>
      <c r="G392" s="908"/>
      <c r="H392" s="905"/>
      <c r="I392" s="906"/>
      <c r="J392" s="907"/>
      <c r="K392" s="908"/>
      <c r="L392" s="905"/>
      <c r="M392" s="906"/>
      <c r="N392" s="907"/>
      <c r="O392" s="908"/>
      <c r="P392" s="905"/>
      <c r="Q392" s="906"/>
      <c r="R392" s="907"/>
      <c r="S392" s="908"/>
      <c r="T392" s="909"/>
      <c r="U392" s="906"/>
      <c r="V392" s="907"/>
      <c r="W392" s="908"/>
      <c r="X392" s="905"/>
      <c r="Y392" s="906"/>
      <c r="Z392" s="907"/>
      <c r="AA392" s="908"/>
      <c r="AB392" s="905"/>
      <c r="AC392" s="906"/>
      <c r="AD392" s="907"/>
      <c r="AE392" s="908"/>
      <c r="AF392" s="563">
        <v>602</v>
      </c>
      <c r="AJ392" s="338"/>
    </row>
    <row r="393" spans="2:36" s="113" customFormat="1" x14ac:dyDescent="0.4">
      <c r="B393" s="80"/>
      <c r="C393" s="566">
        <v>605</v>
      </c>
      <c r="D393" s="905"/>
      <c r="E393" s="906"/>
      <c r="F393" s="907"/>
      <c r="G393" s="908"/>
      <c r="H393" s="905"/>
      <c r="I393" s="906"/>
      <c r="J393" s="907"/>
      <c r="K393" s="908"/>
      <c r="L393" s="905"/>
      <c r="M393" s="906"/>
      <c r="N393" s="907"/>
      <c r="O393" s="908"/>
      <c r="P393" s="905"/>
      <c r="Q393" s="906"/>
      <c r="R393" s="907"/>
      <c r="S393" s="908"/>
      <c r="T393" s="909"/>
      <c r="U393" s="906"/>
      <c r="V393" s="907"/>
      <c r="W393" s="908"/>
      <c r="X393" s="905"/>
      <c r="Y393" s="906"/>
      <c r="Z393" s="907"/>
      <c r="AA393" s="908"/>
      <c r="AB393" s="905"/>
      <c r="AC393" s="906"/>
      <c r="AD393" s="907"/>
      <c r="AE393" s="908"/>
      <c r="AF393" s="563">
        <v>605</v>
      </c>
      <c r="AJ393" s="338"/>
    </row>
    <row r="394" spans="2:36" s="113" customFormat="1" x14ac:dyDescent="0.4">
      <c r="B394" s="80"/>
      <c r="C394" s="566">
        <v>608</v>
      </c>
      <c r="D394" s="905"/>
      <c r="E394" s="906"/>
      <c r="F394" s="907"/>
      <c r="G394" s="908"/>
      <c r="H394" s="905"/>
      <c r="I394" s="906"/>
      <c r="J394" s="907"/>
      <c r="K394" s="908"/>
      <c r="L394" s="905"/>
      <c r="M394" s="906"/>
      <c r="N394" s="907"/>
      <c r="O394" s="908"/>
      <c r="P394" s="905"/>
      <c r="Q394" s="906"/>
      <c r="R394" s="907"/>
      <c r="S394" s="908"/>
      <c r="T394" s="909"/>
      <c r="U394" s="906"/>
      <c r="V394" s="907"/>
      <c r="W394" s="908"/>
      <c r="X394" s="905"/>
      <c r="Y394" s="906"/>
      <c r="Z394" s="907"/>
      <c r="AA394" s="908"/>
      <c r="AB394" s="905"/>
      <c r="AC394" s="906"/>
      <c r="AD394" s="907"/>
      <c r="AE394" s="908"/>
      <c r="AF394" s="563">
        <v>608</v>
      </c>
      <c r="AJ394" s="338"/>
    </row>
    <row r="395" spans="2:36" s="113" customFormat="1" x14ac:dyDescent="0.4">
      <c r="B395" s="80"/>
      <c r="C395" s="566">
        <v>611</v>
      </c>
      <c r="D395" s="905"/>
      <c r="E395" s="906"/>
      <c r="F395" s="907"/>
      <c r="G395" s="908"/>
      <c r="H395" s="905"/>
      <c r="I395" s="906"/>
      <c r="J395" s="907"/>
      <c r="K395" s="908"/>
      <c r="L395" s="905"/>
      <c r="M395" s="906"/>
      <c r="N395" s="907"/>
      <c r="O395" s="908"/>
      <c r="P395" s="905"/>
      <c r="Q395" s="906"/>
      <c r="R395" s="907"/>
      <c r="S395" s="908"/>
      <c r="T395" s="909"/>
      <c r="U395" s="906"/>
      <c r="V395" s="907"/>
      <c r="W395" s="908"/>
      <c r="X395" s="905"/>
      <c r="Y395" s="906"/>
      <c r="Z395" s="907"/>
      <c r="AA395" s="908"/>
      <c r="AB395" s="905"/>
      <c r="AC395" s="906"/>
      <c r="AD395" s="907"/>
      <c r="AE395" s="908"/>
      <c r="AF395" s="563">
        <v>611</v>
      </c>
      <c r="AJ395" s="338"/>
    </row>
    <row r="396" spans="2:36" s="113" customFormat="1" x14ac:dyDescent="0.4">
      <c r="B396" s="80"/>
      <c r="C396" s="566">
        <v>614</v>
      </c>
      <c r="D396" s="905"/>
      <c r="E396" s="906"/>
      <c r="F396" s="907"/>
      <c r="G396" s="908"/>
      <c r="H396" s="905"/>
      <c r="I396" s="906"/>
      <c r="J396" s="907"/>
      <c r="K396" s="908"/>
      <c r="L396" s="905"/>
      <c r="M396" s="906"/>
      <c r="N396" s="907"/>
      <c r="O396" s="908"/>
      <c r="P396" s="905"/>
      <c r="Q396" s="906"/>
      <c r="R396" s="907"/>
      <c r="S396" s="908"/>
      <c r="T396" s="909"/>
      <c r="U396" s="906"/>
      <c r="V396" s="907"/>
      <c r="W396" s="908"/>
      <c r="X396" s="905"/>
      <c r="Y396" s="906"/>
      <c r="Z396" s="907"/>
      <c r="AA396" s="908"/>
      <c r="AB396" s="905"/>
      <c r="AC396" s="906"/>
      <c r="AD396" s="907"/>
      <c r="AE396" s="908"/>
      <c r="AF396" s="563">
        <v>614</v>
      </c>
      <c r="AJ396" s="338"/>
    </row>
    <row r="397" spans="2:36" s="113" customFormat="1" x14ac:dyDescent="0.4">
      <c r="B397" s="80"/>
      <c r="C397" s="566">
        <v>617</v>
      </c>
      <c r="D397" s="905"/>
      <c r="E397" s="906"/>
      <c r="F397" s="907"/>
      <c r="G397" s="908"/>
      <c r="H397" s="905"/>
      <c r="I397" s="906"/>
      <c r="J397" s="907"/>
      <c r="K397" s="908"/>
      <c r="L397" s="905"/>
      <c r="M397" s="906"/>
      <c r="N397" s="907"/>
      <c r="O397" s="908"/>
      <c r="P397" s="905"/>
      <c r="Q397" s="906"/>
      <c r="R397" s="907"/>
      <c r="S397" s="908"/>
      <c r="T397" s="909"/>
      <c r="U397" s="906"/>
      <c r="V397" s="907"/>
      <c r="W397" s="908"/>
      <c r="X397" s="905"/>
      <c r="Y397" s="906"/>
      <c r="Z397" s="907"/>
      <c r="AA397" s="908"/>
      <c r="AB397" s="905"/>
      <c r="AC397" s="906"/>
      <c r="AD397" s="907"/>
      <c r="AE397" s="908"/>
      <c r="AF397" s="563">
        <v>617</v>
      </c>
      <c r="AJ397" s="338"/>
    </row>
    <row r="398" spans="2:36" s="113" customFormat="1" x14ac:dyDescent="0.4">
      <c r="B398" s="80"/>
      <c r="C398" s="566">
        <v>620</v>
      </c>
      <c r="D398" s="905"/>
      <c r="E398" s="906"/>
      <c r="F398" s="907"/>
      <c r="G398" s="908"/>
      <c r="H398" s="905"/>
      <c r="I398" s="906"/>
      <c r="J398" s="907"/>
      <c r="K398" s="908"/>
      <c r="L398" s="905"/>
      <c r="M398" s="906"/>
      <c r="N398" s="907"/>
      <c r="O398" s="908"/>
      <c r="P398" s="905"/>
      <c r="Q398" s="906"/>
      <c r="R398" s="907"/>
      <c r="S398" s="908"/>
      <c r="T398" s="909"/>
      <c r="U398" s="906"/>
      <c r="V398" s="907"/>
      <c r="W398" s="908"/>
      <c r="X398" s="905"/>
      <c r="Y398" s="906"/>
      <c r="Z398" s="907"/>
      <c r="AA398" s="908"/>
      <c r="AB398" s="905"/>
      <c r="AC398" s="906"/>
      <c r="AD398" s="907"/>
      <c r="AE398" s="908"/>
      <c r="AF398" s="563">
        <v>620</v>
      </c>
      <c r="AJ398" s="338"/>
    </row>
    <row r="399" spans="2:36" s="113" customFormat="1" x14ac:dyDescent="0.4">
      <c r="B399" s="80"/>
      <c r="C399" s="566">
        <v>623</v>
      </c>
      <c r="D399" s="905"/>
      <c r="E399" s="906"/>
      <c r="F399" s="907"/>
      <c r="G399" s="908"/>
      <c r="H399" s="905"/>
      <c r="I399" s="906"/>
      <c r="J399" s="907"/>
      <c r="K399" s="908"/>
      <c r="L399" s="905"/>
      <c r="M399" s="906"/>
      <c r="N399" s="907"/>
      <c r="O399" s="908"/>
      <c r="P399" s="905"/>
      <c r="Q399" s="906"/>
      <c r="R399" s="907"/>
      <c r="S399" s="908"/>
      <c r="T399" s="909"/>
      <c r="U399" s="906"/>
      <c r="V399" s="907"/>
      <c r="W399" s="908"/>
      <c r="X399" s="905"/>
      <c r="Y399" s="906"/>
      <c r="Z399" s="907"/>
      <c r="AA399" s="908"/>
      <c r="AB399" s="905"/>
      <c r="AC399" s="906"/>
      <c r="AD399" s="907"/>
      <c r="AE399" s="908"/>
      <c r="AF399" s="563">
        <v>623</v>
      </c>
      <c r="AJ399" s="338"/>
    </row>
    <row r="400" spans="2:36" s="113" customFormat="1" x14ac:dyDescent="0.4">
      <c r="B400" s="80"/>
      <c r="C400" s="566">
        <v>626</v>
      </c>
      <c r="D400" s="905"/>
      <c r="E400" s="906"/>
      <c r="F400" s="907"/>
      <c r="G400" s="908"/>
      <c r="H400" s="905"/>
      <c r="I400" s="906"/>
      <c r="J400" s="907"/>
      <c r="K400" s="908"/>
      <c r="L400" s="905"/>
      <c r="M400" s="906"/>
      <c r="N400" s="907"/>
      <c r="O400" s="908"/>
      <c r="P400" s="905"/>
      <c r="Q400" s="906"/>
      <c r="R400" s="907"/>
      <c r="S400" s="908"/>
      <c r="T400" s="909"/>
      <c r="U400" s="906"/>
      <c r="V400" s="907"/>
      <c r="W400" s="908"/>
      <c r="X400" s="905"/>
      <c r="Y400" s="906"/>
      <c r="Z400" s="907"/>
      <c r="AA400" s="908"/>
      <c r="AB400" s="905"/>
      <c r="AC400" s="906"/>
      <c r="AD400" s="907"/>
      <c r="AE400" s="908"/>
      <c r="AF400" s="563">
        <v>626</v>
      </c>
      <c r="AJ400" s="338"/>
    </row>
    <row r="401" spans="2:36" s="113" customFormat="1" x14ac:dyDescent="0.4">
      <c r="B401" s="80"/>
      <c r="C401" s="566">
        <v>629</v>
      </c>
      <c r="D401" s="905"/>
      <c r="E401" s="906"/>
      <c r="F401" s="907"/>
      <c r="G401" s="908"/>
      <c r="H401" s="905"/>
      <c r="I401" s="906"/>
      <c r="J401" s="907"/>
      <c r="K401" s="908"/>
      <c r="L401" s="905"/>
      <c r="M401" s="906"/>
      <c r="N401" s="907"/>
      <c r="O401" s="908"/>
      <c r="P401" s="905"/>
      <c r="Q401" s="906"/>
      <c r="R401" s="907"/>
      <c r="S401" s="908"/>
      <c r="T401" s="909"/>
      <c r="U401" s="906"/>
      <c r="V401" s="907"/>
      <c r="W401" s="908"/>
      <c r="X401" s="905"/>
      <c r="Y401" s="906"/>
      <c r="Z401" s="907"/>
      <c r="AA401" s="908"/>
      <c r="AB401" s="905"/>
      <c r="AC401" s="906"/>
      <c r="AD401" s="907"/>
      <c r="AE401" s="908"/>
      <c r="AF401" s="563">
        <v>629</v>
      </c>
      <c r="AJ401" s="338"/>
    </row>
    <row r="402" spans="2:36" s="113" customFormat="1" x14ac:dyDescent="0.4">
      <c r="B402" s="80"/>
      <c r="C402" s="566">
        <v>632</v>
      </c>
      <c r="D402" s="905"/>
      <c r="E402" s="906"/>
      <c r="F402" s="907"/>
      <c r="G402" s="908"/>
      <c r="H402" s="905"/>
      <c r="I402" s="906"/>
      <c r="J402" s="907"/>
      <c r="K402" s="908"/>
      <c r="L402" s="905"/>
      <c r="M402" s="906"/>
      <c r="N402" s="907"/>
      <c r="O402" s="908"/>
      <c r="P402" s="905"/>
      <c r="Q402" s="906"/>
      <c r="R402" s="907"/>
      <c r="S402" s="908"/>
      <c r="T402" s="909"/>
      <c r="U402" s="906"/>
      <c r="V402" s="907"/>
      <c r="W402" s="908"/>
      <c r="X402" s="905"/>
      <c r="Y402" s="906"/>
      <c r="Z402" s="907"/>
      <c r="AA402" s="908"/>
      <c r="AB402" s="905"/>
      <c r="AC402" s="906"/>
      <c r="AD402" s="907"/>
      <c r="AE402" s="908"/>
      <c r="AF402" s="563">
        <v>632</v>
      </c>
      <c r="AJ402" s="338"/>
    </row>
    <row r="403" spans="2:36" s="113" customFormat="1" x14ac:dyDescent="0.4">
      <c r="B403" s="80"/>
      <c r="C403" s="566">
        <v>635</v>
      </c>
      <c r="D403" s="905"/>
      <c r="E403" s="906"/>
      <c r="F403" s="907"/>
      <c r="G403" s="908"/>
      <c r="H403" s="905"/>
      <c r="I403" s="906"/>
      <c r="J403" s="907"/>
      <c r="K403" s="908"/>
      <c r="L403" s="905"/>
      <c r="M403" s="906"/>
      <c r="N403" s="907"/>
      <c r="O403" s="908"/>
      <c r="P403" s="905"/>
      <c r="Q403" s="906"/>
      <c r="R403" s="907"/>
      <c r="S403" s="908"/>
      <c r="T403" s="909"/>
      <c r="U403" s="906"/>
      <c r="V403" s="907"/>
      <c r="W403" s="908"/>
      <c r="X403" s="905"/>
      <c r="Y403" s="906"/>
      <c r="Z403" s="907"/>
      <c r="AA403" s="908"/>
      <c r="AB403" s="905"/>
      <c r="AC403" s="906"/>
      <c r="AD403" s="907"/>
      <c r="AE403" s="908"/>
      <c r="AF403" s="563">
        <v>635</v>
      </c>
      <c r="AJ403" s="338"/>
    </row>
    <row r="404" spans="2:36" s="113" customFormat="1" x14ac:dyDescent="0.4">
      <c r="B404" s="80"/>
      <c r="C404" s="566">
        <v>638</v>
      </c>
      <c r="D404" s="905"/>
      <c r="E404" s="906"/>
      <c r="F404" s="907"/>
      <c r="G404" s="908"/>
      <c r="H404" s="905"/>
      <c r="I404" s="906"/>
      <c r="J404" s="907"/>
      <c r="K404" s="908"/>
      <c r="L404" s="905"/>
      <c r="M404" s="906"/>
      <c r="N404" s="907"/>
      <c r="O404" s="908"/>
      <c r="P404" s="905"/>
      <c r="Q404" s="906"/>
      <c r="R404" s="907"/>
      <c r="S404" s="908"/>
      <c r="T404" s="909"/>
      <c r="U404" s="906"/>
      <c r="V404" s="907"/>
      <c r="W404" s="908"/>
      <c r="X404" s="905"/>
      <c r="Y404" s="906"/>
      <c r="Z404" s="907"/>
      <c r="AA404" s="908"/>
      <c r="AB404" s="905"/>
      <c r="AC404" s="906"/>
      <c r="AD404" s="907"/>
      <c r="AE404" s="908"/>
      <c r="AF404" s="563">
        <v>638</v>
      </c>
      <c r="AJ404" s="338"/>
    </row>
    <row r="405" spans="2:36" s="113" customFormat="1" x14ac:dyDescent="0.4">
      <c r="B405" s="80"/>
      <c r="C405" s="566">
        <v>641</v>
      </c>
      <c r="D405" s="905"/>
      <c r="E405" s="906"/>
      <c r="F405" s="907"/>
      <c r="G405" s="908"/>
      <c r="H405" s="905"/>
      <c r="I405" s="906"/>
      <c r="J405" s="907"/>
      <c r="K405" s="908"/>
      <c r="L405" s="905"/>
      <c r="M405" s="906"/>
      <c r="N405" s="907"/>
      <c r="O405" s="908"/>
      <c r="P405" s="905"/>
      <c r="Q405" s="906"/>
      <c r="R405" s="907"/>
      <c r="S405" s="908"/>
      <c r="T405" s="909"/>
      <c r="U405" s="906"/>
      <c r="V405" s="907"/>
      <c r="W405" s="908"/>
      <c r="X405" s="905"/>
      <c r="Y405" s="906"/>
      <c r="Z405" s="907"/>
      <c r="AA405" s="908"/>
      <c r="AB405" s="905"/>
      <c r="AC405" s="906"/>
      <c r="AD405" s="907"/>
      <c r="AE405" s="908"/>
      <c r="AF405" s="563">
        <v>641</v>
      </c>
      <c r="AJ405" s="338"/>
    </row>
    <row r="406" spans="2:36" s="113" customFormat="1" x14ac:dyDescent="0.4">
      <c r="B406" s="80"/>
      <c r="C406" s="566">
        <v>644</v>
      </c>
      <c r="D406" s="905"/>
      <c r="E406" s="906"/>
      <c r="F406" s="907"/>
      <c r="G406" s="908"/>
      <c r="H406" s="905"/>
      <c r="I406" s="906"/>
      <c r="J406" s="907"/>
      <c r="K406" s="908"/>
      <c r="L406" s="905"/>
      <c r="M406" s="906"/>
      <c r="N406" s="907"/>
      <c r="O406" s="908"/>
      <c r="P406" s="905"/>
      <c r="Q406" s="906"/>
      <c r="R406" s="907"/>
      <c r="S406" s="908"/>
      <c r="T406" s="909"/>
      <c r="U406" s="906"/>
      <c r="V406" s="907"/>
      <c r="W406" s="908"/>
      <c r="X406" s="905"/>
      <c r="Y406" s="906"/>
      <c r="Z406" s="907"/>
      <c r="AA406" s="908"/>
      <c r="AB406" s="905"/>
      <c r="AC406" s="906"/>
      <c r="AD406" s="907"/>
      <c r="AE406" s="908"/>
      <c r="AF406" s="563">
        <v>644</v>
      </c>
      <c r="AJ406" s="338"/>
    </row>
    <row r="407" spans="2:36" s="113" customFormat="1" x14ac:dyDescent="0.4">
      <c r="B407" s="80"/>
      <c r="C407" s="566">
        <v>647</v>
      </c>
      <c r="D407" s="905"/>
      <c r="E407" s="906"/>
      <c r="F407" s="907"/>
      <c r="G407" s="908"/>
      <c r="H407" s="905"/>
      <c r="I407" s="906"/>
      <c r="J407" s="907"/>
      <c r="K407" s="908"/>
      <c r="L407" s="905"/>
      <c r="M407" s="906"/>
      <c r="N407" s="907"/>
      <c r="O407" s="908"/>
      <c r="P407" s="905"/>
      <c r="Q407" s="906"/>
      <c r="R407" s="907"/>
      <c r="S407" s="908"/>
      <c r="T407" s="909"/>
      <c r="U407" s="906"/>
      <c r="V407" s="907"/>
      <c r="W407" s="908"/>
      <c r="X407" s="905"/>
      <c r="Y407" s="906"/>
      <c r="Z407" s="907"/>
      <c r="AA407" s="908"/>
      <c r="AB407" s="905"/>
      <c r="AC407" s="906"/>
      <c r="AD407" s="907"/>
      <c r="AE407" s="908"/>
      <c r="AF407" s="563">
        <v>647</v>
      </c>
      <c r="AJ407" s="338"/>
    </row>
    <row r="408" spans="2:36" s="113" customFormat="1" ht="16" thickBot="1" x14ac:dyDescent="0.45">
      <c r="B408" s="80"/>
      <c r="C408" s="567">
        <v>650</v>
      </c>
      <c r="D408" s="910"/>
      <c r="E408" s="911"/>
      <c r="F408" s="912"/>
      <c r="G408" s="913"/>
      <c r="H408" s="910"/>
      <c r="I408" s="911"/>
      <c r="J408" s="912"/>
      <c r="K408" s="913"/>
      <c r="L408" s="910"/>
      <c r="M408" s="911"/>
      <c r="N408" s="912"/>
      <c r="O408" s="913"/>
      <c r="P408" s="910"/>
      <c r="Q408" s="911"/>
      <c r="R408" s="912"/>
      <c r="S408" s="913"/>
      <c r="T408" s="914"/>
      <c r="U408" s="911"/>
      <c r="V408" s="912"/>
      <c r="W408" s="913"/>
      <c r="X408" s="910"/>
      <c r="Y408" s="911"/>
      <c r="Z408" s="912"/>
      <c r="AA408" s="913"/>
      <c r="AB408" s="910"/>
      <c r="AC408" s="911"/>
      <c r="AD408" s="912"/>
      <c r="AE408" s="913"/>
      <c r="AF408" s="564">
        <v>650</v>
      </c>
      <c r="AJ408" s="338"/>
    </row>
    <row r="409" spans="2:36" s="113" customFormat="1" ht="16" thickBot="1" x14ac:dyDescent="0.45">
      <c r="B409" s="80"/>
      <c r="D409" s="150"/>
      <c r="E409" s="150"/>
      <c r="F409" s="150"/>
      <c r="G409" s="150"/>
      <c r="H409" s="150"/>
      <c r="I409" s="150"/>
      <c r="J409" s="150"/>
      <c r="K409" s="150"/>
      <c r="L409" s="150"/>
      <c r="M409" s="150"/>
      <c r="N409" s="150"/>
      <c r="O409" s="150"/>
      <c r="P409" s="150"/>
      <c r="Q409" s="150"/>
      <c r="R409" s="150"/>
      <c r="S409" s="150"/>
      <c r="T409" s="150"/>
      <c r="U409" s="150"/>
      <c r="V409" s="150"/>
      <c r="W409" s="150"/>
      <c r="X409" s="150"/>
      <c r="Y409" s="150"/>
      <c r="Z409" s="150"/>
      <c r="AA409" s="150"/>
      <c r="AB409" s="150"/>
      <c r="AC409" s="150"/>
      <c r="AD409" s="150"/>
      <c r="AE409" s="150"/>
      <c r="AJ409" s="338"/>
    </row>
    <row r="410" spans="2:36" s="113" customFormat="1" ht="34.5" customHeight="1" thickBot="1" x14ac:dyDescent="0.45">
      <c r="B410" s="80"/>
      <c r="C410" s="1030" t="s">
        <v>179</v>
      </c>
      <c r="D410" s="1031"/>
      <c r="E410" s="1031"/>
      <c r="F410" s="1031"/>
      <c r="G410" s="1032"/>
      <c r="I410" s="1158" t="s">
        <v>319</v>
      </c>
      <c r="J410" s="1159"/>
      <c r="K410" s="1159"/>
      <c r="L410" s="1159"/>
      <c r="M410" s="1160"/>
      <c r="AA410" s="150"/>
      <c r="AB410" s="150"/>
      <c r="AD410" s="150"/>
      <c r="AE410" s="150"/>
      <c r="AF410" s="150"/>
      <c r="AJ410" s="338"/>
    </row>
    <row r="411" spans="2:36" s="113" customFormat="1" ht="33.75" customHeight="1" thickBot="1" x14ac:dyDescent="0.45">
      <c r="B411" s="80"/>
      <c r="C411" s="1152" t="str">
        <f>IF('General Info &amp; Test Results'!$F$13="Storage","Record the mean tank temperature and ambient temperature over the 24-hr period.","Record the ambient temperature over the 24-hr period.")</f>
        <v>Record the ambient temperature over the 24-hr period.</v>
      </c>
      <c r="D411" s="1153"/>
      <c r="E411" s="1153"/>
      <c r="F411" s="1153"/>
      <c r="G411" s="1154"/>
      <c r="I411" s="1155" t="s">
        <v>320</v>
      </c>
      <c r="J411" s="1156"/>
      <c r="K411" s="1156"/>
      <c r="L411" s="1156"/>
      <c r="M411" s="1157"/>
      <c r="Q411" s="339"/>
      <c r="AA411" s="150"/>
      <c r="AD411" s="150"/>
      <c r="AF411" s="150"/>
      <c r="AJ411" s="338"/>
    </row>
    <row r="412" spans="2:36" s="113" customFormat="1" ht="37.5" customHeight="1" thickBot="1" x14ac:dyDescent="0.45">
      <c r="B412" s="80"/>
      <c r="C412" s="570" t="s">
        <v>180</v>
      </c>
      <c r="D412" s="569" t="s">
        <v>547</v>
      </c>
      <c r="E412" s="568" t="s">
        <v>181</v>
      </c>
      <c r="F412" s="366" t="s">
        <v>545</v>
      </c>
      <c r="G412" s="367" t="s">
        <v>546</v>
      </c>
      <c r="I412" s="573" t="s">
        <v>180</v>
      </c>
      <c r="J412" s="572" t="s">
        <v>548</v>
      </c>
      <c r="K412" s="367" t="s">
        <v>549</v>
      </c>
      <c r="L412" s="368" t="s">
        <v>545</v>
      </c>
      <c r="M412" s="369" t="s">
        <v>546</v>
      </c>
      <c r="AJ412" s="338"/>
    </row>
    <row r="413" spans="2:36" s="113" customFormat="1" x14ac:dyDescent="0.4">
      <c r="B413" s="80"/>
      <c r="C413" s="571">
        <v>0</v>
      </c>
      <c r="D413" s="915"/>
      <c r="E413" s="916"/>
      <c r="F413" s="917" t="str">
        <f>IF($D$30="","",IF(OR(
AND(C413&gt;=0,C413&lt;=$D$32),
AND(C413&gt;=$E$30,C413&lt;=$E$32),
AND(C413&gt;=$F$30,C413&lt;=$F$32),
AND(C413&gt;=$G$30,C413&lt;=$G$32),
AND(C413&gt;=$H$30,C413&lt;=$H$32),
AND(C413&gt;=$I$30,C413&lt;=$I$32),
AND(C413&gt;=$J$30,C413&lt;=$J$32),
AND(C413&gt;=$K$30,C413&lt;=$K$32),
AND(C413&gt;=$L$30,C413&lt;=$L$32),
AND(C413&gt;=$M$30,C413&lt;=$M$32,$M$32&lt;&gt;""),
AND(C413&gt;=$N$30,C413&lt;=$N$32,$N$32&lt;&gt;""),
AND(C413&gt;=$O$30,C413&lt;=$O$32,$O$32&lt;&gt;""),
AND(C413&gt;=$P$30,C413&lt;=$P$32,$P$32&lt;&gt;""),
AND(C413&gt;=$Q$30,C413&lt;=$Q$32,$Q$32&lt;&gt;"")
),"ON","OFF"))</f>
        <v/>
      </c>
      <c r="G413" s="918" t="str">
        <f>IF(OR($D$47="",$D$48=""),"","OFF")</f>
        <v/>
      </c>
      <c r="H413" s="919"/>
      <c r="I413" s="920">
        <v>1441</v>
      </c>
      <c r="J413" s="915"/>
      <c r="K413" s="916"/>
      <c r="L413" s="917" t="str">
        <f>IF($D$30="","",IF(OR(
AND(I413&gt;=0,I413&lt;=$D$32),
AND(I413&gt;=$E$30,I413&lt;=$E$32),
AND(I413&gt;=$F$30,I413&lt;=$F$32),
AND(I413&gt;=$G$30,I413&lt;=$G$32),
AND(I413&gt;=$H$30,I413&lt;=$H$32),
AND(I413&gt;=$I$30,I413&lt;=$I$32),
AND(I413&gt;=$J$30,I413&lt;=$J$32),
AND(I413&gt;=$K$30,I413&lt;=$K$32),
AND(I413&gt;=$L$30,I413&lt;=$L$32),
AND(I413&gt;=$M$30,I413&lt;=$M$32,$M$32&lt;&gt;""),
AND(I413&gt;=$N$30,I413&lt;=$N$32,$N$32&lt;&gt;""),
AND(I413&gt;=$O$30,I413&lt;=$O$32,$O$32&lt;&gt;""),
AND(I413&gt;=$P$30,I413&lt;=$P$32,$P$32&lt;&gt;""),
AND(I413&gt;=$Q$30,I413&lt;=$Q$32,$Q$32&lt;&gt;"")
),"ON","OFF"))</f>
        <v/>
      </c>
      <c r="M413" s="352" t="str">
        <f>IF(OR($D$47="",$D$48=""),"",IF(OR(
AND(I413&gt;=$D$47,I413&lt;=$D$48),
AND(I413&gt;=$E$47,I413&lt;=$E$48),
AND(I413&gt;=$F$47,I413&lt;=$F$48),
AND(I413&gt;=$G$47,I413&lt;=$G$48),
AND(I413&gt;=$H$47,I413&lt;=$H$48),
AND(I413&gt;=$I$47,I413&lt;=$I$48),
AND(I413&gt;=$J$47,I413&lt;=$J$48),
AND(I413&gt;=$K$47,I413&lt;=$K$48),
AND(I413&gt;=$L$47,I413&lt;=$L$48),
AND(I413&gt;=$M$47,I413&lt;=$M$48),
AND(I413&gt;=$N$47,I413&lt;=$N$48),
AND(I413&gt;=$O$47,I413&lt;=$O$48),
AND(I413&gt;=$P$47,I413&lt;=$P$48),
AND(I413&gt;=$Q$47,I413&lt;=$Q$48),
AND(I413&gt;=$R$47,I413&lt;=$R$48),
AND(I413&gt;=$S$47,I413&lt;=$S$48),
AND(I413&gt;=$T$47,I413&lt;=$T$48),
AND(I413&gt;=$U$47,I413&lt;=$U$48),
AND(I413&gt;=$V$47,I413&lt;=$V$48),
AND(I413&gt;=$W$47,I413&lt;=$W$48),
AND(I413&gt;=$X$47,I413&lt;=$X$48),
AND(I413&gt;=$Y$47,I413&lt;=$Y$48),
AND(I413&gt;=$Z$47,I413&lt;=$Z$48),
AND(I413&gt;=$AA$47,I413&lt;=$AA$48),
AND(I413&gt;=$AB$47,I413&lt;=$AB$48),
AND(I413&gt;=$AC$47,I413&lt;=$AC$48),
AND(I413&gt;=$AD$47,I413&lt;=$AD$48),
AND(I413&gt;=$AE$47,I413&lt;=$AE$48),
AND(I413&gt;=$AF$47,I413&lt;=$AF$48),
AND(I413&gt;=$AG$47,I413&lt;=$AG$48)
),"ON","OFF"))</f>
        <v/>
      </c>
      <c r="O413" s="150"/>
      <c r="AJ413" s="338"/>
    </row>
    <row r="414" spans="2:36" s="113" customFormat="1" x14ac:dyDescent="0.4">
      <c r="B414" s="80"/>
      <c r="C414" s="563">
        <v>1</v>
      </c>
      <c r="D414" s="907"/>
      <c r="E414" s="906"/>
      <c r="F414" s="921" t="str">
        <f t="shared" ref="F414:F477" si="20">IF($D$30="","",IF(OR(
AND(C414&gt;=0,C414&lt;=$D$32),
AND(C414&gt;=$E$30,C414&lt;=$E$32),
AND(C414&gt;=$F$30,C414&lt;=$F$32),
AND(C414&gt;=$G$30,C414&lt;=$G$32),
AND(C414&gt;=$H$30,C414&lt;=$H$32),
AND(C414&gt;=$I$30,C414&lt;=$I$32),
AND(C414&gt;=$J$30,C414&lt;=$J$32),
AND(C414&gt;=$K$30,C414&lt;=$K$32),
AND(C414&gt;=$L$30,C414&lt;=$L$32),
AND(C414&gt;=$M$30,C414&lt;=$M$32,$M$32&lt;&gt;""),
AND(C414&gt;=$N$30,C414&lt;=$N$32,$N$32&lt;&gt;""),
AND(C414&gt;=$O$30,C414&lt;=$O$32,$O$32&lt;&gt;""),
AND(C414&gt;=$P$30,C414&lt;=$P$32,$P$32&lt;&gt;""),
AND(C414&gt;=$Q$30,C414&lt;=$Q$32,$Q$32&lt;&gt;"")
),"ON","OFF"))</f>
        <v/>
      </c>
      <c r="G414" s="882" t="str">
        <f>IF(OR($D$47="",$D$48=""),"",IF(OR(
AND(C414&gt;=$D$47,C414&lt;=$D$48),
AND(C414&gt;=$E$47,C414&lt;=$E$48),
AND(C414&gt;=$F$47,C414&lt;=$F$48),
AND(C414&gt;=$G$47,C414&lt;=$G$48),
AND(C414&gt;=$H$47,C414&lt;=$H$48),
AND(C414&gt;=$I$47,C414&lt;=$I$48),
AND(C414&gt;=$J$47,C414&lt;=$J$48),
AND(C414&gt;=$K$47,C414&lt;=$K$48),
AND(C414&gt;=$L$47,C414&lt;=$L$48),
AND(C414&gt;=$M$47,C414&lt;=$M$48),
AND(C414&gt;=$N$47,C414&lt;=$N$48),
AND(C414&gt;=$O$47,C414&lt;=$O$48),
AND(C414&gt;=$P$47,C414&lt;=$P$48),
AND(C414&gt;=$Q$47,C414&lt;=$Q$48),
AND(C414&gt;=$R$47,C414&lt;=$R$48),
AND(C414&gt;=$S$47,C414&lt;=$S$48),
AND(C414&gt;=$T$47,C414&lt;=$T$48),
AND(C414&gt;=$U$47,C414&lt;=$U$48),
AND(C414&gt;=$V$47,C414&lt;=$V$48),
AND(C414&gt;=$W$47,C414&lt;=$W$48),
AND(C414&gt;=$X$47,C414&lt;=$X$48),
AND(C414&gt;=$Y$47,C414&lt;=$Y$48),
AND(C414&gt;=$Z$47,C414&lt;=$Z$48),
AND(C414&gt;=$AA$47,C414&lt;=$AA$48),
AND(C414&gt;=$AB$47,C414&lt;=$AB$48),
AND(C414&gt;=$AC$47,C414&lt;=$AC$48),
AND(C414&gt;=$AD$47,C414&lt;=$AD$48),
AND(C414&gt;=$AE$47,C414&lt;=$AE$48),
AND(C414&gt;=$AF$47,C414&lt;=$AF$48),
AND(C414&gt;=$AG$47,C414&lt;=$AG$48)
),"ON","OFF"))</f>
        <v/>
      </c>
      <c r="H414" s="919"/>
      <c r="I414" s="922">
        <v>1442</v>
      </c>
      <c r="J414" s="907"/>
      <c r="K414" s="906"/>
      <c r="L414" s="921" t="str">
        <f t="shared" ref="L414:L477" si="21">IF($D$30="","",IF(OR(
AND(I414&gt;=0,I414&lt;=$D$32),
AND(I414&gt;=$E$30,I414&lt;=$E$32),
AND(I414&gt;=$F$30,I414&lt;=$F$32),
AND(I414&gt;=$G$30,I414&lt;=$G$32),
AND(I414&gt;=$H$30,I414&lt;=$H$32),
AND(I414&gt;=$I$30,I414&lt;=$I$32),
AND(I414&gt;=$J$30,I414&lt;=$J$32),
AND(I414&gt;=$K$30,I414&lt;=$K$32),
AND(I414&gt;=$L$30,I414&lt;=$L$32),
AND(I414&gt;=$M$30,I414&lt;=$M$32,$M$32&lt;&gt;""),
AND(I414&gt;=$N$30,I414&lt;=$N$32,$N$32&lt;&gt;""),
AND(I414&gt;=$O$30,I414&lt;=$O$32,$O$32&lt;&gt;""),
AND(I414&gt;=$P$30,I414&lt;=$P$32,$P$32&lt;&gt;""),
AND(I414&gt;=$Q$30,I414&lt;=$Q$32,$Q$32&lt;&gt;"")
),"ON","OFF"))</f>
        <v/>
      </c>
      <c r="M414" s="155" t="str">
        <f t="shared" ref="M414:M477" si="22">IF(OR($D$47="",$D$48=""),"",IF(OR(
AND(I414&gt;=$D$47,I414&lt;=$D$48),
AND(I414&gt;=$E$47,I414&lt;=$E$48),
AND(I414&gt;=$F$47,I414&lt;=$F$48),
AND(I414&gt;=$G$47,I414&lt;=$G$48),
AND(I414&gt;=$H$47,I414&lt;=$H$48),
AND(I414&gt;=$I$47,I414&lt;=$I$48),
AND(I414&gt;=$J$47,I414&lt;=$J$48),
AND(I414&gt;=$K$47,I414&lt;=$K$48),
AND(I414&gt;=$L$47,I414&lt;=$L$48),
AND(I414&gt;=$M$47,I414&lt;=$M$48),
AND(I414&gt;=$N$47,I414&lt;=$N$48),
AND(I414&gt;=$O$47,I414&lt;=$O$48),
AND(I414&gt;=$P$47,I414&lt;=$P$48),
AND(I414&gt;=$Q$47,I414&lt;=$Q$48),
AND(I414&gt;=$R$47,I414&lt;=$R$48),
AND(I414&gt;=$S$47,I414&lt;=$S$48),
AND(I414&gt;=$T$47,I414&lt;=$T$48),
AND(I414&gt;=$U$47,I414&lt;=$U$48),
AND(I414&gt;=$V$47,I414&lt;=$V$48),
AND(I414&gt;=$W$47,I414&lt;=$W$48),
AND(I414&gt;=$X$47,I414&lt;=$X$48),
AND(I414&gt;=$Y$47,I414&lt;=$Y$48),
AND(I414&gt;=$Z$47,I414&lt;=$Z$48),
AND(I414&gt;=$AA$47,I414&lt;=$AA$48),
AND(I414&gt;=$AB$47,I414&lt;=$AB$48),
AND(I414&gt;=$AC$47,I414&lt;=$AC$48),
AND(I414&gt;=$AD$47,I414&lt;=$AD$48),
AND(I414&gt;=$AE$47,I414&lt;=$AE$48),
AND(I414&gt;=$AF$47,I414&lt;=$AF$48),
AND(I414&gt;=$AG$47,I414&lt;=$AG$48)
),"ON","OFF"))</f>
        <v/>
      </c>
      <c r="AJ414" s="338"/>
    </row>
    <row r="415" spans="2:36" s="113" customFormat="1" x14ac:dyDescent="0.4">
      <c r="B415" s="80"/>
      <c r="C415" s="563">
        <v>2</v>
      </c>
      <c r="D415" s="907"/>
      <c r="E415" s="906"/>
      <c r="F415" s="921" t="str">
        <f t="shared" si="20"/>
        <v/>
      </c>
      <c r="G415" s="882" t="str">
        <f t="shared" ref="G415:G478" si="23">IF(OR($D$47="",$D$48=""),"",IF(OR(
AND(C415&gt;=$D$47,C415&lt;=$D$48),
AND(C415&gt;=$E$47,C415&lt;=$E$48),
AND(C415&gt;=$F$47,C415&lt;=$F$48),
AND(C415&gt;=$G$47,C415&lt;=$G$48),
AND(C415&gt;=$H$47,C415&lt;=$H$48),
AND(C415&gt;=$I$47,C415&lt;=$I$48),
AND(C415&gt;=$J$47,C415&lt;=$J$48),
AND(C415&gt;=$K$47,C415&lt;=$K$48),
AND(C415&gt;=$L$47,C415&lt;=$L$48),
AND(C415&gt;=$M$47,C415&lt;=$M$48),
AND(C415&gt;=$N$47,C415&lt;=$N$48),
AND(C415&gt;=$O$47,C415&lt;=$O$48),
AND(C415&gt;=$P$47,C415&lt;=$P$48),
AND(C415&gt;=$Q$47,C415&lt;=$Q$48),
AND(C415&gt;=$R$47,C415&lt;=$R$48),
AND(C415&gt;=$S$47,C415&lt;=$S$48),
AND(C415&gt;=$T$47,C415&lt;=$T$48),
AND(C415&gt;=$U$47,C415&lt;=$U$48),
AND(C415&gt;=$V$47,C415&lt;=$V$48),
AND(C415&gt;=$W$47,C415&lt;=$W$48),
AND(C415&gt;=$X$47,C415&lt;=$X$48),
AND(C415&gt;=$Y$47,C415&lt;=$Y$48),
AND(C415&gt;=$Z$47,C415&lt;=$Z$48),
AND(C415&gt;=$AA$47,C415&lt;=$AA$48),
AND(C415&gt;=$AB$47,C415&lt;=$AB$48),
AND(C415&gt;=$AC$47,C415&lt;=$AC$48),
AND(C415&gt;=$AD$47,C415&lt;=$AD$48),
AND(C415&gt;=$AE$47,C415&lt;=$AE$48),
AND(C415&gt;=$AF$47,C415&lt;=$AF$48),
AND(C415&gt;=$AG$47,C415&lt;=$AG$48)
),"ON","OFF"))</f>
        <v/>
      </c>
      <c r="H415" s="919"/>
      <c r="I415" s="922">
        <v>1443</v>
      </c>
      <c r="J415" s="907"/>
      <c r="K415" s="906"/>
      <c r="L415" s="921" t="str">
        <f t="shared" si="21"/>
        <v/>
      </c>
      <c r="M415" s="155" t="str">
        <f t="shared" si="22"/>
        <v/>
      </c>
      <c r="AJ415" s="338"/>
    </row>
    <row r="416" spans="2:36" s="113" customFormat="1" x14ac:dyDescent="0.4">
      <c r="B416" s="80"/>
      <c r="C416" s="563">
        <v>3</v>
      </c>
      <c r="D416" s="907"/>
      <c r="E416" s="906"/>
      <c r="F416" s="921" t="str">
        <f t="shared" si="20"/>
        <v/>
      </c>
      <c r="G416" s="882" t="str">
        <f t="shared" si="23"/>
        <v/>
      </c>
      <c r="H416" s="919"/>
      <c r="I416" s="922">
        <v>1444</v>
      </c>
      <c r="J416" s="907"/>
      <c r="K416" s="906"/>
      <c r="L416" s="921" t="str">
        <f t="shared" si="21"/>
        <v/>
      </c>
      <c r="M416" s="155" t="str">
        <f t="shared" si="22"/>
        <v/>
      </c>
      <c r="AJ416" s="338"/>
    </row>
    <row r="417" spans="2:36" s="113" customFormat="1" x14ac:dyDescent="0.4">
      <c r="B417" s="80"/>
      <c r="C417" s="563">
        <v>4</v>
      </c>
      <c r="D417" s="907"/>
      <c r="E417" s="906"/>
      <c r="F417" s="921" t="str">
        <f t="shared" si="20"/>
        <v/>
      </c>
      <c r="G417" s="882" t="str">
        <f t="shared" si="23"/>
        <v/>
      </c>
      <c r="H417" s="919"/>
      <c r="I417" s="922">
        <v>1445</v>
      </c>
      <c r="J417" s="907"/>
      <c r="K417" s="906"/>
      <c r="L417" s="921" t="str">
        <f t="shared" si="21"/>
        <v/>
      </c>
      <c r="M417" s="155" t="str">
        <f t="shared" si="22"/>
        <v/>
      </c>
      <c r="AJ417" s="338"/>
    </row>
    <row r="418" spans="2:36" s="113" customFormat="1" x14ac:dyDescent="0.4">
      <c r="B418" s="80"/>
      <c r="C418" s="563">
        <v>5</v>
      </c>
      <c r="D418" s="907"/>
      <c r="E418" s="906"/>
      <c r="F418" s="921" t="str">
        <f t="shared" si="20"/>
        <v/>
      </c>
      <c r="G418" s="882" t="str">
        <f t="shared" si="23"/>
        <v/>
      </c>
      <c r="H418" s="919"/>
      <c r="I418" s="922">
        <v>1446</v>
      </c>
      <c r="J418" s="907"/>
      <c r="K418" s="906"/>
      <c r="L418" s="921" t="str">
        <f t="shared" si="21"/>
        <v/>
      </c>
      <c r="M418" s="155" t="str">
        <f t="shared" si="22"/>
        <v/>
      </c>
      <c r="AJ418" s="338"/>
    </row>
    <row r="419" spans="2:36" s="113" customFormat="1" x14ac:dyDescent="0.4">
      <c r="B419" s="80"/>
      <c r="C419" s="563">
        <v>6</v>
      </c>
      <c r="D419" s="907"/>
      <c r="E419" s="906"/>
      <c r="F419" s="921" t="str">
        <f t="shared" si="20"/>
        <v/>
      </c>
      <c r="G419" s="882" t="str">
        <f t="shared" si="23"/>
        <v/>
      </c>
      <c r="H419" s="919"/>
      <c r="I419" s="922">
        <v>1447</v>
      </c>
      <c r="J419" s="907"/>
      <c r="K419" s="906"/>
      <c r="L419" s="921" t="str">
        <f t="shared" si="21"/>
        <v/>
      </c>
      <c r="M419" s="155" t="str">
        <f t="shared" si="22"/>
        <v/>
      </c>
      <c r="AJ419" s="338"/>
    </row>
    <row r="420" spans="2:36" s="113" customFormat="1" x14ac:dyDescent="0.4">
      <c r="B420" s="80"/>
      <c r="C420" s="563">
        <v>7</v>
      </c>
      <c r="D420" s="907"/>
      <c r="E420" s="906"/>
      <c r="F420" s="921" t="str">
        <f t="shared" si="20"/>
        <v/>
      </c>
      <c r="G420" s="882" t="str">
        <f t="shared" si="23"/>
        <v/>
      </c>
      <c r="H420" s="919"/>
      <c r="I420" s="922">
        <v>1448</v>
      </c>
      <c r="J420" s="907"/>
      <c r="K420" s="906"/>
      <c r="L420" s="921" t="str">
        <f t="shared" si="21"/>
        <v/>
      </c>
      <c r="M420" s="155" t="str">
        <f t="shared" si="22"/>
        <v/>
      </c>
      <c r="AJ420" s="338"/>
    </row>
    <row r="421" spans="2:36" s="113" customFormat="1" x14ac:dyDescent="0.4">
      <c r="B421" s="80"/>
      <c r="C421" s="563">
        <v>8</v>
      </c>
      <c r="D421" s="907"/>
      <c r="E421" s="906"/>
      <c r="F421" s="921" t="str">
        <f t="shared" si="20"/>
        <v/>
      </c>
      <c r="G421" s="882" t="str">
        <f t="shared" si="23"/>
        <v/>
      </c>
      <c r="H421" s="919"/>
      <c r="I421" s="922">
        <v>1449</v>
      </c>
      <c r="J421" s="907"/>
      <c r="K421" s="906"/>
      <c r="L421" s="921" t="str">
        <f t="shared" si="21"/>
        <v/>
      </c>
      <c r="M421" s="155" t="str">
        <f t="shared" si="22"/>
        <v/>
      </c>
      <c r="AJ421" s="338"/>
    </row>
    <row r="422" spans="2:36" s="113" customFormat="1" x14ac:dyDescent="0.4">
      <c r="B422" s="80"/>
      <c r="C422" s="563">
        <v>9</v>
      </c>
      <c r="D422" s="907"/>
      <c r="E422" s="906"/>
      <c r="F422" s="921" t="str">
        <f t="shared" si="20"/>
        <v/>
      </c>
      <c r="G422" s="882" t="str">
        <f t="shared" si="23"/>
        <v/>
      </c>
      <c r="H422" s="919"/>
      <c r="I422" s="922">
        <v>1450</v>
      </c>
      <c r="J422" s="907"/>
      <c r="K422" s="906"/>
      <c r="L422" s="921" t="str">
        <f t="shared" si="21"/>
        <v/>
      </c>
      <c r="M422" s="155" t="str">
        <f t="shared" si="22"/>
        <v/>
      </c>
      <c r="AJ422" s="338"/>
    </row>
    <row r="423" spans="2:36" s="113" customFormat="1" x14ac:dyDescent="0.4">
      <c r="B423" s="80"/>
      <c r="C423" s="563">
        <v>10</v>
      </c>
      <c r="D423" s="907"/>
      <c r="E423" s="906"/>
      <c r="F423" s="921" t="str">
        <f t="shared" si="20"/>
        <v/>
      </c>
      <c r="G423" s="882" t="str">
        <f t="shared" si="23"/>
        <v/>
      </c>
      <c r="H423" s="919"/>
      <c r="I423" s="922">
        <v>1451</v>
      </c>
      <c r="J423" s="907"/>
      <c r="K423" s="906"/>
      <c r="L423" s="921" t="str">
        <f t="shared" si="21"/>
        <v/>
      </c>
      <c r="M423" s="155" t="str">
        <f t="shared" si="22"/>
        <v/>
      </c>
      <c r="AJ423" s="338"/>
    </row>
    <row r="424" spans="2:36" s="113" customFormat="1" x14ac:dyDescent="0.4">
      <c r="B424" s="80"/>
      <c r="C424" s="563">
        <v>11</v>
      </c>
      <c r="D424" s="907"/>
      <c r="E424" s="906"/>
      <c r="F424" s="921" t="str">
        <f t="shared" si="20"/>
        <v/>
      </c>
      <c r="G424" s="882" t="str">
        <f t="shared" si="23"/>
        <v/>
      </c>
      <c r="H424" s="919"/>
      <c r="I424" s="922">
        <v>1452</v>
      </c>
      <c r="J424" s="907"/>
      <c r="K424" s="906"/>
      <c r="L424" s="921" t="str">
        <f t="shared" si="21"/>
        <v/>
      </c>
      <c r="M424" s="155" t="str">
        <f t="shared" si="22"/>
        <v/>
      </c>
      <c r="O424" s="150"/>
      <c r="AJ424" s="338"/>
    </row>
    <row r="425" spans="2:36" s="113" customFormat="1" x14ac:dyDescent="0.4">
      <c r="B425" s="80"/>
      <c r="C425" s="563">
        <v>12</v>
      </c>
      <c r="D425" s="907"/>
      <c r="E425" s="906"/>
      <c r="F425" s="921" t="str">
        <f t="shared" si="20"/>
        <v/>
      </c>
      <c r="G425" s="882" t="str">
        <f t="shared" si="23"/>
        <v/>
      </c>
      <c r="H425" s="919"/>
      <c r="I425" s="922">
        <v>1453</v>
      </c>
      <c r="J425" s="907"/>
      <c r="K425" s="906"/>
      <c r="L425" s="921" t="str">
        <f t="shared" si="21"/>
        <v/>
      </c>
      <c r="M425" s="155" t="str">
        <f t="shared" si="22"/>
        <v/>
      </c>
      <c r="AJ425" s="338"/>
    </row>
    <row r="426" spans="2:36" s="113" customFormat="1" x14ac:dyDescent="0.4">
      <c r="B426" s="80"/>
      <c r="C426" s="563">
        <v>13</v>
      </c>
      <c r="D426" s="907"/>
      <c r="E426" s="906"/>
      <c r="F426" s="921" t="str">
        <f t="shared" si="20"/>
        <v/>
      </c>
      <c r="G426" s="882" t="str">
        <f t="shared" si="23"/>
        <v/>
      </c>
      <c r="H426" s="919"/>
      <c r="I426" s="922">
        <v>1454</v>
      </c>
      <c r="J426" s="907"/>
      <c r="K426" s="906"/>
      <c r="L426" s="921" t="str">
        <f t="shared" si="21"/>
        <v/>
      </c>
      <c r="M426" s="155" t="str">
        <f t="shared" si="22"/>
        <v/>
      </c>
      <c r="AJ426" s="338"/>
    </row>
    <row r="427" spans="2:36" s="113" customFormat="1" x14ac:dyDescent="0.4">
      <c r="B427" s="80"/>
      <c r="C427" s="563">
        <v>14</v>
      </c>
      <c r="D427" s="907"/>
      <c r="E427" s="906"/>
      <c r="F427" s="921" t="str">
        <f t="shared" si="20"/>
        <v/>
      </c>
      <c r="G427" s="882" t="str">
        <f t="shared" si="23"/>
        <v/>
      </c>
      <c r="H427" s="919"/>
      <c r="I427" s="922">
        <v>1455</v>
      </c>
      <c r="J427" s="907"/>
      <c r="K427" s="906"/>
      <c r="L427" s="921" t="str">
        <f t="shared" si="21"/>
        <v/>
      </c>
      <c r="M427" s="155" t="str">
        <f t="shared" si="22"/>
        <v/>
      </c>
      <c r="AJ427" s="338"/>
    </row>
    <row r="428" spans="2:36" s="113" customFormat="1" x14ac:dyDescent="0.4">
      <c r="B428" s="80"/>
      <c r="C428" s="563">
        <v>15</v>
      </c>
      <c r="D428" s="907"/>
      <c r="E428" s="906"/>
      <c r="F428" s="921" t="str">
        <f t="shared" si="20"/>
        <v/>
      </c>
      <c r="G428" s="882" t="str">
        <f t="shared" si="23"/>
        <v/>
      </c>
      <c r="H428" s="919"/>
      <c r="I428" s="922">
        <v>1456</v>
      </c>
      <c r="J428" s="907"/>
      <c r="K428" s="906"/>
      <c r="L428" s="921" t="str">
        <f t="shared" si="21"/>
        <v/>
      </c>
      <c r="M428" s="155" t="str">
        <f t="shared" si="22"/>
        <v/>
      </c>
      <c r="AJ428" s="338"/>
    </row>
    <row r="429" spans="2:36" s="113" customFormat="1" x14ac:dyDescent="0.4">
      <c r="B429" s="80"/>
      <c r="C429" s="563">
        <v>16</v>
      </c>
      <c r="D429" s="907"/>
      <c r="E429" s="906"/>
      <c r="F429" s="921" t="str">
        <f t="shared" si="20"/>
        <v/>
      </c>
      <c r="G429" s="882" t="str">
        <f t="shared" si="23"/>
        <v/>
      </c>
      <c r="H429" s="919"/>
      <c r="I429" s="922">
        <v>1457</v>
      </c>
      <c r="J429" s="907"/>
      <c r="K429" s="906"/>
      <c r="L429" s="921" t="str">
        <f t="shared" si="21"/>
        <v/>
      </c>
      <c r="M429" s="155" t="str">
        <f t="shared" si="22"/>
        <v/>
      </c>
      <c r="AJ429" s="338"/>
    </row>
    <row r="430" spans="2:36" s="113" customFormat="1" x14ac:dyDescent="0.4">
      <c r="B430" s="80"/>
      <c r="C430" s="563">
        <v>17</v>
      </c>
      <c r="D430" s="907"/>
      <c r="E430" s="906"/>
      <c r="F430" s="921" t="str">
        <f t="shared" si="20"/>
        <v/>
      </c>
      <c r="G430" s="882" t="str">
        <f t="shared" si="23"/>
        <v/>
      </c>
      <c r="H430" s="919"/>
      <c r="I430" s="922">
        <v>1458</v>
      </c>
      <c r="J430" s="907"/>
      <c r="K430" s="906"/>
      <c r="L430" s="921" t="str">
        <f t="shared" si="21"/>
        <v/>
      </c>
      <c r="M430" s="155" t="str">
        <f t="shared" si="22"/>
        <v/>
      </c>
      <c r="AJ430" s="338"/>
    </row>
    <row r="431" spans="2:36" s="113" customFormat="1" x14ac:dyDescent="0.4">
      <c r="B431" s="80"/>
      <c r="C431" s="563">
        <v>18</v>
      </c>
      <c r="D431" s="907"/>
      <c r="E431" s="906"/>
      <c r="F431" s="921" t="str">
        <f t="shared" si="20"/>
        <v/>
      </c>
      <c r="G431" s="882" t="str">
        <f t="shared" si="23"/>
        <v/>
      </c>
      <c r="H431" s="919"/>
      <c r="I431" s="922">
        <v>1459</v>
      </c>
      <c r="J431" s="907"/>
      <c r="K431" s="906"/>
      <c r="L431" s="921" t="str">
        <f t="shared" si="21"/>
        <v/>
      </c>
      <c r="M431" s="155" t="str">
        <f t="shared" si="22"/>
        <v/>
      </c>
      <c r="AJ431" s="338"/>
    </row>
    <row r="432" spans="2:36" s="113" customFormat="1" x14ac:dyDescent="0.4">
      <c r="B432" s="80"/>
      <c r="C432" s="563">
        <v>19</v>
      </c>
      <c r="D432" s="907"/>
      <c r="E432" s="906"/>
      <c r="F432" s="921" t="str">
        <f t="shared" si="20"/>
        <v/>
      </c>
      <c r="G432" s="882" t="str">
        <f t="shared" si="23"/>
        <v/>
      </c>
      <c r="H432" s="919"/>
      <c r="I432" s="922">
        <v>1460</v>
      </c>
      <c r="J432" s="907"/>
      <c r="K432" s="906"/>
      <c r="L432" s="921" t="str">
        <f t="shared" si="21"/>
        <v/>
      </c>
      <c r="M432" s="155" t="str">
        <f t="shared" si="22"/>
        <v/>
      </c>
      <c r="AA432" s="150"/>
      <c r="AB432" s="150"/>
      <c r="AC432" s="150"/>
      <c r="AD432" s="150"/>
      <c r="AE432" s="150"/>
      <c r="AF432" s="150"/>
      <c r="AJ432" s="338"/>
    </row>
    <row r="433" spans="2:36" s="113" customFormat="1" x14ac:dyDescent="0.4">
      <c r="B433" s="80"/>
      <c r="C433" s="563">
        <v>20</v>
      </c>
      <c r="D433" s="907"/>
      <c r="E433" s="906"/>
      <c r="F433" s="921" t="str">
        <f t="shared" si="20"/>
        <v/>
      </c>
      <c r="G433" s="882" t="str">
        <f t="shared" si="23"/>
        <v/>
      </c>
      <c r="H433" s="919"/>
      <c r="I433" s="922">
        <v>1461</v>
      </c>
      <c r="J433" s="907"/>
      <c r="K433" s="906"/>
      <c r="L433" s="921" t="str">
        <f t="shared" si="21"/>
        <v/>
      </c>
      <c r="M433" s="155" t="str">
        <f t="shared" si="22"/>
        <v/>
      </c>
      <c r="AA433" s="150"/>
      <c r="AB433" s="150"/>
      <c r="AC433" s="150"/>
      <c r="AD433" s="150"/>
      <c r="AE433" s="150"/>
      <c r="AF433" s="150"/>
      <c r="AJ433" s="338"/>
    </row>
    <row r="434" spans="2:36" s="113" customFormat="1" x14ac:dyDescent="0.4">
      <c r="B434" s="80"/>
      <c r="C434" s="563">
        <v>21</v>
      </c>
      <c r="D434" s="907"/>
      <c r="E434" s="906"/>
      <c r="F434" s="921" t="str">
        <f t="shared" si="20"/>
        <v/>
      </c>
      <c r="G434" s="882" t="str">
        <f t="shared" si="23"/>
        <v/>
      </c>
      <c r="H434" s="919"/>
      <c r="I434" s="922">
        <v>1462</v>
      </c>
      <c r="J434" s="907"/>
      <c r="K434" s="906"/>
      <c r="L434" s="921" t="str">
        <f t="shared" si="21"/>
        <v/>
      </c>
      <c r="M434" s="155" t="str">
        <f t="shared" si="22"/>
        <v/>
      </c>
      <c r="AA434" s="150"/>
      <c r="AB434" s="150"/>
      <c r="AC434" s="150"/>
      <c r="AD434" s="150"/>
      <c r="AE434" s="150"/>
      <c r="AF434" s="150"/>
      <c r="AJ434" s="338"/>
    </row>
    <row r="435" spans="2:36" s="113" customFormat="1" x14ac:dyDescent="0.4">
      <c r="B435" s="80"/>
      <c r="C435" s="563">
        <v>22</v>
      </c>
      <c r="D435" s="907"/>
      <c r="E435" s="906"/>
      <c r="F435" s="921" t="str">
        <f t="shared" si="20"/>
        <v/>
      </c>
      <c r="G435" s="882" t="str">
        <f t="shared" si="23"/>
        <v/>
      </c>
      <c r="H435" s="919"/>
      <c r="I435" s="922">
        <v>1463</v>
      </c>
      <c r="J435" s="907"/>
      <c r="K435" s="906"/>
      <c r="L435" s="921" t="str">
        <f t="shared" si="21"/>
        <v/>
      </c>
      <c r="M435" s="155" t="str">
        <f t="shared" si="22"/>
        <v/>
      </c>
      <c r="AA435" s="150"/>
      <c r="AB435" s="150"/>
      <c r="AC435" s="150"/>
      <c r="AD435" s="150"/>
      <c r="AE435" s="150"/>
      <c r="AF435" s="150"/>
      <c r="AJ435" s="338"/>
    </row>
    <row r="436" spans="2:36" s="113" customFormat="1" x14ac:dyDescent="0.4">
      <c r="B436" s="80"/>
      <c r="C436" s="563">
        <v>23</v>
      </c>
      <c r="D436" s="907"/>
      <c r="E436" s="906"/>
      <c r="F436" s="921" t="str">
        <f t="shared" si="20"/>
        <v/>
      </c>
      <c r="G436" s="882" t="str">
        <f t="shared" si="23"/>
        <v/>
      </c>
      <c r="H436" s="919"/>
      <c r="I436" s="922">
        <v>1464</v>
      </c>
      <c r="J436" s="907"/>
      <c r="K436" s="906"/>
      <c r="L436" s="921" t="str">
        <f t="shared" si="21"/>
        <v/>
      </c>
      <c r="M436" s="155" t="str">
        <f t="shared" si="22"/>
        <v/>
      </c>
      <c r="AA436" s="150"/>
      <c r="AB436" s="150"/>
      <c r="AC436" s="150"/>
      <c r="AD436" s="150"/>
      <c r="AE436" s="150"/>
      <c r="AF436" s="150"/>
      <c r="AJ436" s="338"/>
    </row>
    <row r="437" spans="2:36" s="113" customFormat="1" x14ac:dyDescent="0.4">
      <c r="B437" s="80"/>
      <c r="C437" s="563">
        <v>24</v>
      </c>
      <c r="D437" s="907"/>
      <c r="E437" s="906"/>
      <c r="F437" s="921" t="str">
        <f t="shared" si="20"/>
        <v/>
      </c>
      <c r="G437" s="882" t="str">
        <f t="shared" si="23"/>
        <v/>
      </c>
      <c r="H437" s="919"/>
      <c r="I437" s="922">
        <v>1465</v>
      </c>
      <c r="J437" s="907"/>
      <c r="K437" s="906"/>
      <c r="L437" s="921" t="str">
        <f t="shared" si="21"/>
        <v/>
      </c>
      <c r="M437" s="155" t="str">
        <f t="shared" si="22"/>
        <v/>
      </c>
      <c r="AA437" s="150"/>
      <c r="AB437" s="150"/>
      <c r="AC437" s="150"/>
      <c r="AD437" s="150"/>
      <c r="AE437" s="150"/>
      <c r="AF437" s="150"/>
      <c r="AJ437" s="338"/>
    </row>
    <row r="438" spans="2:36" s="113" customFormat="1" x14ac:dyDescent="0.4">
      <c r="B438" s="80"/>
      <c r="C438" s="563">
        <v>25</v>
      </c>
      <c r="D438" s="907"/>
      <c r="E438" s="906"/>
      <c r="F438" s="921" t="str">
        <f t="shared" si="20"/>
        <v/>
      </c>
      <c r="G438" s="882" t="str">
        <f t="shared" si="23"/>
        <v/>
      </c>
      <c r="H438" s="919"/>
      <c r="I438" s="922">
        <v>1466</v>
      </c>
      <c r="J438" s="907"/>
      <c r="K438" s="906"/>
      <c r="L438" s="921" t="str">
        <f t="shared" si="21"/>
        <v/>
      </c>
      <c r="M438" s="155" t="str">
        <f t="shared" si="22"/>
        <v/>
      </c>
      <c r="AA438" s="150"/>
      <c r="AB438" s="150"/>
      <c r="AC438" s="150"/>
      <c r="AD438" s="150"/>
      <c r="AE438" s="150"/>
      <c r="AF438" s="150"/>
      <c r="AJ438" s="338"/>
    </row>
    <row r="439" spans="2:36" s="113" customFormat="1" x14ac:dyDescent="0.4">
      <c r="B439" s="80"/>
      <c r="C439" s="563">
        <v>26</v>
      </c>
      <c r="D439" s="907"/>
      <c r="E439" s="906"/>
      <c r="F439" s="921" t="str">
        <f t="shared" si="20"/>
        <v/>
      </c>
      <c r="G439" s="882" t="str">
        <f t="shared" si="23"/>
        <v/>
      </c>
      <c r="H439" s="919"/>
      <c r="I439" s="922">
        <v>1467</v>
      </c>
      <c r="J439" s="907"/>
      <c r="K439" s="906"/>
      <c r="L439" s="921" t="str">
        <f t="shared" si="21"/>
        <v/>
      </c>
      <c r="M439" s="155" t="str">
        <f t="shared" si="22"/>
        <v/>
      </c>
      <c r="AA439" s="150"/>
      <c r="AB439" s="150"/>
      <c r="AC439" s="150"/>
      <c r="AD439" s="150"/>
      <c r="AE439" s="150"/>
      <c r="AF439" s="150"/>
      <c r="AJ439" s="338"/>
    </row>
    <row r="440" spans="2:36" s="113" customFormat="1" x14ac:dyDescent="0.4">
      <c r="B440" s="80"/>
      <c r="C440" s="563">
        <v>27</v>
      </c>
      <c r="D440" s="907"/>
      <c r="E440" s="906"/>
      <c r="F440" s="921" t="str">
        <f t="shared" si="20"/>
        <v/>
      </c>
      <c r="G440" s="882" t="str">
        <f t="shared" si="23"/>
        <v/>
      </c>
      <c r="H440" s="919"/>
      <c r="I440" s="922">
        <v>1468</v>
      </c>
      <c r="J440" s="907"/>
      <c r="K440" s="906"/>
      <c r="L440" s="921" t="str">
        <f t="shared" si="21"/>
        <v/>
      </c>
      <c r="M440" s="155" t="str">
        <f t="shared" si="22"/>
        <v/>
      </c>
      <c r="AA440" s="150"/>
      <c r="AB440" s="150"/>
      <c r="AC440" s="150"/>
      <c r="AD440" s="150"/>
      <c r="AE440" s="150"/>
      <c r="AF440" s="150"/>
      <c r="AJ440" s="338"/>
    </row>
    <row r="441" spans="2:36" s="113" customFormat="1" x14ac:dyDescent="0.4">
      <c r="B441" s="80"/>
      <c r="C441" s="563">
        <v>28</v>
      </c>
      <c r="D441" s="907"/>
      <c r="E441" s="906"/>
      <c r="F441" s="921" t="str">
        <f t="shared" si="20"/>
        <v/>
      </c>
      <c r="G441" s="882" t="str">
        <f t="shared" si="23"/>
        <v/>
      </c>
      <c r="H441" s="919"/>
      <c r="I441" s="922">
        <v>1469</v>
      </c>
      <c r="J441" s="907"/>
      <c r="K441" s="906"/>
      <c r="L441" s="921" t="str">
        <f t="shared" si="21"/>
        <v/>
      </c>
      <c r="M441" s="155" t="str">
        <f t="shared" si="22"/>
        <v/>
      </c>
      <c r="AA441" s="150"/>
      <c r="AB441" s="150"/>
      <c r="AC441" s="150"/>
      <c r="AD441" s="150"/>
      <c r="AE441" s="150"/>
      <c r="AF441" s="150"/>
      <c r="AJ441" s="338"/>
    </row>
    <row r="442" spans="2:36" s="113" customFormat="1" x14ac:dyDescent="0.4">
      <c r="B442" s="80"/>
      <c r="C442" s="563">
        <v>29</v>
      </c>
      <c r="D442" s="907"/>
      <c r="E442" s="906"/>
      <c r="F442" s="921" t="str">
        <f t="shared" si="20"/>
        <v/>
      </c>
      <c r="G442" s="882" t="str">
        <f t="shared" si="23"/>
        <v/>
      </c>
      <c r="H442" s="919"/>
      <c r="I442" s="922">
        <v>1470</v>
      </c>
      <c r="J442" s="907"/>
      <c r="K442" s="906"/>
      <c r="L442" s="921" t="str">
        <f t="shared" si="21"/>
        <v/>
      </c>
      <c r="M442" s="155" t="str">
        <f t="shared" si="22"/>
        <v/>
      </c>
      <c r="AA442" s="150"/>
      <c r="AB442" s="150"/>
      <c r="AC442" s="150"/>
      <c r="AD442" s="150"/>
      <c r="AE442" s="150"/>
      <c r="AF442" s="150"/>
      <c r="AJ442" s="338"/>
    </row>
    <row r="443" spans="2:36" s="113" customFormat="1" x14ac:dyDescent="0.4">
      <c r="B443" s="80"/>
      <c r="C443" s="563">
        <v>30</v>
      </c>
      <c r="D443" s="907"/>
      <c r="E443" s="906"/>
      <c r="F443" s="921" t="str">
        <f t="shared" si="20"/>
        <v/>
      </c>
      <c r="G443" s="882" t="str">
        <f t="shared" si="23"/>
        <v/>
      </c>
      <c r="H443" s="919"/>
      <c r="I443" s="922">
        <v>1471</v>
      </c>
      <c r="J443" s="907"/>
      <c r="K443" s="906"/>
      <c r="L443" s="921" t="str">
        <f t="shared" si="21"/>
        <v/>
      </c>
      <c r="M443" s="155" t="str">
        <f t="shared" si="22"/>
        <v/>
      </c>
      <c r="AA443" s="150"/>
      <c r="AB443" s="150"/>
      <c r="AC443" s="150"/>
      <c r="AD443" s="150"/>
      <c r="AE443" s="150"/>
      <c r="AF443" s="150"/>
      <c r="AJ443" s="338"/>
    </row>
    <row r="444" spans="2:36" s="113" customFormat="1" x14ac:dyDescent="0.4">
      <c r="B444" s="80"/>
      <c r="C444" s="563">
        <v>31</v>
      </c>
      <c r="D444" s="907"/>
      <c r="E444" s="906"/>
      <c r="F444" s="921" t="str">
        <f t="shared" si="20"/>
        <v/>
      </c>
      <c r="G444" s="882" t="str">
        <f t="shared" si="23"/>
        <v/>
      </c>
      <c r="H444" s="919"/>
      <c r="I444" s="922">
        <v>1472</v>
      </c>
      <c r="J444" s="907"/>
      <c r="K444" s="906"/>
      <c r="L444" s="921" t="str">
        <f t="shared" si="21"/>
        <v/>
      </c>
      <c r="M444" s="155" t="str">
        <f t="shared" si="22"/>
        <v/>
      </c>
      <c r="AA444" s="150"/>
      <c r="AB444" s="150"/>
      <c r="AC444" s="150"/>
      <c r="AD444" s="150"/>
      <c r="AE444" s="150"/>
      <c r="AF444" s="150"/>
      <c r="AJ444" s="338"/>
    </row>
    <row r="445" spans="2:36" s="113" customFormat="1" x14ac:dyDescent="0.4">
      <c r="B445" s="80"/>
      <c r="C445" s="563">
        <v>32</v>
      </c>
      <c r="D445" s="907"/>
      <c r="E445" s="906"/>
      <c r="F445" s="921" t="str">
        <f t="shared" si="20"/>
        <v/>
      </c>
      <c r="G445" s="882" t="str">
        <f t="shared" si="23"/>
        <v/>
      </c>
      <c r="H445" s="919"/>
      <c r="I445" s="922">
        <v>1473</v>
      </c>
      <c r="J445" s="907"/>
      <c r="K445" s="906"/>
      <c r="L445" s="921" t="str">
        <f t="shared" si="21"/>
        <v/>
      </c>
      <c r="M445" s="155" t="str">
        <f t="shared" si="22"/>
        <v/>
      </c>
      <c r="AA445" s="150"/>
      <c r="AB445" s="150"/>
      <c r="AC445" s="150"/>
      <c r="AD445" s="150"/>
      <c r="AE445" s="150"/>
      <c r="AF445" s="150"/>
      <c r="AJ445" s="338"/>
    </row>
    <row r="446" spans="2:36" s="113" customFormat="1" x14ac:dyDescent="0.4">
      <c r="B446" s="80"/>
      <c r="C446" s="563">
        <v>33</v>
      </c>
      <c r="D446" s="907"/>
      <c r="E446" s="906"/>
      <c r="F446" s="921" t="str">
        <f t="shared" si="20"/>
        <v/>
      </c>
      <c r="G446" s="882" t="str">
        <f t="shared" si="23"/>
        <v/>
      </c>
      <c r="H446" s="919"/>
      <c r="I446" s="922">
        <v>1474</v>
      </c>
      <c r="J446" s="907"/>
      <c r="K446" s="906"/>
      <c r="L446" s="921" t="str">
        <f t="shared" si="21"/>
        <v/>
      </c>
      <c r="M446" s="155" t="str">
        <f t="shared" si="22"/>
        <v/>
      </c>
      <c r="AA446" s="150"/>
      <c r="AB446" s="150"/>
      <c r="AC446" s="150"/>
      <c r="AD446" s="150"/>
      <c r="AE446" s="150"/>
      <c r="AF446" s="150"/>
      <c r="AJ446" s="338"/>
    </row>
    <row r="447" spans="2:36" s="113" customFormat="1" x14ac:dyDescent="0.4">
      <c r="B447" s="80"/>
      <c r="C447" s="563">
        <v>34</v>
      </c>
      <c r="D447" s="907"/>
      <c r="E447" s="906"/>
      <c r="F447" s="921" t="str">
        <f t="shared" si="20"/>
        <v/>
      </c>
      <c r="G447" s="882" t="str">
        <f t="shared" si="23"/>
        <v/>
      </c>
      <c r="H447" s="919"/>
      <c r="I447" s="922">
        <v>1475</v>
      </c>
      <c r="J447" s="907"/>
      <c r="K447" s="906"/>
      <c r="L447" s="921" t="str">
        <f t="shared" si="21"/>
        <v/>
      </c>
      <c r="M447" s="155" t="str">
        <f t="shared" si="22"/>
        <v/>
      </c>
      <c r="AA447" s="150"/>
      <c r="AB447" s="150"/>
      <c r="AC447" s="150"/>
      <c r="AD447" s="150"/>
      <c r="AE447" s="150"/>
      <c r="AF447" s="150"/>
      <c r="AJ447" s="338"/>
    </row>
    <row r="448" spans="2:36" s="113" customFormat="1" x14ac:dyDescent="0.4">
      <c r="B448" s="80"/>
      <c r="C448" s="563">
        <v>35</v>
      </c>
      <c r="D448" s="907"/>
      <c r="E448" s="906"/>
      <c r="F448" s="921" t="str">
        <f t="shared" si="20"/>
        <v/>
      </c>
      <c r="G448" s="882" t="str">
        <f t="shared" si="23"/>
        <v/>
      </c>
      <c r="H448" s="919"/>
      <c r="I448" s="922">
        <v>1476</v>
      </c>
      <c r="J448" s="907"/>
      <c r="K448" s="906"/>
      <c r="L448" s="921" t="str">
        <f t="shared" si="21"/>
        <v/>
      </c>
      <c r="M448" s="155" t="str">
        <f t="shared" si="22"/>
        <v/>
      </c>
      <c r="AA448" s="150"/>
      <c r="AB448" s="150"/>
      <c r="AC448" s="150"/>
      <c r="AD448" s="150"/>
      <c r="AE448" s="150"/>
      <c r="AF448" s="150"/>
      <c r="AJ448" s="338"/>
    </row>
    <row r="449" spans="2:36" s="113" customFormat="1" x14ac:dyDescent="0.4">
      <c r="B449" s="80"/>
      <c r="C449" s="563">
        <v>36</v>
      </c>
      <c r="D449" s="907"/>
      <c r="E449" s="906"/>
      <c r="F449" s="921" t="str">
        <f t="shared" si="20"/>
        <v/>
      </c>
      <c r="G449" s="882" t="str">
        <f t="shared" si="23"/>
        <v/>
      </c>
      <c r="H449" s="919"/>
      <c r="I449" s="922">
        <v>1477</v>
      </c>
      <c r="J449" s="907"/>
      <c r="K449" s="906"/>
      <c r="L449" s="921" t="str">
        <f t="shared" si="21"/>
        <v/>
      </c>
      <c r="M449" s="155" t="str">
        <f t="shared" si="22"/>
        <v/>
      </c>
      <c r="AA449" s="150"/>
      <c r="AB449" s="150"/>
      <c r="AC449" s="150"/>
      <c r="AD449" s="150"/>
      <c r="AE449" s="150"/>
      <c r="AF449" s="150"/>
      <c r="AJ449" s="338"/>
    </row>
    <row r="450" spans="2:36" s="113" customFormat="1" x14ac:dyDescent="0.4">
      <c r="B450" s="80"/>
      <c r="C450" s="563">
        <v>37</v>
      </c>
      <c r="D450" s="907"/>
      <c r="E450" s="906"/>
      <c r="F450" s="921" t="str">
        <f t="shared" si="20"/>
        <v/>
      </c>
      <c r="G450" s="882" t="str">
        <f t="shared" si="23"/>
        <v/>
      </c>
      <c r="H450" s="919"/>
      <c r="I450" s="922">
        <v>1478</v>
      </c>
      <c r="J450" s="907"/>
      <c r="K450" s="906"/>
      <c r="L450" s="921" t="str">
        <f t="shared" si="21"/>
        <v/>
      </c>
      <c r="M450" s="155" t="str">
        <f t="shared" si="22"/>
        <v/>
      </c>
      <c r="AA450" s="150"/>
      <c r="AB450" s="150"/>
      <c r="AC450" s="150"/>
      <c r="AD450" s="150"/>
      <c r="AE450" s="150"/>
      <c r="AF450" s="150"/>
      <c r="AJ450" s="338"/>
    </row>
    <row r="451" spans="2:36" s="113" customFormat="1" x14ac:dyDescent="0.4">
      <c r="B451" s="80"/>
      <c r="C451" s="563">
        <v>38</v>
      </c>
      <c r="D451" s="907"/>
      <c r="E451" s="906"/>
      <c r="F451" s="921" t="str">
        <f t="shared" si="20"/>
        <v/>
      </c>
      <c r="G451" s="882" t="str">
        <f t="shared" si="23"/>
        <v/>
      </c>
      <c r="H451" s="919"/>
      <c r="I451" s="922">
        <v>1479</v>
      </c>
      <c r="J451" s="907"/>
      <c r="K451" s="906"/>
      <c r="L451" s="921" t="str">
        <f t="shared" si="21"/>
        <v/>
      </c>
      <c r="M451" s="155" t="str">
        <f t="shared" si="22"/>
        <v/>
      </c>
      <c r="AA451" s="150"/>
      <c r="AB451" s="150"/>
      <c r="AC451" s="150"/>
      <c r="AD451" s="150"/>
      <c r="AE451" s="150"/>
      <c r="AF451" s="150"/>
      <c r="AJ451" s="338"/>
    </row>
    <row r="452" spans="2:36" s="113" customFormat="1" x14ac:dyDescent="0.4">
      <c r="B452" s="80"/>
      <c r="C452" s="563">
        <v>39</v>
      </c>
      <c r="D452" s="907"/>
      <c r="E452" s="906"/>
      <c r="F452" s="921" t="str">
        <f t="shared" si="20"/>
        <v/>
      </c>
      <c r="G452" s="882" t="str">
        <f t="shared" si="23"/>
        <v/>
      </c>
      <c r="H452" s="919"/>
      <c r="I452" s="922">
        <v>1480</v>
      </c>
      <c r="J452" s="907"/>
      <c r="K452" s="906"/>
      <c r="L452" s="921" t="str">
        <f t="shared" si="21"/>
        <v/>
      </c>
      <c r="M452" s="155" t="str">
        <f t="shared" si="22"/>
        <v/>
      </c>
      <c r="AA452" s="150"/>
      <c r="AB452" s="150"/>
      <c r="AC452" s="150"/>
      <c r="AD452" s="150"/>
      <c r="AE452" s="150"/>
      <c r="AF452" s="150"/>
      <c r="AJ452" s="338"/>
    </row>
    <row r="453" spans="2:36" s="113" customFormat="1" x14ac:dyDescent="0.4">
      <c r="B453" s="80"/>
      <c r="C453" s="563">
        <v>40</v>
      </c>
      <c r="D453" s="907"/>
      <c r="E453" s="906"/>
      <c r="F453" s="921" t="str">
        <f t="shared" si="20"/>
        <v/>
      </c>
      <c r="G453" s="882" t="str">
        <f t="shared" si="23"/>
        <v/>
      </c>
      <c r="H453" s="919"/>
      <c r="I453" s="922">
        <v>1481</v>
      </c>
      <c r="J453" s="907"/>
      <c r="K453" s="906"/>
      <c r="L453" s="921" t="str">
        <f t="shared" si="21"/>
        <v/>
      </c>
      <c r="M453" s="155" t="str">
        <f t="shared" si="22"/>
        <v/>
      </c>
      <c r="AA453" s="150"/>
      <c r="AB453" s="150"/>
      <c r="AC453" s="150"/>
      <c r="AD453" s="150"/>
      <c r="AE453" s="150"/>
      <c r="AF453" s="150"/>
      <c r="AJ453" s="338"/>
    </row>
    <row r="454" spans="2:36" s="113" customFormat="1" x14ac:dyDescent="0.4">
      <c r="B454" s="80"/>
      <c r="C454" s="563">
        <v>41</v>
      </c>
      <c r="D454" s="907"/>
      <c r="E454" s="906"/>
      <c r="F454" s="921" t="str">
        <f t="shared" si="20"/>
        <v/>
      </c>
      <c r="G454" s="882" t="str">
        <f t="shared" si="23"/>
        <v/>
      </c>
      <c r="H454" s="919"/>
      <c r="I454" s="922">
        <v>1482</v>
      </c>
      <c r="J454" s="907"/>
      <c r="K454" s="906"/>
      <c r="L454" s="921" t="str">
        <f t="shared" si="21"/>
        <v/>
      </c>
      <c r="M454" s="155" t="str">
        <f t="shared" si="22"/>
        <v/>
      </c>
      <c r="AA454" s="150"/>
      <c r="AB454" s="150"/>
      <c r="AC454" s="150"/>
      <c r="AD454" s="150"/>
      <c r="AE454" s="150"/>
      <c r="AF454" s="150"/>
      <c r="AJ454" s="338"/>
    </row>
    <row r="455" spans="2:36" s="113" customFormat="1" x14ac:dyDescent="0.4">
      <c r="B455" s="80"/>
      <c r="C455" s="563">
        <v>42</v>
      </c>
      <c r="D455" s="907"/>
      <c r="E455" s="906"/>
      <c r="F455" s="921" t="str">
        <f t="shared" si="20"/>
        <v/>
      </c>
      <c r="G455" s="882" t="str">
        <f t="shared" si="23"/>
        <v/>
      </c>
      <c r="H455" s="919"/>
      <c r="I455" s="922">
        <v>1483</v>
      </c>
      <c r="J455" s="907"/>
      <c r="K455" s="906"/>
      <c r="L455" s="921" t="str">
        <f t="shared" si="21"/>
        <v/>
      </c>
      <c r="M455" s="155" t="str">
        <f t="shared" si="22"/>
        <v/>
      </c>
      <c r="AA455" s="150"/>
      <c r="AB455" s="150"/>
      <c r="AC455" s="150"/>
      <c r="AD455" s="150"/>
      <c r="AE455" s="150"/>
      <c r="AF455" s="150"/>
      <c r="AJ455" s="338"/>
    </row>
    <row r="456" spans="2:36" s="113" customFormat="1" x14ac:dyDescent="0.4">
      <c r="B456" s="80"/>
      <c r="C456" s="563">
        <v>43</v>
      </c>
      <c r="D456" s="907"/>
      <c r="E456" s="906"/>
      <c r="F456" s="921" t="str">
        <f t="shared" si="20"/>
        <v/>
      </c>
      <c r="G456" s="882" t="str">
        <f t="shared" si="23"/>
        <v/>
      </c>
      <c r="H456" s="919"/>
      <c r="I456" s="922">
        <v>1484</v>
      </c>
      <c r="J456" s="907"/>
      <c r="K456" s="906"/>
      <c r="L456" s="921" t="str">
        <f t="shared" si="21"/>
        <v/>
      </c>
      <c r="M456" s="155" t="str">
        <f t="shared" si="22"/>
        <v/>
      </c>
      <c r="AA456" s="150"/>
      <c r="AB456" s="150"/>
      <c r="AC456" s="150"/>
      <c r="AD456" s="150"/>
      <c r="AE456" s="150"/>
      <c r="AF456" s="150"/>
      <c r="AJ456" s="338"/>
    </row>
    <row r="457" spans="2:36" s="113" customFormat="1" x14ac:dyDescent="0.4">
      <c r="B457" s="80"/>
      <c r="C457" s="563">
        <v>44</v>
      </c>
      <c r="D457" s="907"/>
      <c r="E457" s="906"/>
      <c r="F457" s="921" t="str">
        <f t="shared" si="20"/>
        <v/>
      </c>
      <c r="G457" s="882" t="str">
        <f t="shared" si="23"/>
        <v/>
      </c>
      <c r="H457" s="919"/>
      <c r="I457" s="922">
        <v>1485</v>
      </c>
      <c r="J457" s="907"/>
      <c r="K457" s="906"/>
      <c r="L457" s="921" t="str">
        <f t="shared" si="21"/>
        <v/>
      </c>
      <c r="M457" s="155" t="str">
        <f t="shared" si="22"/>
        <v/>
      </c>
      <c r="AA457" s="150"/>
      <c r="AB457" s="150"/>
      <c r="AC457" s="150"/>
      <c r="AD457" s="150"/>
      <c r="AE457" s="150"/>
      <c r="AF457" s="150"/>
      <c r="AJ457" s="338"/>
    </row>
    <row r="458" spans="2:36" s="113" customFormat="1" x14ac:dyDescent="0.4">
      <c r="B458" s="80"/>
      <c r="C458" s="563">
        <v>45</v>
      </c>
      <c r="D458" s="907"/>
      <c r="E458" s="906"/>
      <c r="F458" s="921" t="str">
        <f t="shared" si="20"/>
        <v/>
      </c>
      <c r="G458" s="882" t="str">
        <f t="shared" si="23"/>
        <v/>
      </c>
      <c r="H458" s="919"/>
      <c r="I458" s="922">
        <v>1486</v>
      </c>
      <c r="J458" s="907"/>
      <c r="K458" s="906"/>
      <c r="L458" s="921" t="str">
        <f t="shared" si="21"/>
        <v/>
      </c>
      <c r="M458" s="155" t="str">
        <f t="shared" si="22"/>
        <v/>
      </c>
      <c r="AA458" s="150"/>
      <c r="AB458" s="150"/>
      <c r="AC458" s="150"/>
      <c r="AD458" s="150"/>
      <c r="AE458" s="150"/>
      <c r="AF458" s="150"/>
      <c r="AJ458" s="338"/>
    </row>
    <row r="459" spans="2:36" s="113" customFormat="1" x14ac:dyDescent="0.4">
      <c r="B459" s="80"/>
      <c r="C459" s="563">
        <v>46</v>
      </c>
      <c r="D459" s="907"/>
      <c r="E459" s="906"/>
      <c r="F459" s="921" t="str">
        <f t="shared" si="20"/>
        <v/>
      </c>
      <c r="G459" s="882" t="str">
        <f t="shared" si="23"/>
        <v/>
      </c>
      <c r="H459" s="919"/>
      <c r="I459" s="922">
        <v>1487</v>
      </c>
      <c r="J459" s="907"/>
      <c r="K459" s="906"/>
      <c r="L459" s="921" t="str">
        <f t="shared" si="21"/>
        <v/>
      </c>
      <c r="M459" s="155" t="str">
        <f t="shared" si="22"/>
        <v/>
      </c>
      <c r="AA459" s="150"/>
      <c r="AB459" s="150"/>
      <c r="AC459" s="150"/>
      <c r="AD459" s="150"/>
      <c r="AE459" s="150"/>
      <c r="AF459" s="150"/>
      <c r="AJ459" s="338"/>
    </row>
    <row r="460" spans="2:36" s="113" customFormat="1" x14ac:dyDescent="0.4">
      <c r="B460" s="80"/>
      <c r="C460" s="563">
        <v>47</v>
      </c>
      <c r="D460" s="907"/>
      <c r="E460" s="906"/>
      <c r="F460" s="921" t="str">
        <f t="shared" si="20"/>
        <v/>
      </c>
      <c r="G460" s="882" t="str">
        <f t="shared" si="23"/>
        <v/>
      </c>
      <c r="H460" s="919"/>
      <c r="I460" s="922">
        <v>1488</v>
      </c>
      <c r="J460" s="907"/>
      <c r="K460" s="906"/>
      <c r="L460" s="921" t="str">
        <f t="shared" si="21"/>
        <v/>
      </c>
      <c r="M460" s="155" t="str">
        <f t="shared" si="22"/>
        <v/>
      </c>
      <c r="AA460" s="150"/>
      <c r="AB460" s="150"/>
      <c r="AC460" s="150"/>
      <c r="AD460" s="150"/>
      <c r="AE460" s="150"/>
      <c r="AF460" s="150"/>
      <c r="AJ460" s="338"/>
    </row>
    <row r="461" spans="2:36" s="113" customFormat="1" x14ac:dyDescent="0.4">
      <c r="B461" s="80"/>
      <c r="C461" s="563">
        <v>48</v>
      </c>
      <c r="D461" s="907"/>
      <c r="E461" s="906"/>
      <c r="F461" s="921" t="str">
        <f t="shared" si="20"/>
        <v/>
      </c>
      <c r="G461" s="882" t="str">
        <f t="shared" si="23"/>
        <v/>
      </c>
      <c r="H461" s="919"/>
      <c r="I461" s="922">
        <v>1489</v>
      </c>
      <c r="J461" s="907"/>
      <c r="K461" s="906"/>
      <c r="L461" s="921" t="str">
        <f t="shared" si="21"/>
        <v/>
      </c>
      <c r="M461" s="155" t="str">
        <f t="shared" si="22"/>
        <v/>
      </c>
      <c r="AA461" s="150"/>
      <c r="AB461" s="150"/>
      <c r="AC461" s="150"/>
      <c r="AD461" s="150"/>
      <c r="AE461" s="150"/>
      <c r="AF461" s="150"/>
      <c r="AJ461" s="338"/>
    </row>
    <row r="462" spans="2:36" s="113" customFormat="1" x14ac:dyDescent="0.4">
      <c r="B462" s="80"/>
      <c r="C462" s="563">
        <v>49</v>
      </c>
      <c r="D462" s="907"/>
      <c r="E462" s="906"/>
      <c r="F462" s="921" t="str">
        <f t="shared" si="20"/>
        <v/>
      </c>
      <c r="G462" s="882" t="str">
        <f t="shared" si="23"/>
        <v/>
      </c>
      <c r="H462" s="919"/>
      <c r="I462" s="922">
        <v>1490</v>
      </c>
      <c r="J462" s="907"/>
      <c r="K462" s="906"/>
      <c r="L462" s="921" t="str">
        <f t="shared" si="21"/>
        <v/>
      </c>
      <c r="M462" s="155" t="str">
        <f t="shared" si="22"/>
        <v/>
      </c>
      <c r="AA462" s="150"/>
      <c r="AB462" s="150"/>
      <c r="AC462" s="150"/>
      <c r="AD462" s="150"/>
      <c r="AE462" s="150"/>
      <c r="AF462" s="150"/>
      <c r="AJ462" s="338"/>
    </row>
    <row r="463" spans="2:36" s="113" customFormat="1" x14ac:dyDescent="0.4">
      <c r="B463" s="80"/>
      <c r="C463" s="563">
        <v>50</v>
      </c>
      <c r="D463" s="907"/>
      <c r="E463" s="906"/>
      <c r="F463" s="921" t="str">
        <f t="shared" si="20"/>
        <v/>
      </c>
      <c r="G463" s="882" t="str">
        <f t="shared" si="23"/>
        <v/>
      </c>
      <c r="H463" s="919"/>
      <c r="I463" s="922">
        <v>1491</v>
      </c>
      <c r="J463" s="907"/>
      <c r="K463" s="906"/>
      <c r="L463" s="921" t="str">
        <f t="shared" si="21"/>
        <v/>
      </c>
      <c r="M463" s="155" t="str">
        <f t="shared" si="22"/>
        <v/>
      </c>
      <c r="AA463" s="150"/>
      <c r="AB463" s="150"/>
      <c r="AC463" s="150"/>
      <c r="AD463" s="150"/>
      <c r="AE463" s="150"/>
      <c r="AF463" s="150"/>
      <c r="AJ463" s="338"/>
    </row>
    <row r="464" spans="2:36" s="113" customFormat="1" x14ac:dyDescent="0.4">
      <c r="B464" s="80"/>
      <c r="C464" s="563">
        <v>51</v>
      </c>
      <c r="D464" s="907"/>
      <c r="E464" s="906"/>
      <c r="F464" s="921" t="str">
        <f t="shared" si="20"/>
        <v/>
      </c>
      <c r="G464" s="882" t="str">
        <f t="shared" si="23"/>
        <v/>
      </c>
      <c r="H464" s="919"/>
      <c r="I464" s="922">
        <v>1492</v>
      </c>
      <c r="J464" s="907"/>
      <c r="K464" s="906"/>
      <c r="L464" s="921" t="str">
        <f t="shared" si="21"/>
        <v/>
      </c>
      <c r="M464" s="155" t="str">
        <f t="shared" si="22"/>
        <v/>
      </c>
      <c r="AA464" s="150"/>
      <c r="AB464" s="150"/>
      <c r="AC464" s="150"/>
      <c r="AD464" s="150"/>
      <c r="AE464" s="150"/>
      <c r="AF464" s="150"/>
      <c r="AJ464" s="338"/>
    </row>
    <row r="465" spans="2:36" s="113" customFormat="1" x14ac:dyDescent="0.4">
      <c r="B465" s="80"/>
      <c r="C465" s="563">
        <v>52</v>
      </c>
      <c r="D465" s="907"/>
      <c r="E465" s="906"/>
      <c r="F465" s="921" t="str">
        <f t="shared" si="20"/>
        <v/>
      </c>
      <c r="G465" s="882" t="str">
        <f t="shared" si="23"/>
        <v/>
      </c>
      <c r="H465" s="919"/>
      <c r="I465" s="922">
        <v>1493</v>
      </c>
      <c r="J465" s="907"/>
      <c r="K465" s="906"/>
      <c r="L465" s="921" t="str">
        <f t="shared" si="21"/>
        <v/>
      </c>
      <c r="M465" s="155" t="str">
        <f t="shared" si="22"/>
        <v/>
      </c>
      <c r="AA465" s="150"/>
      <c r="AB465" s="150"/>
      <c r="AC465" s="150"/>
      <c r="AD465" s="150"/>
      <c r="AE465" s="150"/>
      <c r="AF465" s="150"/>
      <c r="AJ465" s="338"/>
    </row>
    <row r="466" spans="2:36" s="113" customFormat="1" x14ac:dyDescent="0.4">
      <c r="B466" s="80"/>
      <c r="C466" s="563">
        <v>53</v>
      </c>
      <c r="D466" s="907"/>
      <c r="E466" s="906"/>
      <c r="F466" s="921" t="str">
        <f t="shared" si="20"/>
        <v/>
      </c>
      <c r="G466" s="882" t="str">
        <f t="shared" si="23"/>
        <v/>
      </c>
      <c r="H466" s="919"/>
      <c r="I466" s="922">
        <v>1494</v>
      </c>
      <c r="J466" s="907"/>
      <c r="K466" s="906"/>
      <c r="L466" s="921" t="str">
        <f t="shared" si="21"/>
        <v/>
      </c>
      <c r="M466" s="155" t="str">
        <f t="shared" si="22"/>
        <v/>
      </c>
      <c r="AA466" s="150"/>
      <c r="AB466" s="150"/>
      <c r="AC466" s="150"/>
      <c r="AD466" s="150"/>
      <c r="AE466" s="150"/>
      <c r="AF466" s="150"/>
      <c r="AJ466" s="338"/>
    </row>
    <row r="467" spans="2:36" s="113" customFormat="1" x14ac:dyDescent="0.4">
      <c r="B467" s="80"/>
      <c r="C467" s="563">
        <v>54</v>
      </c>
      <c r="D467" s="907"/>
      <c r="E467" s="906"/>
      <c r="F467" s="921" t="str">
        <f t="shared" si="20"/>
        <v/>
      </c>
      <c r="G467" s="882" t="str">
        <f t="shared" si="23"/>
        <v/>
      </c>
      <c r="H467" s="919"/>
      <c r="I467" s="922">
        <v>1495</v>
      </c>
      <c r="J467" s="907"/>
      <c r="K467" s="906"/>
      <c r="L467" s="921" t="str">
        <f t="shared" si="21"/>
        <v/>
      </c>
      <c r="M467" s="155" t="str">
        <f t="shared" si="22"/>
        <v/>
      </c>
      <c r="AA467" s="150"/>
      <c r="AB467" s="150"/>
      <c r="AC467" s="150"/>
      <c r="AD467" s="150"/>
      <c r="AE467" s="150"/>
      <c r="AF467" s="150"/>
      <c r="AJ467" s="338"/>
    </row>
    <row r="468" spans="2:36" s="113" customFormat="1" x14ac:dyDescent="0.4">
      <c r="B468" s="80"/>
      <c r="C468" s="563">
        <v>55</v>
      </c>
      <c r="D468" s="907"/>
      <c r="E468" s="906"/>
      <c r="F468" s="921" t="str">
        <f t="shared" si="20"/>
        <v/>
      </c>
      <c r="G468" s="882" t="str">
        <f t="shared" si="23"/>
        <v/>
      </c>
      <c r="H468" s="919"/>
      <c r="I468" s="922">
        <v>1496</v>
      </c>
      <c r="J468" s="907"/>
      <c r="K468" s="906"/>
      <c r="L468" s="921" t="str">
        <f t="shared" si="21"/>
        <v/>
      </c>
      <c r="M468" s="155" t="str">
        <f t="shared" si="22"/>
        <v/>
      </c>
      <c r="AA468" s="150"/>
      <c r="AB468" s="150"/>
      <c r="AC468" s="150"/>
      <c r="AD468" s="150"/>
      <c r="AE468" s="150"/>
      <c r="AF468" s="150"/>
      <c r="AJ468" s="338"/>
    </row>
    <row r="469" spans="2:36" s="113" customFormat="1" x14ac:dyDescent="0.4">
      <c r="B469" s="80"/>
      <c r="C469" s="563">
        <v>56</v>
      </c>
      <c r="D469" s="907"/>
      <c r="E469" s="906"/>
      <c r="F469" s="921" t="str">
        <f t="shared" si="20"/>
        <v/>
      </c>
      <c r="G469" s="882" t="str">
        <f t="shared" si="23"/>
        <v/>
      </c>
      <c r="H469" s="919"/>
      <c r="I469" s="922">
        <v>1497</v>
      </c>
      <c r="J469" s="907"/>
      <c r="K469" s="906"/>
      <c r="L469" s="921" t="str">
        <f t="shared" si="21"/>
        <v/>
      </c>
      <c r="M469" s="155" t="str">
        <f t="shared" si="22"/>
        <v/>
      </c>
      <c r="AA469" s="150"/>
      <c r="AB469" s="150"/>
      <c r="AC469" s="150"/>
      <c r="AD469" s="150"/>
      <c r="AE469" s="150"/>
      <c r="AF469" s="150"/>
      <c r="AJ469" s="338"/>
    </row>
    <row r="470" spans="2:36" s="113" customFormat="1" x14ac:dyDescent="0.4">
      <c r="B470" s="80"/>
      <c r="C470" s="563">
        <v>57</v>
      </c>
      <c r="D470" s="907"/>
      <c r="E470" s="906"/>
      <c r="F470" s="921" t="str">
        <f t="shared" si="20"/>
        <v/>
      </c>
      <c r="G470" s="882" t="str">
        <f t="shared" si="23"/>
        <v/>
      </c>
      <c r="H470" s="919"/>
      <c r="I470" s="922">
        <v>1498</v>
      </c>
      <c r="J470" s="907"/>
      <c r="K470" s="906"/>
      <c r="L470" s="921" t="str">
        <f t="shared" si="21"/>
        <v/>
      </c>
      <c r="M470" s="155" t="str">
        <f t="shared" si="22"/>
        <v/>
      </c>
      <c r="AA470" s="150"/>
      <c r="AB470" s="150"/>
      <c r="AC470" s="150"/>
      <c r="AD470" s="150"/>
      <c r="AE470" s="150"/>
      <c r="AF470" s="150"/>
      <c r="AJ470" s="338"/>
    </row>
    <row r="471" spans="2:36" s="113" customFormat="1" x14ac:dyDescent="0.4">
      <c r="B471" s="80"/>
      <c r="C471" s="563">
        <v>58</v>
      </c>
      <c r="D471" s="907"/>
      <c r="E471" s="906"/>
      <c r="F471" s="921" t="str">
        <f t="shared" si="20"/>
        <v/>
      </c>
      <c r="G471" s="882" t="str">
        <f t="shared" si="23"/>
        <v/>
      </c>
      <c r="H471" s="919"/>
      <c r="I471" s="922">
        <v>1499</v>
      </c>
      <c r="J471" s="907"/>
      <c r="K471" s="906"/>
      <c r="L471" s="921" t="str">
        <f t="shared" si="21"/>
        <v/>
      </c>
      <c r="M471" s="155" t="str">
        <f t="shared" si="22"/>
        <v/>
      </c>
      <c r="AA471" s="150"/>
      <c r="AB471" s="150"/>
      <c r="AC471" s="150"/>
      <c r="AD471" s="150"/>
      <c r="AE471" s="150"/>
      <c r="AF471" s="150"/>
      <c r="AJ471" s="338"/>
    </row>
    <row r="472" spans="2:36" s="113" customFormat="1" x14ac:dyDescent="0.4">
      <c r="B472" s="80"/>
      <c r="C472" s="563">
        <v>59</v>
      </c>
      <c r="D472" s="907"/>
      <c r="E472" s="906"/>
      <c r="F472" s="921" t="str">
        <f t="shared" si="20"/>
        <v/>
      </c>
      <c r="G472" s="882" t="str">
        <f t="shared" si="23"/>
        <v/>
      </c>
      <c r="H472" s="919"/>
      <c r="I472" s="922">
        <v>1500</v>
      </c>
      <c r="J472" s="907"/>
      <c r="K472" s="906"/>
      <c r="L472" s="921" t="str">
        <f t="shared" si="21"/>
        <v/>
      </c>
      <c r="M472" s="155" t="str">
        <f t="shared" si="22"/>
        <v/>
      </c>
      <c r="AA472" s="150"/>
      <c r="AB472" s="150"/>
      <c r="AC472" s="150"/>
      <c r="AD472" s="150"/>
      <c r="AE472" s="150"/>
      <c r="AF472" s="150"/>
      <c r="AJ472" s="338"/>
    </row>
    <row r="473" spans="2:36" s="113" customFormat="1" x14ac:dyDescent="0.4">
      <c r="B473" s="80"/>
      <c r="C473" s="563">
        <v>60</v>
      </c>
      <c r="D473" s="907"/>
      <c r="E473" s="906"/>
      <c r="F473" s="921" t="str">
        <f t="shared" si="20"/>
        <v/>
      </c>
      <c r="G473" s="882" t="str">
        <f t="shared" si="23"/>
        <v/>
      </c>
      <c r="H473" s="919"/>
      <c r="I473" s="922">
        <v>1501</v>
      </c>
      <c r="J473" s="907"/>
      <c r="K473" s="906"/>
      <c r="L473" s="921" t="str">
        <f t="shared" si="21"/>
        <v/>
      </c>
      <c r="M473" s="155" t="str">
        <f t="shared" si="22"/>
        <v/>
      </c>
      <c r="AA473" s="150"/>
      <c r="AB473" s="150"/>
      <c r="AC473" s="150"/>
      <c r="AD473" s="150"/>
      <c r="AE473" s="150"/>
      <c r="AF473" s="150"/>
      <c r="AJ473" s="338"/>
    </row>
    <row r="474" spans="2:36" s="113" customFormat="1" x14ac:dyDescent="0.4">
      <c r="B474" s="80"/>
      <c r="C474" s="563">
        <v>61</v>
      </c>
      <c r="D474" s="907"/>
      <c r="E474" s="906"/>
      <c r="F474" s="921" t="str">
        <f t="shared" si="20"/>
        <v/>
      </c>
      <c r="G474" s="882" t="str">
        <f t="shared" si="23"/>
        <v/>
      </c>
      <c r="H474" s="919"/>
      <c r="I474" s="922">
        <v>1502</v>
      </c>
      <c r="J474" s="907"/>
      <c r="K474" s="906"/>
      <c r="L474" s="921" t="str">
        <f t="shared" si="21"/>
        <v/>
      </c>
      <c r="M474" s="155" t="str">
        <f t="shared" si="22"/>
        <v/>
      </c>
      <c r="AA474" s="150"/>
      <c r="AB474" s="150"/>
      <c r="AC474" s="150"/>
      <c r="AD474" s="150"/>
      <c r="AE474" s="150"/>
      <c r="AF474" s="150"/>
      <c r="AJ474" s="338"/>
    </row>
    <row r="475" spans="2:36" s="113" customFormat="1" x14ac:dyDescent="0.4">
      <c r="B475" s="80"/>
      <c r="C475" s="563">
        <v>62</v>
      </c>
      <c r="D475" s="907"/>
      <c r="E475" s="906"/>
      <c r="F475" s="921" t="str">
        <f t="shared" si="20"/>
        <v/>
      </c>
      <c r="G475" s="882" t="str">
        <f t="shared" si="23"/>
        <v/>
      </c>
      <c r="H475" s="919"/>
      <c r="I475" s="922">
        <v>1503</v>
      </c>
      <c r="J475" s="907"/>
      <c r="K475" s="906"/>
      <c r="L475" s="921" t="str">
        <f t="shared" si="21"/>
        <v/>
      </c>
      <c r="M475" s="155" t="str">
        <f t="shared" si="22"/>
        <v/>
      </c>
      <c r="AA475" s="150"/>
      <c r="AB475" s="150"/>
      <c r="AC475" s="150"/>
      <c r="AD475" s="150"/>
      <c r="AE475" s="150"/>
      <c r="AF475" s="150"/>
      <c r="AJ475" s="338"/>
    </row>
    <row r="476" spans="2:36" s="113" customFormat="1" x14ac:dyDescent="0.4">
      <c r="B476" s="80"/>
      <c r="C476" s="563">
        <v>63</v>
      </c>
      <c r="D476" s="907"/>
      <c r="E476" s="906"/>
      <c r="F476" s="921" t="str">
        <f t="shared" si="20"/>
        <v/>
      </c>
      <c r="G476" s="882" t="str">
        <f t="shared" si="23"/>
        <v/>
      </c>
      <c r="H476" s="919"/>
      <c r="I476" s="922">
        <v>1504</v>
      </c>
      <c r="J476" s="907"/>
      <c r="K476" s="906"/>
      <c r="L476" s="921" t="str">
        <f t="shared" si="21"/>
        <v/>
      </c>
      <c r="M476" s="155" t="str">
        <f t="shared" si="22"/>
        <v/>
      </c>
      <c r="AA476" s="150"/>
      <c r="AB476" s="150"/>
      <c r="AC476" s="150"/>
      <c r="AD476" s="150"/>
      <c r="AE476" s="150"/>
      <c r="AF476" s="150"/>
      <c r="AJ476" s="338"/>
    </row>
    <row r="477" spans="2:36" s="113" customFormat="1" x14ac:dyDescent="0.4">
      <c r="B477" s="80"/>
      <c r="C477" s="563">
        <v>64</v>
      </c>
      <c r="D477" s="907"/>
      <c r="E477" s="906"/>
      <c r="F477" s="921" t="str">
        <f t="shared" si="20"/>
        <v/>
      </c>
      <c r="G477" s="882" t="str">
        <f t="shared" si="23"/>
        <v/>
      </c>
      <c r="H477" s="919"/>
      <c r="I477" s="922">
        <v>1505</v>
      </c>
      <c r="J477" s="907"/>
      <c r="K477" s="906"/>
      <c r="L477" s="921" t="str">
        <f t="shared" si="21"/>
        <v/>
      </c>
      <c r="M477" s="155" t="str">
        <f t="shared" si="22"/>
        <v/>
      </c>
      <c r="AA477" s="150"/>
      <c r="AB477" s="150"/>
      <c r="AC477" s="150"/>
      <c r="AD477" s="150"/>
      <c r="AE477" s="150"/>
      <c r="AF477" s="150"/>
      <c r="AJ477" s="338"/>
    </row>
    <row r="478" spans="2:36" s="113" customFormat="1" x14ac:dyDescent="0.4">
      <c r="B478" s="80"/>
      <c r="C478" s="563">
        <v>65</v>
      </c>
      <c r="D478" s="907"/>
      <c r="E478" s="906"/>
      <c r="F478" s="921" t="str">
        <f t="shared" ref="F478:F541" si="24">IF($D$30="","",IF(OR(
AND(C478&gt;=0,C478&lt;=$D$32),
AND(C478&gt;=$E$30,C478&lt;=$E$32),
AND(C478&gt;=$F$30,C478&lt;=$F$32),
AND(C478&gt;=$G$30,C478&lt;=$G$32),
AND(C478&gt;=$H$30,C478&lt;=$H$32),
AND(C478&gt;=$I$30,C478&lt;=$I$32),
AND(C478&gt;=$J$30,C478&lt;=$J$32),
AND(C478&gt;=$K$30,C478&lt;=$K$32),
AND(C478&gt;=$L$30,C478&lt;=$L$32),
AND(C478&gt;=$M$30,C478&lt;=$M$32,$M$32&lt;&gt;""),
AND(C478&gt;=$N$30,C478&lt;=$N$32,$N$32&lt;&gt;""),
AND(C478&gt;=$O$30,C478&lt;=$O$32,$O$32&lt;&gt;""),
AND(C478&gt;=$P$30,C478&lt;=$P$32,$P$32&lt;&gt;""),
AND(C478&gt;=$Q$30,C478&lt;=$Q$32,$Q$32&lt;&gt;"")
),"ON","OFF"))</f>
        <v/>
      </c>
      <c r="G478" s="882" t="str">
        <f t="shared" si="23"/>
        <v/>
      </c>
      <c r="H478" s="919"/>
      <c r="I478" s="922">
        <v>1506</v>
      </c>
      <c r="J478" s="907"/>
      <c r="K478" s="906"/>
      <c r="L478" s="921" t="str">
        <f t="shared" ref="L478:L541" si="25">IF($D$30="","",IF(OR(
AND(I478&gt;=0,I478&lt;=$D$32),
AND(I478&gt;=$E$30,I478&lt;=$E$32),
AND(I478&gt;=$F$30,I478&lt;=$F$32),
AND(I478&gt;=$G$30,I478&lt;=$G$32),
AND(I478&gt;=$H$30,I478&lt;=$H$32),
AND(I478&gt;=$I$30,I478&lt;=$I$32),
AND(I478&gt;=$J$30,I478&lt;=$J$32),
AND(I478&gt;=$K$30,I478&lt;=$K$32),
AND(I478&gt;=$L$30,I478&lt;=$L$32),
AND(I478&gt;=$M$30,I478&lt;=$M$32,$M$32&lt;&gt;""),
AND(I478&gt;=$N$30,I478&lt;=$N$32,$N$32&lt;&gt;""),
AND(I478&gt;=$O$30,I478&lt;=$O$32,$O$32&lt;&gt;""),
AND(I478&gt;=$P$30,I478&lt;=$P$32,$P$32&lt;&gt;""),
AND(I478&gt;=$Q$30,I478&lt;=$Q$32,$Q$32&lt;&gt;"")
),"ON","OFF"))</f>
        <v/>
      </c>
      <c r="M478" s="155" t="str">
        <f t="shared" ref="M478:M541" si="26">IF(OR($D$47="",$D$48=""),"",IF(OR(
AND(I478&gt;=$D$47,I478&lt;=$D$48),
AND(I478&gt;=$E$47,I478&lt;=$E$48),
AND(I478&gt;=$F$47,I478&lt;=$F$48),
AND(I478&gt;=$G$47,I478&lt;=$G$48),
AND(I478&gt;=$H$47,I478&lt;=$H$48),
AND(I478&gt;=$I$47,I478&lt;=$I$48),
AND(I478&gt;=$J$47,I478&lt;=$J$48),
AND(I478&gt;=$K$47,I478&lt;=$K$48),
AND(I478&gt;=$L$47,I478&lt;=$L$48),
AND(I478&gt;=$M$47,I478&lt;=$M$48),
AND(I478&gt;=$N$47,I478&lt;=$N$48),
AND(I478&gt;=$O$47,I478&lt;=$O$48),
AND(I478&gt;=$P$47,I478&lt;=$P$48),
AND(I478&gt;=$Q$47,I478&lt;=$Q$48),
AND(I478&gt;=$R$47,I478&lt;=$R$48),
AND(I478&gt;=$S$47,I478&lt;=$S$48),
AND(I478&gt;=$T$47,I478&lt;=$T$48),
AND(I478&gt;=$U$47,I478&lt;=$U$48),
AND(I478&gt;=$V$47,I478&lt;=$V$48),
AND(I478&gt;=$W$47,I478&lt;=$W$48),
AND(I478&gt;=$X$47,I478&lt;=$X$48),
AND(I478&gt;=$Y$47,I478&lt;=$Y$48),
AND(I478&gt;=$Z$47,I478&lt;=$Z$48),
AND(I478&gt;=$AA$47,I478&lt;=$AA$48),
AND(I478&gt;=$AB$47,I478&lt;=$AB$48),
AND(I478&gt;=$AC$47,I478&lt;=$AC$48),
AND(I478&gt;=$AD$47,I478&lt;=$AD$48),
AND(I478&gt;=$AE$47,I478&lt;=$AE$48),
AND(I478&gt;=$AF$47,I478&lt;=$AF$48),
AND(I478&gt;=$AG$47,I478&lt;=$AG$48)
),"ON","OFF"))</f>
        <v/>
      </c>
      <c r="AA478" s="150"/>
      <c r="AB478" s="150"/>
      <c r="AC478" s="150"/>
      <c r="AD478" s="150"/>
      <c r="AE478" s="150"/>
      <c r="AF478" s="150"/>
      <c r="AJ478" s="338"/>
    </row>
    <row r="479" spans="2:36" s="113" customFormat="1" x14ac:dyDescent="0.4">
      <c r="B479" s="80"/>
      <c r="C479" s="563">
        <v>66</v>
      </c>
      <c r="D479" s="907"/>
      <c r="E479" s="906"/>
      <c r="F479" s="921" t="str">
        <f t="shared" si="24"/>
        <v/>
      </c>
      <c r="G479" s="882" t="str">
        <f t="shared" ref="G479:G542" si="27">IF(OR($D$47="",$D$48=""),"",IF(OR(
AND(C479&gt;=$D$47,C479&lt;=$D$48),
AND(C479&gt;=$E$47,C479&lt;=$E$48),
AND(C479&gt;=$F$47,C479&lt;=$F$48),
AND(C479&gt;=$G$47,C479&lt;=$G$48),
AND(C479&gt;=$H$47,C479&lt;=$H$48),
AND(C479&gt;=$I$47,C479&lt;=$I$48),
AND(C479&gt;=$J$47,C479&lt;=$J$48),
AND(C479&gt;=$K$47,C479&lt;=$K$48),
AND(C479&gt;=$L$47,C479&lt;=$L$48),
AND(C479&gt;=$M$47,C479&lt;=$M$48),
AND(C479&gt;=$N$47,C479&lt;=$N$48),
AND(C479&gt;=$O$47,C479&lt;=$O$48),
AND(C479&gt;=$P$47,C479&lt;=$P$48),
AND(C479&gt;=$Q$47,C479&lt;=$Q$48),
AND(C479&gt;=$R$47,C479&lt;=$R$48),
AND(C479&gt;=$S$47,C479&lt;=$S$48),
AND(C479&gt;=$T$47,C479&lt;=$T$48),
AND(C479&gt;=$U$47,C479&lt;=$U$48),
AND(C479&gt;=$V$47,C479&lt;=$V$48),
AND(C479&gt;=$W$47,C479&lt;=$W$48),
AND(C479&gt;=$X$47,C479&lt;=$X$48),
AND(C479&gt;=$Y$47,C479&lt;=$Y$48),
AND(C479&gt;=$Z$47,C479&lt;=$Z$48),
AND(C479&gt;=$AA$47,C479&lt;=$AA$48),
AND(C479&gt;=$AB$47,C479&lt;=$AB$48),
AND(C479&gt;=$AC$47,C479&lt;=$AC$48),
AND(C479&gt;=$AD$47,C479&lt;=$AD$48),
AND(C479&gt;=$AE$47,C479&lt;=$AE$48),
AND(C479&gt;=$AF$47,C479&lt;=$AF$48),
AND(C479&gt;=$AG$47,C479&lt;=$AG$48)
),"ON","OFF"))</f>
        <v/>
      </c>
      <c r="H479" s="919"/>
      <c r="I479" s="922">
        <v>1507</v>
      </c>
      <c r="J479" s="907"/>
      <c r="K479" s="906"/>
      <c r="L479" s="921" t="str">
        <f t="shared" si="25"/>
        <v/>
      </c>
      <c r="M479" s="155" t="str">
        <f t="shared" si="26"/>
        <v/>
      </c>
      <c r="AA479" s="150"/>
      <c r="AB479" s="150"/>
      <c r="AC479" s="150"/>
      <c r="AD479" s="150"/>
      <c r="AE479" s="150"/>
      <c r="AF479" s="150"/>
      <c r="AJ479" s="338"/>
    </row>
    <row r="480" spans="2:36" s="113" customFormat="1" x14ac:dyDescent="0.4">
      <c r="B480" s="80"/>
      <c r="C480" s="563">
        <v>67</v>
      </c>
      <c r="D480" s="907"/>
      <c r="E480" s="906"/>
      <c r="F480" s="921" t="str">
        <f t="shared" si="24"/>
        <v/>
      </c>
      <c r="G480" s="882" t="str">
        <f t="shared" si="27"/>
        <v/>
      </c>
      <c r="H480" s="919"/>
      <c r="I480" s="922">
        <v>1508</v>
      </c>
      <c r="J480" s="907"/>
      <c r="K480" s="906"/>
      <c r="L480" s="921" t="str">
        <f t="shared" si="25"/>
        <v/>
      </c>
      <c r="M480" s="155" t="str">
        <f t="shared" si="26"/>
        <v/>
      </c>
      <c r="AA480" s="150"/>
      <c r="AB480" s="150"/>
      <c r="AC480" s="150"/>
      <c r="AD480" s="150"/>
      <c r="AE480" s="150"/>
      <c r="AF480" s="150"/>
      <c r="AJ480" s="338"/>
    </row>
    <row r="481" spans="2:36" s="113" customFormat="1" x14ac:dyDescent="0.4">
      <c r="B481" s="80"/>
      <c r="C481" s="563">
        <v>68</v>
      </c>
      <c r="D481" s="907"/>
      <c r="E481" s="906"/>
      <c r="F481" s="921" t="str">
        <f t="shared" si="24"/>
        <v/>
      </c>
      <c r="G481" s="882" t="str">
        <f t="shared" si="27"/>
        <v/>
      </c>
      <c r="H481" s="919"/>
      <c r="I481" s="922">
        <v>1509</v>
      </c>
      <c r="J481" s="907"/>
      <c r="K481" s="906"/>
      <c r="L481" s="921" t="str">
        <f t="shared" si="25"/>
        <v/>
      </c>
      <c r="M481" s="155" t="str">
        <f t="shared" si="26"/>
        <v/>
      </c>
      <c r="AA481" s="150"/>
      <c r="AB481" s="150"/>
      <c r="AC481" s="150"/>
      <c r="AD481" s="150"/>
      <c r="AE481" s="150"/>
      <c r="AF481" s="150"/>
      <c r="AJ481" s="338"/>
    </row>
    <row r="482" spans="2:36" s="113" customFormat="1" x14ac:dyDescent="0.4">
      <c r="B482" s="80"/>
      <c r="C482" s="563">
        <v>69</v>
      </c>
      <c r="D482" s="907"/>
      <c r="E482" s="906"/>
      <c r="F482" s="921" t="str">
        <f t="shared" si="24"/>
        <v/>
      </c>
      <c r="G482" s="882" t="str">
        <f t="shared" si="27"/>
        <v/>
      </c>
      <c r="H482" s="919"/>
      <c r="I482" s="922">
        <v>1510</v>
      </c>
      <c r="J482" s="907"/>
      <c r="K482" s="906"/>
      <c r="L482" s="921" t="str">
        <f t="shared" si="25"/>
        <v/>
      </c>
      <c r="M482" s="155" t="str">
        <f t="shared" si="26"/>
        <v/>
      </c>
      <c r="AA482" s="150"/>
      <c r="AB482" s="150"/>
      <c r="AC482" s="150"/>
      <c r="AD482" s="150"/>
      <c r="AE482" s="150"/>
      <c r="AF482" s="150"/>
      <c r="AJ482" s="338"/>
    </row>
    <row r="483" spans="2:36" s="113" customFormat="1" x14ac:dyDescent="0.4">
      <c r="B483" s="80"/>
      <c r="C483" s="563">
        <v>70</v>
      </c>
      <c r="D483" s="907"/>
      <c r="E483" s="906"/>
      <c r="F483" s="921" t="str">
        <f t="shared" si="24"/>
        <v/>
      </c>
      <c r="G483" s="882" t="str">
        <f t="shared" si="27"/>
        <v/>
      </c>
      <c r="H483" s="919"/>
      <c r="I483" s="922">
        <v>1511</v>
      </c>
      <c r="J483" s="907"/>
      <c r="K483" s="906"/>
      <c r="L483" s="921" t="str">
        <f t="shared" si="25"/>
        <v/>
      </c>
      <c r="M483" s="155" t="str">
        <f t="shared" si="26"/>
        <v/>
      </c>
      <c r="AA483" s="150"/>
      <c r="AB483" s="150"/>
      <c r="AC483" s="150"/>
      <c r="AD483" s="150"/>
      <c r="AE483" s="150"/>
      <c r="AF483" s="150"/>
      <c r="AJ483" s="338"/>
    </row>
    <row r="484" spans="2:36" s="113" customFormat="1" x14ac:dyDescent="0.4">
      <c r="B484" s="80"/>
      <c r="C484" s="563">
        <v>71</v>
      </c>
      <c r="D484" s="907"/>
      <c r="E484" s="906"/>
      <c r="F484" s="921" t="str">
        <f t="shared" si="24"/>
        <v/>
      </c>
      <c r="G484" s="882" t="str">
        <f t="shared" si="27"/>
        <v/>
      </c>
      <c r="H484" s="919"/>
      <c r="I484" s="922">
        <v>1512</v>
      </c>
      <c r="J484" s="907"/>
      <c r="K484" s="906"/>
      <c r="L484" s="921" t="str">
        <f t="shared" si="25"/>
        <v/>
      </c>
      <c r="M484" s="155" t="str">
        <f t="shared" si="26"/>
        <v/>
      </c>
      <c r="AA484" s="150"/>
      <c r="AB484" s="150"/>
      <c r="AC484" s="150"/>
      <c r="AD484" s="150"/>
      <c r="AE484" s="150"/>
      <c r="AF484" s="150"/>
      <c r="AJ484" s="338"/>
    </row>
    <row r="485" spans="2:36" s="113" customFormat="1" x14ac:dyDescent="0.4">
      <c r="B485" s="80"/>
      <c r="C485" s="563">
        <v>72</v>
      </c>
      <c r="D485" s="907"/>
      <c r="E485" s="906"/>
      <c r="F485" s="921" t="str">
        <f t="shared" si="24"/>
        <v/>
      </c>
      <c r="G485" s="882" t="str">
        <f t="shared" si="27"/>
        <v/>
      </c>
      <c r="H485" s="919"/>
      <c r="I485" s="922">
        <v>1513</v>
      </c>
      <c r="J485" s="907"/>
      <c r="K485" s="906"/>
      <c r="L485" s="921" t="str">
        <f t="shared" si="25"/>
        <v/>
      </c>
      <c r="M485" s="155" t="str">
        <f t="shared" si="26"/>
        <v/>
      </c>
      <c r="AA485" s="150"/>
      <c r="AB485" s="150"/>
      <c r="AC485" s="150"/>
      <c r="AD485" s="150"/>
      <c r="AE485" s="150"/>
      <c r="AF485" s="150"/>
      <c r="AJ485" s="338"/>
    </row>
    <row r="486" spans="2:36" s="113" customFormat="1" x14ac:dyDescent="0.4">
      <c r="B486" s="80"/>
      <c r="C486" s="563">
        <v>73</v>
      </c>
      <c r="D486" s="907"/>
      <c r="E486" s="906"/>
      <c r="F486" s="921" t="str">
        <f t="shared" si="24"/>
        <v/>
      </c>
      <c r="G486" s="882" t="str">
        <f t="shared" si="27"/>
        <v/>
      </c>
      <c r="H486" s="919"/>
      <c r="I486" s="922">
        <v>1514</v>
      </c>
      <c r="J486" s="907"/>
      <c r="K486" s="906"/>
      <c r="L486" s="921" t="str">
        <f t="shared" si="25"/>
        <v/>
      </c>
      <c r="M486" s="155" t="str">
        <f t="shared" si="26"/>
        <v/>
      </c>
      <c r="AA486" s="150"/>
      <c r="AB486" s="150"/>
      <c r="AC486" s="150"/>
      <c r="AD486" s="150"/>
      <c r="AE486" s="150"/>
      <c r="AF486" s="150"/>
      <c r="AJ486" s="338"/>
    </row>
    <row r="487" spans="2:36" s="113" customFormat="1" x14ac:dyDescent="0.4">
      <c r="B487" s="80"/>
      <c r="C487" s="563">
        <v>74</v>
      </c>
      <c r="D487" s="907"/>
      <c r="E487" s="906"/>
      <c r="F487" s="921" t="str">
        <f t="shared" si="24"/>
        <v/>
      </c>
      <c r="G487" s="882" t="str">
        <f t="shared" si="27"/>
        <v/>
      </c>
      <c r="H487" s="919"/>
      <c r="I487" s="922">
        <v>1515</v>
      </c>
      <c r="J487" s="907"/>
      <c r="K487" s="906"/>
      <c r="L487" s="921" t="str">
        <f t="shared" si="25"/>
        <v/>
      </c>
      <c r="M487" s="155" t="str">
        <f t="shared" si="26"/>
        <v/>
      </c>
      <c r="AA487" s="150"/>
      <c r="AB487" s="150"/>
      <c r="AC487" s="150"/>
      <c r="AD487" s="150"/>
      <c r="AE487" s="150"/>
      <c r="AF487" s="150"/>
      <c r="AJ487" s="338"/>
    </row>
    <row r="488" spans="2:36" s="113" customFormat="1" x14ac:dyDescent="0.4">
      <c r="B488" s="80"/>
      <c r="C488" s="563">
        <v>75</v>
      </c>
      <c r="D488" s="907"/>
      <c r="E488" s="906"/>
      <c r="F488" s="921" t="str">
        <f t="shared" si="24"/>
        <v/>
      </c>
      <c r="G488" s="882" t="str">
        <f t="shared" si="27"/>
        <v/>
      </c>
      <c r="H488" s="919"/>
      <c r="I488" s="922">
        <v>1516</v>
      </c>
      <c r="J488" s="907"/>
      <c r="K488" s="906"/>
      <c r="L488" s="921" t="str">
        <f t="shared" si="25"/>
        <v/>
      </c>
      <c r="M488" s="155" t="str">
        <f t="shared" si="26"/>
        <v/>
      </c>
      <c r="AA488" s="150"/>
      <c r="AB488" s="150"/>
      <c r="AC488" s="150"/>
      <c r="AD488" s="150"/>
      <c r="AE488" s="150"/>
      <c r="AF488" s="150"/>
      <c r="AJ488" s="338"/>
    </row>
    <row r="489" spans="2:36" s="113" customFormat="1" x14ac:dyDescent="0.4">
      <c r="B489" s="80"/>
      <c r="C489" s="563">
        <v>76</v>
      </c>
      <c r="D489" s="907"/>
      <c r="E489" s="906"/>
      <c r="F489" s="921" t="str">
        <f t="shared" si="24"/>
        <v/>
      </c>
      <c r="G489" s="882" t="str">
        <f t="shared" si="27"/>
        <v/>
      </c>
      <c r="H489" s="919"/>
      <c r="I489" s="922">
        <v>1517</v>
      </c>
      <c r="J489" s="907"/>
      <c r="K489" s="906"/>
      <c r="L489" s="921" t="str">
        <f t="shared" si="25"/>
        <v/>
      </c>
      <c r="M489" s="155" t="str">
        <f t="shared" si="26"/>
        <v/>
      </c>
      <c r="AA489" s="150"/>
      <c r="AB489" s="150"/>
      <c r="AC489" s="150"/>
      <c r="AD489" s="150"/>
      <c r="AE489" s="150"/>
      <c r="AF489" s="150"/>
      <c r="AJ489" s="338"/>
    </row>
    <row r="490" spans="2:36" s="113" customFormat="1" x14ac:dyDescent="0.4">
      <c r="B490" s="80"/>
      <c r="C490" s="563">
        <v>77</v>
      </c>
      <c r="D490" s="907"/>
      <c r="E490" s="906"/>
      <c r="F490" s="921" t="str">
        <f t="shared" si="24"/>
        <v/>
      </c>
      <c r="G490" s="882" t="str">
        <f t="shared" si="27"/>
        <v/>
      </c>
      <c r="H490" s="919"/>
      <c r="I490" s="922">
        <v>1518</v>
      </c>
      <c r="J490" s="907"/>
      <c r="K490" s="906"/>
      <c r="L490" s="921" t="str">
        <f t="shared" si="25"/>
        <v/>
      </c>
      <c r="M490" s="155" t="str">
        <f t="shared" si="26"/>
        <v/>
      </c>
      <c r="AA490" s="150"/>
      <c r="AB490" s="150"/>
      <c r="AC490" s="150"/>
      <c r="AD490" s="150"/>
      <c r="AE490" s="150"/>
      <c r="AF490" s="150"/>
      <c r="AJ490" s="338"/>
    </row>
    <row r="491" spans="2:36" s="113" customFormat="1" x14ac:dyDescent="0.4">
      <c r="B491" s="80"/>
      <c r="C491" s="563">
        <v>78</v>
      </c>
      <c r="D491" s="907"/>
      <c r="E491" s="906"/>
      <c r="F491" s="921" t="str">
        <f t="shared" si="24"/>
        <v/>
      </c>
      <c r="G491" s="882" t="str">
        <f t="shared" si="27"/>
        <v/>
      </c>
      <c r="H491" s="919"/>
      <c r="I491" s="922">
        <v>1519</v>
      </c>
      <c r="J491" s="907"/>
      <c r="K491" s="906"/>
      <c r="L491" s="921" t="str">
        <f t="shared" si="25"/>
        <v/>
      </c>
      <c r="M491" s="155" t="str">
        <f t="shared" si="26"/>
        <v/>
      </c>
      <c r="AA491" s="150"/>
      <c r="AB491" s="150"/>
      <c r="AC491" s="150"/>
      <c r="AD491" s="150"/>
      <c r="AE491" s="150"/>
      <c r="AF491" s="150"/>
      <c r="AJ491" s="338"/>
    </row>
    <row r="492" spans="2:36" s="113" customFormat="1" x14ac:dyDescent="0.4">
      <c r="B492" s="80"/>
      <c r="C492" s="563">
        <v>79</v>
      </c>
      <c r="D492" s="907"/>
      <c r="E492" s="906"/>
      <c r="F492" s="921" t="str">
        <f t="shared" si="24"/>
        <v/>
      </c>
      <c r="G492" s="882" t="str">
        <f t="shared" si="27"/>
        <v/>
      </c>
      <c r="H492" s="919"/>
      <c r="I492" s="922">
        <v>1520</v>
      </c>
      <c r="J492" s="907"/>
      <c r="K492" s="906"/>
      <c r="L492" s="921" t="str">
        <f t="shared" si="25"/>
        <v/>
      </c>
      <c r="M492" s="155" t="str">
        <f t="shared" si="26"/>
        <v/>
      </c>
      <c r="AA492" s="150"/>
      <c r="AB492" s="150"/>
      <c r="AC492" s="150"/>
      <c r="AD492" s="150"/>
      <c r="AE492" s="150"/>
      <c r="AF492" s="150"/>
      <c r="AJ492" s="338"/>
    </row>
    <row r="493" spans="2:36" s="113" customFormat="1" x14ac:dyDescent="0.4">
      <c r="B493" s="80"/>
      <c r="C493" s="563">
        <v>80</v>
      </c>
      <c r="D493" s="907"/>
      <c r="E493" s="906"/>
      <c r="F493" s="921" t="str">
        <f t="shared" si="24"/>
        <v/>
      </c>
      <c r="G493" s="882" t="str">
        <f t="shared" si="27"/>
        <v/>
      </c>
      <c r="H493" s="919"/>
      <c r="I493" s="922">
        <v>1521</v>
      </c>
      <c r="J493" s="907"/>
      <c r="K493" s="906"/>
      <c r="L493" s="921" t="str">
        <f t="shared" si="25"/>
        <v/>
      </c>
      <c r="M493" s="155" t="str">
        <f t="shared" si="26"/>
        <v/>
      </c>
      <c r="AA493" s="150"/>
      <c r="AB493" s="150"/>
      <c r="AC493" s="150"/>
      <c r="AD493" s="150"/>
      <c r="AE493" s="150"/>
      <c r="AF493" s="150"/>
      <c r="AJ493" s="338"/>
    </row>
    <row r="494" spans="2:36" s="113" customFormat="1" x14ac:dyDescent="0.4">
      <c r="B494" s="80"/>
      <c r="C494" s="563">
        <v>81</v>
      </c>
      <c r="D494" s="907"/>
      <c r="E494" s="906"/>
      <c r="F494" s="921" t="str">
        <f t="shared" si="24"/>
        <v/>
      </c>
      <c r="G494" s="882" t="str">
        <f t="shared" si="27"/>
        <v/>
      </c>
      <c r="H494" s="919"/>
      <c r="I494" s="922">
        <v>1522</v>
      </c>
      <c r="J494" s="907"/>
      <c r="K494" s="906"/>
      <c r="L494" s="921" t="str">
        <f t="shared" si="25"/>
        <v/>
      </c>
      <c r="M494" s="155" t="str">
        <f t="shared" si="26"/>
        <v/>
      </c>
      <c r="AA494" s="150"/>
      <c r="AB494" s="150"/>
      <c r="AC494" s="150"/>
      <c r="AD494" s="150"/>
      <c r="AE494" s="150"/>
      <c r="AF494" s="150"/>
      <c r="AJ494" s="338"/>
    </row>
    <row r="495" spans="2:36" s="113" customFormat="1" x14ac:dyDescent="0.4">
      <c r="B495" s="80"/>
      <c r="C495" s="563">
        <v>82</v>
      </c>
      <c r="D495" s="907"/>
      <c r="E495" s="906"/>
      <c r="F495" s="921" t="str">
        <f t="shared" si="24"/>
        <v/>
      </c>
      <c r="G495" s="882" t="str">
        <f t="shared" si="27"/>
        <v/>
      </c>
      <c r="H495" s="919"/>
      <c r="I495" s="922">
        <v>1523</v>
      </c>
      <c r="J495" s="907"/>
      <c r="K495" s="906"/>
      <c r="L495" s="921" t="str">
        <f t="shared" si="25"/>
        <v/>
      </c>
      <c r="M495" s="155" t="str">
        <f t="shared" si="26"/>
        <v/>
      </c>
      <c r="AA495" s="150"/>
      <c r="AB495" s="150"/>
      <c r="AC495" s="150"/>
      <c r="AD495" s="150"/>
      <c r="AE495" s="150"/>
      <c r="AF495" s="150"/>
      <c r="AJ495" s="338"/>
    </row>
    <row r="496" spans="2:36" s="113" customFormat="1" x14ac:dyDescent="0.4">
      <c r="B496" s="80"/>
      <c r="C496" s="563">
        <v>83</v>
      </c>
      <c r="D496" s="907"/>
      <c r="E496" s="906"/>
      <c r="F496" s="921" t="str">
        <f t="shared" si="24"/>
        <v/>
      </c>
      <c r="G496" s="882" t="str">
        <f t="shared" si="27"/>
        <v/>
      </c>
      <c r="H496" s="919"/>
      <c r="I496" s="922">
        <v>1524</v>
      </c>
      <c r="J496" s="907"/>
      <c r="K496" s="906"/>
      <c r="L496" s="921" t="str">
        <f t="shared" si="25"/>
        <v/>
      </c>
      <c r="M496" s="155" t="str">
        <f t="shared" si="26"/>
        <v/>
      </c>
      <c r="AA496" s="150"/>
      <c r="AB496" s="150"/>
      <c r="AC496" s="150"/>
      <c r="AD496" s="150"/>
      <c r="AE496" s="150"/>
      <c r="AF496" s="150"/>
      <c r="AJ496" s="338"/>
    </row>
    <row r="497" spans="2:36" s="113" customFormat="1" x14ac:dyDescent="0.4">
      <c r="B497" s="80"/>
      <c r="C497" s="563">
        <v>84</v>
      </c>
      <c r="D497" s="907"/>
      <c r="E497" s="906"/>
      <c r="F497" s="921" t="str">
        <f t="shared" si="24"/>
        <v/>
      </c>
      <c r="G497" s="882" t="str">
        <f t="shared" si="27"/>
        <v/>
      </c>
      <c r="H497" s="919"/>
      <c r="I497" s="922">
        <v>1525</v>
      </c>
      <c r="J497" s="907"/>
      <c r="K497" s="906"/>
      <c r="L497" s="921" t="str">
        <f t="shared" si="25"/>
        <v/>
      </c>
      <c r="M497" s="155" t="str">
        <f t="shared" si="26"/>
        <v/>
      </c>
      <c r="AA497" s="150"/>
      <c r="AB497" s="150"/>
      <c r="AC497" s="150"/>
      <c r="AD497" s="150"/>
      <c r="AE497" s="150"/>
      <c r="AF497" s="150"/>
      <c r="AJ497" s="338"/>
    </row>
    <row r="498" spans="2:36" s="113" customFormat="1" x14ac:dyDescent="0.4">
      <c r="B498" s="80"/>
      <c r="C498" s="563">
        <v>85</v>
      </c>
      <c r="D498" s="907"/>
      <c r="E498" s="906"/>
      <c r="F498" s="921" t="str">
        <f t="shared" si="24"/>
        <v/>
      </c>
      <c r="G498" s="882" t="str">
        <f t="shared" si="27"/>
        <v/>
      </c>
      <c r="H498" s="919"/>
      <c r="I498" s="922">
        <v>1526</v>
      </c>
      <c r="J498" s="907"/>
      <c r="K498" s="906"/>
      <c r="L498" s="921" t="str">
        <f t="shared" si="25"/>
        <v/>
      </c>
      <c r="M498" s="155" t="str">
        <f t="shared" si="26"/>
        <v/>
      </c>
      <c r="AA498" s="150"/>
      <c r="AB498" s="150"/>
      <c r="AC498" s="150"/>
      <c r="AD498" s="150"/>
      <c r="AE498" s="150"/>
      <c r="AF498" s="150"/>
      <c r="AJ498" s="338"/>
    </row>
    <row r="499" spans="2:36" s="113" customFormat="1" x14ac:dyDescent="0.4">
      <c r="B499" s="80"/>
      <c r="C499" s="563">
        <v>86</v>
      </c>
      <c r="D499" s="907"/>
      <c r="E499" s="906"/>
      <c r="F499" s="921" t="str">
        <f t="shared" si="24"/>
        <v/>
      </c>
      <c r="G499" s="882" t="str">
        <f t="shared" si="27"/>
        <v/>
      </c>
      <c r="H499" s="919"/>
      <c r="I499" s="922">
        <v>1527</v>
      </c>
      <c r="J499" s="907"/>
      <c r="K499" s="906"/>
      <c r="L499" s="921" t="str">
        <f t="shared" si="25"/>
        <v/>
      </c>
      <c r="M499" s="155" t="str">
        <f t="shared" si="26"/>
        <v/>
      </c>
      <c r="AA499" s="150"/>
      <c r="AB499" s="150"/>
      <c r="AC499" s="150"/>
      <c r="AD499" s="150"/>
      <c r="AE499" s="150"/>
      <c r="AF499" s="150"/>
      <c r="AJ499" s="338"/>
    </row>
    <row r="500" spans="2:36" s="113" customFormat="1" x14ac:dyDescent="0.4">
      <c r="B500" s="80"/>
      <c r="C500" s="563">
        <v>87</v>
      </c>
      <c r="D500" s="907"/>
      <c r="E500" s="906"/>
      <c r="F500" s="921" t="str">
        <f t="shared" si="24"/>
        <v/>
      </c>
      <c r="G500" s="882" t="str">
        <f t="shared" si="27"/>
        <v/>
      </c>
      <c r="H500" s="919"/>
      <c r="I500" s="922">
        <v>1528</v>
      </c>
      <c r="J500" s="907"/>
      <c r="K500" s="906"/>
      <c r="L500" s="921" t="str">
        <f t="shared" si="25"/>
        <v/>
      </c>
      <c r="M500" s="155" t="str">
        <f t="shared" si="26"/>
        <v/>
      </c>
      <c r="AA500" s="150"/>
      <c r="AB500" s="150"/>
      <c r="AC500" s="150"/>
      <c r="AD500" s="150"/>
      <c r="AE500" s="150"/>
      <c r="AF500" s="150"/>
      <c r="AJ500" s="338"/>
    </row>
    <row r="501" spans="2:36" s="113" customFormat="1" x14ac:dyDescent="0.4">
      <c r="B501" s="80"/>
      <c r="C501" s="563">
        <v>88</v>
      </c>
      <c r="D501" s="907"/>
      <c r="E501" s="906"/>
      <c r="F501" s="921" t="str">
        <f t="shared" si="24"/>
        <v/>
      </c>
      <c r="G501" s="882" t="str">
        <f t="shared" si="27"/>
        <v/>
      </c>
      <c r="H501" s="919"/>
      <c r="I501" s="922">
        <v>1529</v>
      </c>
      <c r="J501" s="907"/>
      <c r="K501" s="906"/>
      <c r="L501" s="921" t="str">
        <f t="shared" si="25"/>
        <v/>
      </c>
      <c r="M501" s="155" t="str">
        <f t="shared" si="26"/>
        <v/>
      </c>
      <c r="AA501" s="150"/>
      <c r="AB501" s="150"/>
      <c r="AC501" s="150"/>
      <c r="AD501" s="150"/>
      <c r="AE501" s="150"/>
      <c r="AF501" s="150"/>
      <c r="AJ501" s="338"/>
    </row>
    <row r="502" spans="2:36" s="113" customFormat="1" x14ac:dyDescent="0.4">
      <c r="B502" s="80"/>
      <c r="C502" s="563">
        <v>89</v>
      </c>
      <c r="D502" s="907"/>
      <c r="E502" s="906"/>
      <c r="F502" s="921" t="str">
        <f t="shared" si="24"/>
        <v/>
      </c>
      <c r="G502" s="882" t="str">
        <f t="shared" si="27"/>
        <v/>
      </c>
      <c r="H502" s="919"/>
      <c r="I502" s="922">
        <v>1530</v>
      </c>
      <c r="J502" s="907"/>
      <c r="K502" s="906"/>
      <c r="L502" s="921" t="str">
        <f t="shared" si="25"/>
        <v/>
      </c>
      <c r="M502" s="155" t="str">
        <f t="shared" si="26"/>
        <v/>
      </c>
      <c r="AA502" s="150"/>
      <c r="AB502" s="150"/>
      <c r="AC502" s="150"/>
      <c r="AD502" s="150"/>
      <c r="AE502" s="150"/>
      <c r="AF502" s="150"/>
      <c r="AJ502" s="338"/>
    </row>
    <row r="503" spans="2:36" s="113" customFormat="1" x14ac:dyDescent="0.4">
      <c r="B503" s="80"/>
      <c r="C503" s="563">
        <v>90</v>
      </c>
      <c r="D503" s="907"/>
      <c r="E503" s="906"/>
      <c r="F503" s="921" t="str">
        <f t="shared" si="24"/>
        <v/>
      </c>
      <c r="G503" s="882" t="str">
        <f t="shared" si="27"/>
        <v/>
      </c>
      <c r="H503" s="919"/>
      <c r="I503" s="922">
        <v>1531</v>
      </c>
      <c r="J503" s="907"/>
      <c r="K503" s="906"/>
      <c r="L503" s="921" t="str">
        <f t="shared" si="25"/>
        <v/>
      </c>
      <c r="M503" s="155" t="str">
        <f t="shared" si="26"/>
        <v/>
      </c>
      <c r="AA503" s="150"/>
      <c r="AB503" s="150"/>
      <c r="AC503" s="150"/>
      <c r="AD503" s="150"/>
      <c r="AE503" s="150"/>
      <c r="AF503" s="150"/>
      <c r="AJ503" s="338"/>
    </row>
    <row r="504" spans="2:36" s="113" customFormat="1" x14ac:dyDescent="0.4">
      <c r="B504" s="80"/>
      <c r="C504" s="563">
        <v>91</v>
      </c>
      <c r="D504" s="907"/>
      <c r="E504" s="906"/>
      <c r="F504" s="921" t="str">
        <f t="shared" si="24"/>
        <v/>
      </c>
      <c r="G504" s="882" t="str">
        <f t="shared" si="27"/>
        <v/>
      </c>
      <c r="H504" s="919"/>
      <c r="I504" s="922">
        <v>1532</v>
      </c>
      <c r="J504" s="907"/>
      <c r="K504" s="906"/>
      <c r="L504" s="921" t="str">
        <f t="shared" si="25"/>
        <v/>
      </c>
      <c r="M504" s="155" t="str">
        <f t="shared" si="26"/>
        <v/>
      </c>
      <c r="AA504" s="150"/>
      <c r="AB504" s="150"/>
      <c r="AC504" s="150"/>
      <c r="AD504" s="150"/>
      <c r="AE504" s="150"/>
      <c r="AF504" s="150"/>
      <c r="AJ504" s="338"/>
    </row>
    <row r="505" spans="2:36" s="113" customFormat="1" x14ac:dyDescent="0.4">
      <c r="B505" s="80"/>
      <c r="C505" s="563">
        <v>92</v>
      </c>
      <c r="D505" s="907"/>
      <c r="E505" s="906"/>
      <c r="F505" s="921" t="str">
        <f t="shared" si="24"/>
        <v/>
      </c>
      <c r="G505" s="882" t="str">
        <f t="shared" si="27"/>
        <v/>
      </c>
      <c r="H505" s="919"/>
      <c r="I505" s="922">
        <v>1533</v>
      </c>
      <c r="J505" s="907"/>
      <c r="K505" s="906"/>
      <c r="L505" s="921" t="str">
        <f t="shared" si="25"/>
        <v/>
      </c>
      <c r="M505" s="155" t="str">
        <f t="shared" si="26"/>
        <v/>
      </c>
      <c r="AA505" s="150"/>
      <c r="AB505" s="150"/>
      <c r="AC505" s="150"/>
      <c r="AD505" s="150"/>
      <c r="AE505" s="150"/>
      <c r="AF505" s="150"/>
      <c r="AJ505" s="338"/>
    </row>
    <row r="506" spans="2:36" s="113" customFormat="1" x14ac:dyDescent="0.4">
      <c r="B506" s="80"/>
      <c r="C506" s="563">
        <v>93</v>
      </c>
      <c r="D506" s="907"/>
      <c r="E506" s="906"/>
      <c r="F506" s="921" t="str">
        <f t="shared" si="24"/>
        <v/>
      </c>
      <c r="G506" s="882" t="str">
        <f t="shared" si="27"/>
        <v/>
      </c>
      <c r="H506" s="919"/>
      <c r="I506" s="922">
        <v>1534</v>
      </c>
      <c r="J506" s="907"/>
      <c r="K506" s="906"/>
      <c r="L506" s="921" t="str">
        <f t="shared" si="25"/>
        <v/>
      </c>
      <c r="M506" s="155" t="str">
        <f t="shared" si="26"/>
        <v/>
      </c>
      <c r="AA506" s="150"/>
      <c r="AB506" s="150"/>
      <c r="AC506" s="150"/>
      <c r="AD506" s="150"/>
      <c r="AE506" s="150"/>
      <c r="AF506" s="150"/>
      <c r="AJ506" s="338"/>
    </row>
    <row r="507" spans="2:36" s="113" customFormat="1" x14ac:dyDescent="0.4">
      <c r="B507" s="80"/>
      <c r="C507" s="563">
        <v>94</v>
      </c>
      <c r="D507" s="907"/>
      <c r="E507" s="906"/>
      <c r="F507" s="921" t="str">
        <f t="shared" si="24"/>
        <v/>
      </c>
      <c r="G507" s="882" t="str">
        <f t="shared" si="27"/>
        <v/>
      </c>
      <c r="H507" s="919"/>
      <c r="I507" s="922">
        <v>1535</v>
      </c>
      <c r="J507" s="907"/>
      <c r="K507" s="906"/>
      <c r="L507" s="921" t="str">
        <f t="shared" si="25"/>
        <v/>
      </c>
      <c r="M507" s="155" t="str">
        <f t="shared" si="26"/>
        <v/>
      </c>
      <c r="AA507" s="150"/>
      <c r="AB507" s="150"/>
      <c r="AC507" s="150"/>
      <c r="AD507" s="150"/>
      <c r="AE507" s="150"/>
      <c r="AF507" s="150"/>
      <c r="AJ507" s="338"/>
    </row>
    <row r="508" spans="2:36" s="113" customFormat="1" x14ac:dyDescent="0.4">
      <c r="B508" s="80"/>
      <c r="C508" s="563">
        <v>95</v>
      </c>
      <c r="D508" s="907"/>
      <c r="E508" s="906"/>
      <c r="F508" s="921" t="str">
        <f t="shared" si="24"/>
        <v/>
      </c>
      <c r="G508" s="882" t="str">
        <f t="shared" si="27"/>
        <v/>
      </c>
      <c r="H508" s="919"/>
      <c r="I508" s="922">
        <v>1536</v>
      </c>
      <c r="J508" s="907"/>
      <c r="K508" s="906"/>
      <c r="L508" s="921" t="str">
        <f t="shared" si="25"/>
        <v/>
      </c>
      <c r="M508" s="155" t="str">
        <f t="shared" si="26"/>
        <v/>
      </c>
      <c r="AA508" s="150"/>
      <c r="AB508" s="150"/>
      <c r="AC508" s="150"/>
      <c r="AD508" s="150"/>
      <c r="AE508" s="150"/>
      <c r="AF508" s="150"/>
      <c r="AJ508" s="338"/>
    </row>
    <row r="509" spans="2:36" s="113" customFormat="1" x14ac:dyDescent="0.4">
      <c r="B509" s="80"/>
      <c r="C509" s="563">
        <v>96</v>
      </c>
      <c r="D509" s="907"/>
      <c r="E509" s="906"/>
      <c r="F509" s="921" t="str">
        <f t="shared" si="24"/>
        <v/>
      </c>
      <c r="G509" s="882" t="str">
        <f t="shared" si="27"/>
        <v/>
      </c>
      <c r="H509" s="919"/>
      <c r="I509" s="922">
        <v>1537</v>
      </c>
      <c r="J509" s="907"/>
      <c r="K509" s="906"/>
      <c r="L509" s="921" t="str">
        <f t="shared" si="25"/>
        <v/>
      </c>
      <c r="M509" s="155" t="str">
        <f t="shared" si="26"/>
        <v/>
      </c>
      <c r="AA509" s="150"/>
      <c r="AB509" s="150"/>
      <c r="AC509" s="150"/>
      <c r="AD509" s="150"/>
      <c r="AE509" s="150"/>
      <c r="AF509" s="150"/>
      <c r="AJ509" s="338"/>
    </row>
    <row r="510" spans="2:36" s="113" customFormat="1" x14ac:dyDescent="0.4">
      <c r="B510" s="80"/>
      <c r="C510" s="563">
        <v>97</v>
      </c>
      <c r="D510" s="907"/>
      <c r="E510" s="906"/>
      <c r="F510" s="921" t="str">
        <f t="shared" si="24"/>
        <v/>
      </c>
      <c r="G510" s="882" t="str">
        <f t="shared" si="27"/>
        <v/>
      </c>
      <c r="H510" s="919"/>
      <c r="I510" s="922">
        <v>1538</v>
      </c>
      <c r="J510" s="907"/>
      <c r="K510" s="906"/>
      <c r="L510" s="921" t="str">
        <f t="shared" si="25"/>
        <v/>
      </c>
      <c r="M510" s="155" t="str">
        <f t="shared" si="26"/>
        <v/>
      </c>
      <c r="AA510" s="150"/>
      <c r="AB510" s="150"/>
      <c r="AC510" s="150"/>
      <c r="AD510" s="150"/>
      <c r="AE510" s="150"/>
      <c r="AF510" s="150"/>
      <c r="AJ510" s="338"/>
    </row>
    <row r="511" spans="2:36" s="113" customFormat="1" x14ac:dyDescent="0.4">
      <c r="B511" s="80"/>
      <c r="C511" s="563">
        <v>98</v>
      </c>
      <c r="D511" s="907"/>
      <c r="E511" s="906"/>
      <c r="F511" s="921" t="str">
        <f t="shared" si="24"/>
        <v/>
      </c>
      <c r="G511" s="882" t="str">
        <f t="shared" si="27"/>
        <v/>
      </c>
      <c r="H511" s="919"/>
      <c r="I511" s="922">
        <v>1539</v>
      </c>
      <c r="J511" s="907"/>
      <c r="K511" s="906"/>
      <c r="L511" s="921" t="str">
        <f t="shared" si="25"/>
        <v/>
      </c>
      <c r="M511" s="155" t="str">
        <f t="shared" si="26"/>
        <v/>
      </c>
      <c r="AA511" s="150"/>
      <c r="AB511" s="150"/>
      <c r="AC511" s="150"/>
      <c r="AD511" s="150"/>
      <c r="AE511" s="150"/>
      <c r="AF511" s="150"/>
      <c r="AJ511" s="338"/>
    </row>
    <row r="512" spans="2:36" s="113" customFormat="1" x14ac:dyDescent="0.4">
      <c r="B512" s="80"/>
      <c r="C512" s="563">
        <v>99</v>
      </c>
      <c r="D512" s="907"/>
      <c r="E512" s="906"/>
      <c r="F512" s="921" t="str">
        <f t="shared" si="24"/>
        <v/>
      </c>
      <c r="G512" s="882" t="str">
        <f t="shared" si="27"/>
        <v/>
      </c>
      <c r="H512" s="919"/>
      <c r="I512" s="922">
        <v>1540</v>
      </c>
      <c r="J512" s="907"/>
      <c r="K512" s="906"/>
      <c r="L512" s="921" t="str">
        <f t="shared" si="25"/>
        <v/>
      </c>
      <c r="M512" s="155" t="str">
        <f t="shared" si="26"/>
        <v/>
      </c>
      <c r="AA512" s="150"/>
      <c r="AB512" s="150"/>
      <c r="AC512" s="150"/>
      <c r="AD512" s="150"/>
      <c r="AE512" s="150"/>
      <c r="AF512" s="150"/>
      <c r="AJ512" s="338"/>
    </row>
    <row r="513" spans="2:36" s="113" customFormat="1" x14ac:dyDescent="0.4">
      <c r="B513" s="80"/>
      <c r="C513" s="563">
        <v>100</v>
      </c>
      <c r="D513" s="907"/>
      <c r="E513" s="906"/>
      <c r="F513" s="921" t="str">
        <f t="shared" si="24"/>
        <v/>
      </c>
      <c r="G513" s="882" t="str">
        <f t="shared" si="27"/>
        <v/>
      </c>
      <c r="H513" s="919"/>
      <c r="I513" s="922">
        <v>1541</v>
      </c>
      <c r="J513" s="907"/>
      <c r="K513" s="906"/>
      <c r="L513" s="921" t="str">
        <f t="shared" si="25"/>
        <v/>
      </c>
      <c r="M513" s="155" t="str">
        <f t="shared" si="26"/>
        <v/>
      </c>
      <c r="AA513" s="150"/>
      <c r="AB513" s="150"/>
      <c r="AC513" s="150"/>
      <c r="AD513" s="150"/>
      <c r="AE513" s="150"/>
      <c r="AF513" s="150"/>
      <c r="AJ513" s="338"/>
    </row>
    <row r="514" spans="2:36" s="113" customFormat="1" x14ac:dyDescent="0.4">
      <c r="B514" s="80"/>
      <c r="C514" s="563">
        <v>101</v>
      </c>
      <c r="D514" s="907"/>
      <c r="E514" s="906"/>
      <c r="F514" s="921" t="str">
        <f t="shared" si="24"/>
        <v/>
      </c>
      <c r="G514" s="882" t="str">
        <f t="shared" si="27"/>
        <v/>
      </c>
      <c r="H514" s="919"/>
      <c r="I514" s="922">
        <v>1542</v>
      </c>
      <c r="J514" s="907"/>
      <c r="K514" s="906"/>
      <c r="L514" s="921" t="str">
        <f t="shared" si="25"/>
        <v/>
      </c>
      <c r="M514" s="155" t="str">
        <f t="shared" si="26"/>
        <v/>
      </c>
      <c r="AA514" s="150"/>
      <c r="AB514" s="150"/>
      <c r="AC514" s="150"/>
      <c r="AD514" s="150"/>
      <c r="AE514" s="150"/>
      <c r="AF514" s="150"/>
      <c r="AJ514" s="338"/>
    </row>
    <row r="515" spans="2:36" s="113" customFormat="1" x14ac:dyDescent="0.4">
      <c r="B515" s="80"/>
      <c r="C515" s="563">
        <v>102</v>
      </c>
      <c r="D515" s="907"/>
      <c r="E515" s="906"/>
      <c r="F515" s="921" t="str">
        <f t="shared" si="24"/>
        <v/>
      </c>
      <c r="G515" s="882" t="str">
        <f t="shared" si="27"/>
        <v/>
      </c>
      <c r="H515" s="919"/>
      <c r="I515" s="922">
        <v>1543</v>
      </c>
      <c r="J515" s="907"/>
      <c r="K515" s="906"/>
      <c r="L515" s="921" t="str">
        <f t="shared" si="25"/>
        <v/>
      </c>
      <c r="M515" s="155" t="str">
        <f t="shared" si="26"/>
        <v/>
      </c>
      <c r="AA515" s="150"/>
      <c r="AB515" s="150"/>
      <c r="AC515" s="150"/>
      <c r="AD515" s="150"/>
      <c r="AE515" s="150"/>
      <c r="AF515" s="150"/>
      <c r="AJ515" s="338"/>
    </row>
    <row r="516" spans="2:36" s="113" customFormat="1" x14ac:dyDescent="0.4">
      <c r="B516" s="80"/>
      <c r="C516" s="563">
        <v>103</v>
      </c>
      <c r="D516" s="907"/>
      <c r="E516" s="906"/>
      <c r="F516" s="921" t="str">
        <f t="shared" si="24"/>
        <v/>
      </c>
      <c r="G516" s="882" t="str">
        <f t="shared" si="27"/>
        <v/>
      </c>
      <c r="H516" s="919"/>
      <c r="I516" s="922">
        <v>1544</v>
      </c>
      <c r="J516" s="907"/>
      <c r="K516" s="906"/>
      <c r="L516" s="921" t="str">
        <f t="shared" si="25"/>
        <v/>
      </c>
      <c r="M516" s="155" t="str">
        <f t="shared" si="26"/>
        <v/>
      </c>
      <c r="AA516" s="150"/>
      <c r="AB516" s="150"/>
      <c r="AC516" s="150"/>
      <c r="AD516" s="150"/>
      <c r="AE516" s="150"/>
      <c r="AF516" s="150"/>
      <c r="AJ516" s="338"/>
    </row>
    <row r="517" spans="2:36" s="113" customFormat="1" x14ac:dyDescent="0.4">
      <c r="B517" s="80"/>
      <c r="C517" s="563">
        <v>104</v>
      </c>
      <c r="D517" s="907"/>
      <c r="E517" s="906"/>
      <c r="F517" s="921" t="str">
        <f t="shared" si="24"/>
        <v/>
      </c>
      <c r="G517" s="882" t="str">
        <f t="shared" si="27"/>
        <v/>
      </c>
      <c r="H517" s="919"/>
      <c r="I517" s="922">
        <v>1545</v>
      </c>
      <c r="J517" s="907"/>
      <c r="K517" s="906"/>
      <c r="L517" s="921" t="str">
        <f t="shared" si="25"/>
        <v/>
      </c>
      <c r="M517" s="155" t="str">
        <f t="shared" si="26"/>
        <v/>
      </c>
      <c r="AA517" s="150"/>
      <c r="AB517" s="150"/>
      <c r="AC517" s="150"/>
      <c r="AD517" s="150"/>
      <c r="AE517" s="150"/>
      <c r="AF517" s="150"/>
      <c r="AJ517" s="338"/>
    </row>
    <row r="518" spans="2:36" s="113" customFormat="1" x14ac:dyDescent="0.4">
      <c r="B518" s="80"/>
      <c r="C518" s="563">
        <v>105</v>
      </c>
      <c r="D518" s="907"/>
      <c r="E518" s="906"/>
      <c r="F518" s="921" t="str">
        <f t="shared" si="24"/>
        <v/>
      </c>
      <c r="G518" s="882" t="str">
        <f t="shared" si="27"/>
        <v/>
      </c>
      <c r="H518" s="919"/>
      <c r="I518" s="922">
        <v>1546</v>
      </c>
      <c r="J518" s="907"/>
      <c r="K518" s="906"/>
      <c r="L518" s="921" t="str">
        <f t="shared" si="25"/>
        <v/>
      </c>
      <c r="M518" s="155" t="str">
        <f t="shared" si="26"/>
        <v/>
      </c>
      <c r="AA518" s="150"/>
      <c r="AB518" s="150"/>
      <c r="AC518" s="150"/>
      <c r="AD518" s="150"/>
      <c r="AE518" s="150"/>
      <c r="AF518" s="150"/>
      <c r="AJ518" s="338"/>
    </row>
    <row r="519" spans="2:36" s="113" customFormat="1" x14ac:dyDescent="0.4">
      <c r="B519" s="80"/>
      <c r="C519" s="563">
        <v>106</v>
      </c>
      <c r="D519" s="907"/>
      <c r="E519" s="906"/>
      <c r="F519" s="921" t="str">
        <f t="shared" si="24"/>
        <v/>
      </c>
      <c r="G519" s="882" t="str">
        <f t="shared" si="27"/>
        <v/>
      </c>
      <c r="H519" s="919"/>
      <c r="I519" s="922">
        <v>1547</v>
      </c>
      <c r="J519" s="907"/>
      <c r="K519" s="906"/>
      <c r="L519" s="921" t="str">
        <f t="shared" si="25"/>
        <v/>
      </c>
      <c r="M519" s="155" t="str">
        <f t="shared" si="26"/>
        <v/>
      </c>
      <c r="AA519" s="150"/>
      <c r="AB519" s="150"/>
      <c r="AC519" s="150"/>
      <c r="AD519" s="150"/>
      <c r="AE519" s="150"/>
      <c r="AF519" s="150"/>
      <c r="AJ519" s="338"/>
    </row>
    <row r="520" spans="2:36" s="113" customFormat="1" x14ac:dyDescent="0.4">
      <c r="B520" s="80"/>
      <c r="C520" s="563">
        <v>107</v>
      </c>
      <c r="D520" s="907"/>
      <c r="E520" s="906"/>
      <c r="F520" s="921" t="str">
        <f t="shared" si="24"/>
        <v/>
      </c>
      <c r="G520" s="882" t="str">
        <f t="shared" si="27"/>
        <v/>
      </c>
      <c r="H520" s="919"/>
      <c r="I520" s="922">
        <v>1548</v>
      </c>
      <c r="J520" s="907"/>
      <c r="K520" s="906"/>
      <c r="L520" s="921" t="str">
        <f t="shared" si="25"/>
        <v/>
      </c>
      <c r="M520" s="155" t="str">
        <f t="shared" si="26"/>
        <v/>
      </c>
      <c r="AA520" s="150"/>
      <c r="AB520" s="150"/>
      <c r="AC520" s="150"/>
      <c r="AD520" s="150"/>
      <c r="AE520" s="150"/>
      <c r="AF520" s="150"/>
      <c r="AJ520" s="338"/>
    </row>
    <row r="521" spans="2:36" s="113" customFormat="1" x14ac:dyDescent="0.4">
      <c r="B521" s="80"/>
      <c r="C521" s="563">
        <v>108</v>
      </c>
      <c r="D521" s="907"/>
      <c r="E521" s="906"/>
      <c r="F521" s="921" t="str">
        <f t="shared" si="24"/>
        <v/>
      </c>
      <c r="G521" s="882" t="str">
        <f t="shared" si="27"/>
        <v/>
      </c>
      <c r="H521" s="919"/>
      <c r="I521" s="922">
        <v>1549</v>
      </c>
      <c r="J521" s="907"/>
      <c r="K521" s="906"/>
      <c r="L521" s="921" t="str">
        <f t="shared" si="25"/>
        <v/>
      </c>
      <c r="M521" s="155" t="str">
        <f t="shared" si="26"/>
        <v/>
      </c>
      <c r="AA521" s="150"/>
      <c r="AB521" s="150"/>
      <c r="AC521" s="150"/>
      <c r="AD521" s="150"/>
      <c r="AE521" s="150"/>
      <c r="AF521" s="150"/>
      <c r="AJ521" s="338"/>
    </row>
    <row r="522" spans="2:36" s="113" customFormat="1" x14ac:dyDescent="0.4">
      <c r="B522" s="80"/>
      <c r="C522" s="563">
        <v>109</v>
      </c>
      <c r="D522" s="907"/>
      <c r="E522" s="906"/>
      <c r="F522" s="921" t="str">
        <f t="shared" si="24"/>
        <v/>
      </c>
      <c r="G522" s="882" t="str">
        <f t="shared" si="27"/>
        <v/>
      </c>
      <c r="H522" s="919"/>
      <c r="I522" s="922">
        <v>1550</v>
      </c>
      <c r="J522" s="907"/>
      <c r="K522" s="906"/>
      <c r="L522" s="921" t="str">
        <f t="shared" si="25"/>
        <v/>
      </c>
      <c r="M522" s="155" t="str">
        <f t="shared" si="26"/>
        <v/>
      </c>
      <c r="AA522" s="150"/>
      <c r="AB522" s="150"/>
      <c r="AC522" s="150"/>
      <c r="AD522" s="150"/>
      <c r="AE522" s="150"/>
      <c r="AF522" s="150"/>
      <c r="AJ522" s="338"/>
    </row>
    <row r="523" spans="2:36" s="113" customFormat="1" x14ac:dyDescent="0.4">
      <c r="B523" s="80"/>
      <c r="C523" s="563">
        <v>110</v>
      </c>
      <c r="D523" s="907"/>
      <c r="E523" s="906"/>
      <c r="F523" s="921" t="str">
        <f t="shared" si="24"/>
        <v/>
      </c>
      <c r="G523" s="882" t="str">
        <f t="shared" si="27"/>
        <v/>
      </c>
      <c r="H523" s="919"/>
      <c r="I523" s="922">
        <v>1551</v>
      </c>
      <c r="J523" s="907"/>
      <c r="K523" s="906"/>
      <c r="L523" s="921" t="str">
        <f t="shared" si="25"/>
        <v/>
      </c>
      <c r="M523" s="155" t="str">
        <f t="shared" si="26"/>
        <v/>
      </c>
      <c r="AA523" s="150"/>
      <c r="AB523" s="150"/>
      <c r="AC523" s="150"/>
      <c r="AD523" s="150"/>
      <c r="AE523" s="150"/>
      <c r="AF523" s="150"/>
      <c r="AJ523" s="338"/>
    </row>
    <row r="524" spans="2:36" s="113" customFormat="1" x14ac:dyDescent="0.4">
      <c r="B524" s="80"/>
      <c r="C524" s="563">
        <v>111</v>
      </c>
      <c r="D524" s="907"/>
      <c r="E524" s="906"/>
      <c r="F524" s="921" t="str">
        <f t="shared" si="24"/>
        <v/>
      </c>
      <c r="G524" s="882" t="str">
        <f t="shared" si="27"/>
        <v/>
      </c>
      <c r="H524" s="919"/>
      <c r="I524" s="922">
        <v>1552</v>
      </c>
      <c r="J524" s="907"/>
      <c r="K524" s="906"/>
      <c r="L524" s="921" t="str">
        <f t="shared" si="25"/>
        <v/>
      </c>
      <c r="M524" s="155" t="str">
        <f t="shared" si="26"/>
        <v/>
      </c>
      <c r="AA524" s="150"/>
      <c r="AB524" s="150"/>
      <c r="AC524" s="150"/>
      <c r="AD524" s="150"/>
      <c r="AE524" s="150"/>
      <c r="AF524" s="150"/>
      <c r="AJ524" s="338"/>
    </row>
    <row r="525" spans="2:36" s="113" customFormat="1" x14ac:dyDescent="0.4">
      <c r="B525" s="80"/>
      <c r="C525" s="563">
        <v>112</v>
      </c>
      <c r="D525" s="907"/>
      <c r="E525" s="906"/>
      <c r="F525" s="921" t="str">
        <f t="shared" si="24"/>
        <v/>
      </c>
      <c r="G525" s="882" t="str">
        <f t="shared" si="27"/>
        <v/>
      </c>
      <c r="H525" s="919"/>
      <c r="I525" s="922">
        <v>1553</v>
      </c>
      <c r="J525" s="907"/>
      <c r="K525" s="906"/>
      <c r="L525" s="921" t="str">
        <f t="shared" si="25"/>
        <v/>
      </c>
      <c r="M525" s="155" t="str">
        <f t="shared" si="26"/>
        <v/>
      </c>
      <c r="AA525" s="150"/>
      <c r="AB525" s="150"/>
      <c r="AC525" s="150"/>
      <c r="AD525" s="150"/>
      <c r="AE525" s="150"/>
      <c r="AF525" s="150"/>
      <c r="AJ525" s="338"/>
    </row>
    <row r="526" spans="2:36" s="113" customFormat="1" x14ac:dyDescent="0.4">
      <c r="B526" s="80"/>
      <c r="C526" s="563">
        <v>113</v>
      </c>
      <c r="D526" s="907"/>
      <c r="E526" s="906"/>
      <c r="F526" s="921" t="str">
        <f t="shared" si="24"/>
        <v/>
      </c>
      <c r="G526" s="882" t="str">
        <f t="shared" si="27"/>
        <v/>
      </c>
      <c r="H526" s="919"/>
      <c r="I526" s="922">
        <v>1554</v>
      </c>
      <c r="J526" s="907"/>
      <c r="K526" s="906"/>
      <c r="L526" s="921" t="str">
        <f t="shared" si="25"/>
        <v/>
      </c>
      <c r="M526" s="155" t="str">
        <f t="shared" si="26"/>
        <v/>
      </c>
      <c r="AA526" s="150"/>
      <c r="AB526" s="150"/>
      <c r="AC526" s="150"/>
      <c r="AD526" s="150"/>
      <c r="AE526" s="150"/>
      <c r="AF526" s="150"/>
      <c r="AJ526" s="338"/>
    </row>
    <row r="527" spans="2:36" s="113" customFormat="1" x14ac:dyDescent="0.4">
      <c r="B527" s="80"/>
      <c r="C527" s="563">
        <v>114</v>
      </c>
      <c r="D527" s="907"/>
      <c r="E527" s="906"/>
      <c r="F527" s="921" t="str">
        <f t="shared" si="24"/>
        <v/>
      </c>
      <c r="G527" s="882" t="str">
        <f t="shared" si="27"/>
        <v/>
      </c>
      <c r="H527" s="919"/>
      <c r="I527" s="922">
        <v>1555</v>
      </c>
      <c r="J527" s="907"/>
      <c r="K527" s="906"/>
      <c r="L527" s="921" t="str">
        <f t="shared" si="25"/>
        <v/>
      </c>
      <c r="M527" s="155" t="str">
        <f t="shared" si="26"/>
        <v/>
      </c>
      <c r="AA527" s="150"/>
      <c r="AB527" s="150"/>
      <c r="AC527" s="150"/>
      <c r="AD527" s="150"/>
      <c r="AE527" s="150"/>
      <c r="AF527" s="150"/>
      <c r="AJ527" s="338"/>
    </row>
    <row r="528" spans="2:36" s="113" customFormat="1" x14ac:dyDescent="0.4">
      <c r="B528" s="80"/>
      <c r="C528" s="563">
        <v>115</v>
      </c>
      <c r="D528" s="907"/>
      <c r="E528" s="906"/>
      <c r="F528" s="921" t="str">
        <f t="shared" si="24"/>
        <v/>
      </c>
      <c r="G528" s="882" t="str">
        <f t="shared" si="27"/>
        <v/>
      </c>
      <c r="H528" s="919"/>
      <c r="I528" s="922">
        <v>1556</v>
      </c>
      <c r="J528" s="907"/>
      <c r="K528" s="906"/>
      <c r="L528" s="921" t="str">
        <f t="shared" si="25"/>
        <v/>
      </c>
      <c r="M528" s="155" t="str">
        <f t="shared" si="26"/>
        <v/>
      </c>
      <c r="AA528" s="150"/>
      <c r="AB528" s="150"/>
      <c r="AC528" s="150"/>
      <c r="AD528" s="150"/>
      <c r="AE528" s="150"/>
      <c r="AF528" s="150"/>
      <c r="AJ528" s="338"/>
    </row>
    <row r="529" spans="2:36" s="113" customFormat="1" x14ac:dyDescent="0.4">
      <c r="B529" s="80"/>
      <c r="C529" s="563">
        <v>116</v>
      </c>
      <c r="D529" s="907"/>
      <c r="E529" s="906"/>
      <c r="F529" s="921" t="str">
        <f t="shared" si="24"/>
        <v/>
      </c>
      <c r="G529" s="882" t="str">
        <f t="shared" si="27"/>
        <v/>
      </c>
      <c r="H529" s="919"/>
      <c r="I529" s="922">
        <v>1557</v>
      </c>
      <c r="J529" s="907"/>
      <c r="K529" s="906"/>
      <c r="L529" s="921" t="str">
        <f t="shared" si="25"/>
        <v/>
      </c>
      <c r="M529" s="155" t="str">
        <f t="shared" si="26"/>
        <v/>
      </c>
      <c r="AA529" s="150"/>
      <c r="AB529" s="150"/>
      <c r="AC529" s="150"/>
      <c r="AD529" s="150"/>
      <c r="AE529" s="150"/>
      <c r="AF529" s="150"/>
      <c r="AJ529" s="338"/>
    </row>
    <row r="530" spans="2:36" s="113" customFormat="1" x14ac:dyDescent="0.4">
      <c r="B530" s="80"/>
      <c r="C530" s="563">
        <v>117</v>
      </c>
      <c r="D530" s="907"/>
      <c r="E530" s="906"/>
      <c r="F530" s="921" t="str">
        <f t="shared" si="24"/>
        <v/>
      </c>
      <c r="G530" s="882" t="str">
        <f t="shared" si="27"/>
        <v/>
      </c>
      <c r="H530" s="919"/>
      <c r="I530" s="922">
        <v>1558</v>
      </c>
      <c r="J530" s="907"/>
      <c r="K530" s="906"/>
      <c r="L530" s="921" t="str">
        <f t="shared" si="25"/>
        <v/>
      </c>
      <c r="M530" s="155" t="str">
        <f t="shared" si="26"/>
        <v/>
      </c>
      <c r="AA530" s="150"/>
      <c r="AB530" s="150"/>
      <c r="AC530" s="150"/>
      <c r="AD530" s="150"/>
      <c r="AE530" s="150"/>
      <c r="AF530" s="150"/>
      <c r="AJ530" s="338"/>
    </row>
    <row r="531" spans="2:36" s="113" customFormat="1" x14ac:dyDescent="0.4">
      <c r="B531" s="80"/>
      <c r="C531" s="563">
        <v>118</v>
      </c>
      <c r="D531" s="907"/>
      <c r="E531" s="906"/>
      <c r="F531" s="921" t="str">
        <f t="shared" si="24"/>
        <v/>
      </c>
      <c r="G531" s="882" t="str">
        <f t="shared" si="27"/>
        <v/>
      </c>
      <c r="H531" s="919"/>
      <c r="I531" s="922">
        <v>1559</v>
      </c>
      <c r="J531" s="907"/>
      <c r="K531" s="906"/>
      <c r="L531" s="921" t="str">
        <f t="shared" si="25"/>
        <v/>
      </c>
      <c r="M531" s="155" t="str">
        <f t="shared" si="26"/>
        <v/>
      </c>
      <c r="AA531" s="150"/>
      <c r="AB531" s="150"/>
      <c r="AC531" s="150"/>
      <c r="AD531" s="150"/>
      <c r="AE531" s="150"/>
      <c r="AF531" s="150"/>
      <c r="AJ531" s="338"/>
    </row>
    <row r="532" spans="2:36" s="113" customFormat="1" x14ac:dyDescent="0.4">
      <c r="B532" s="80"/>
      <c r="C532" s="563">
        <v>119</v>
      </c>
      <c r="D532" s="907"/>
      <c r="E532" s="906"/>
      <c r="F532" s="921" t="str">
        <f t="shared" si="24"/>
        <v/>
      </c>
      <c r="G532" s="882" t="str">
        <f t="shared" si="27"/>
        <v/>
      </c>
      <c r="H532" s="919"/>
      <c r="I532" s="922">
        <v>1560</v>
      </c>
      <c r="J532" s="907"/>
      <c r="K532" s="906"/>
      <c r="L532" s="921" t="str">
        <f t="shared" si="25"/>
        <v/>
      </c>
      <c r="M532" s="155" t="str">
        <f t="shared" si="26"/>
        <v/>
      </c>
      <c r="AA532" s="150"/>
      <c r="AB532" s="150"/>
      <c r="AC532" s="150"/>
      <c r="AD532" s="150"/>
      <c r="AE532" s="150"/>
      <c r="AF532" s="150"/>
      <c r="AJ532" s="338"/>
    </row>
    <row r="533" spans="2:36" s="113" customFormat="1" x14ac:dyDescent="0.4">
      <c r="B533" s="80"/>
      <c r="C533" s="563">
        <v>120</v>
      </c>
      <c r="D533" s="907"/>
      <c r="E533" s="906"/>
      <c r="F533" s="921" t="str">
        <f t="shared" si="24"/>
        <v/>
      </c>
      <c r="G533" s="882" t="str">
        <f t="shared" si="27"/>
        <v/>
      </c>
      <c r="H533" s="919"/>
      <c r="I533" s="922">
        <v>1561</v>
      </c>
      <c r="J533" s="907"/>
      <c r="K533" s="906"/>
      <c r="L533" s="921" t="str">
        <f t="shared" si="25"/>
        <v/>
      </c>
      <c r="M533" s="155" t="str">
        <f t="shared" si="26"/>
        <v/>
      </c>
      <c r="AA533" s="150"/>
      <c r="AB533" s="150"/>
      <c r="AC533" s="150"/>
      <c r="AD533" s="150"/>
      <c r="AE533" s="150"/>
      <c r="AF533" s="150"/>
      <c r="AJ533" s="338"/>
    </row>
    <row r="534" spans="2:36" s="113" customFormat="1" x14ac:dyDescent="0.4">
      <c r="B534" s="80"/>
      <c r="C534" s="563">
        <v>121</v>
      </c>
      <c r="D534" s="907"/>
      <c r="E534" s="906"/>
      <c r="F534" s="921" t="str">
        <f t="shared" si="24"/>
        <v/>
      </c>
      <c r="G534" s="882" t="str">
        <f t="shared" si="27"/>
        <v/>
      </c>
      <c r="H534" s="919"/>
      <c r="I534" s="922">
        <v>1562</v>
      </c>
      <c r="J534" s="907"/>
      <c r="K534" s="906"/>
      <c r="L534" s="921" t="str">
        <f t="shared" si="25"/>
        <v/>
      </c>
      <c r="M534" s="155" t="str">
        <f t="shared" si="26"/>
        <v/>
      </c>
      <c r="AA534" s="150"/>
      <c r="AB534" s="150"/>
      <c r="AC534" s="150"/>
      <c r="AD534" s="150"/>
      <c r="AE534" s="150"/>
      <c r="AF534" s="150"/>
      <c r="AJ534" s="338"/>
    </row>
    <row r="535" spans="2:36" s="113" customFormat="1" x14ac:dyDescent="0.4">
      <c r="B535" s="80"/>
      <c r="C535" s="563">
        <v>122</v>
      </c>
      <c r="D535" s="907"/>
      <c r="E535" s="906"/>
      <c r="F535" s="921" t="str">
        <f t="shared" si="24"/>
        <v/>
      </c>
      <c r="G535" s="882" t="str">
        <f t="shared" si="27"/>
        <v/>
      </c>
      <c r="H535" s="919"/>
      <c r="I535" s="922">
        <v>1563</v>
      </c>
      <c r="J535" s="907"/>
      <c r="K535" s="906"/>
      <c r="L535" s="921" t="str">
        <f t="shared" si="25"/>
        <v/>
      </c>
      <c r="M535" s="155" t="str">
        <f t="shared" si="26"/>
        <v/>
      </c>
      <c r="AA535" s="150"/>
      <c r="AB535" s="150"/>
      <c r="AC535" s="150"/>
      <c r="AD535" s="150"/>
      <c r="AE535" s="150"/>
      <c r="AF535" s="150"/>
      <c r="AJ535" s="338"/>
    </row>
    <row r="536" spans="2:36" s="113" customFormat="1" x14ac:dyDescent="0.4">
      <c r="B536" s="80"/>
      <c r="C536" s="563">
        <v>123</v>
      </c>
      <c r="D536" s="907"/>
      <c r="E536" s="906"/>
      <c r="F536" s="921" t="str">
        <f t="shared" si="24"/>
        <v/>
      </c>
      <c r="G536" s="882" t="str">
        <f t="shared" si="27"/>
        <v/>
      </c>
      <c r="H536" s="919"/>
      <c r="I536" s="922">
        <v>1564</v>
      </c>
      <c r="J536" s="907"/>
      <c r="K536" s="906"/>
      <c r="L536" s="921" t="str">
        <f t="shared" si="25"/>
        <v/>
      </c>
      <c r="M536" s="155" t="str">
        <f t="shared" si="26"/>
        <v/>
      </c>
      <c r="AA536" s="150"/>
      <c r="AB536" s="150"/>
      <c r="AC536" s="150"/>
      <c r="AD536" s="150"/>
      <c r="AE536" s="150"/>
      <c r="AF536" s="150"/>
      <c r="AJ536" s="338"/>
    </row>
    <row r="537" spans="2:36" s="113" customFormat="1" x14ac:dyDescent="0.4">
      <c r="B537" s="80"/>
      <c r="C537" s="563">
        <v>124</v>
      </c>
      <c r="D537" s="907"/>
      <c r="E537" s="906"/>
      <c r="F537" s="921" t="str">
        <f t="shared" si="24"/>
        <v/>
      </c>
      <c r="G537" s="882" t="str">
        <f t="shared" si="27"/>
        <v/>
      </c>
      <c r="H537" s="919"/>
      <c r="I537" s="922">
        <v>1565</v>
      </c>
      <c r="J537" s="907"/>
      <c r="K537" s="906"/>
      <c r="L537" s="921" t="str">
        <f t="shared" si="25"/>
        <v/>
      </c>
      <c r="M537" s="155" t="str">
        <f t="shared" si="26"/>
        <v/>
      </c>
      <c r="AA537" s="150"/>
      <c r="AB537" s="150"/>
      <c r="AC537" s="150"/>
      <c r="AD537" s="150"/>
      <c r="AE537" s="150"/>
      <c r="AF537" s="150"/>
      <c r="AJ537" s="338"/>
    </row>
    <row r="538" spans="2:36" s="113" customFormat="1" x14ac:dyDescent="0.4">
      <c r="B538" s="80"/>
      <c r="C538" s="563">
        <v>125</v>
      </c>
      <c r="D538" s="907"/>
      <c r="E538" s="906"/>
      <c r="F538" s="921" t="str">
        <f t="shared" si="24"/>
        <v/>
      </c>
      <c r="G538" s="882" t="str">
        <f t="shared" si="27"/>
        <v/>
      </c>
      <c r="H538" s="919"/>
      <c r="I538" s="922">
        <v>1566</v>
      </c>
      <c r="J538" s="907"/>
      <c r="K538" s="906"/>
      <c r="L538" s="921" t="str">
        <f t="shared" si="25"/>
        <v/>
      </c>
      <c r="M538" s="155" t="str">
        <f t="shared" si="26"/>
        <v/>
      </c>
      <c r="AA538" s="150"/>
      <c r="AB538" s="150"/>
      <c r="AC538" s="150"/>
      <c r="AD538" s="150"/>
      <c r="AE538" s="150"/>
      <c r="AF538" s="150"/>
      <c r="AJ538" s="338"/>
    </row>
    <row r="539" spans="2:36" s="113" customFormat="1" x14ac:dyDescent="0.4">
      <c r="B539" s="80"/>
      <c r="C539" s="563">
        <v>126</v>
      </c>
      <c r="D539" s="907"/>
      <c r="E539" s="906"/>
      <c r="F539" s="921" t="str">
        <f t="shared" si="24"/>
        <v/>
      </c>
      <c r="G539" s="882" t="str">
        <f t="shared" si="27"/>
        <v/>
      </c>
      <c r="H539" s="919"/>
      <c r="I539" s="922">
        <v>1567</v>
      </c>
      <c r="J539" s="907"/>
      <c r="K539" s="906"/>
      <c r="L539" s="921" t="str">
        <f t="shared" si="25"/>
        <v/>
      </c>
      <c r="M539" s="155" t="str">
        <f t="shared" si="26"/>
        <v/>
      </c>
      <c r="AA539" s="150"/>
      <c r="AB539" s="150"/>
      <c r="AC539" s="150"/>
      <c r="AD539" s="150"/>
      <c r="AE539" s="150"/>
      <c r="AF539" s="150"/>
      <c r="AJ539" s="338"/>
    </row>
    <row r="540" spans="2:36" s="113" customFormat="1" x14ac:dyDescent="0.4">
      <c r="B540" s="80"/>
      <c r="C540" s="563">
        <v>127</v>
      </c>
      <c r="D540" s="907"/>
      <c r="E540" s="906"/>
      <c r="F540" s="921" t="str">
        <f t="shared" si="24"/>
        <v/>
      </c>
      <c r="G540" s="882" t="str">
        <f t="shared" si="27"/>
        <v/>
      </c>
      <c r="H540" s="919"/>
      <c r="I540" s="922">
        <v>1568</v>
      </c>
      <c r="J540" s="907"/>
      <c r="K540" s="906"/>
      <c r="L540" s="921" t="str">
        <f t="shared" si="25"/>
        <v/>
      </c>
      <c r="M540" s="155" t="str">
        <f t="shared" si="26"/>
        <v/>
      </c>
      <c r="AA540" s="150"/>
      <c r="AB540" s="150"/>
      <c r="AC540" s="150"/>
      <c r="AD540" s="150"/>
      <c r="AE540" s="150"/>
      <c r="AF540" s="150"/>
      <c r="AJ540" s="338"/>
    </row>
    <row r="541" spans="2:36" s="113" customFormat="1" x14ac:dyDescent="0.4">
      <c r="B541" s="80"/>
      <c r="C541" s="563">
        <v>128</v>
      </c>
      <c r="D541" s="907"/>
      <c r="E541" s="906"/>
      <c r="F541" s="921" t="str">
        <f t="shared" si="24"/>
        <v/>
      </c>
      <c r="G541" s="882" t="str">
        <f t="shared" si="27"/>
        <v/>
      </c>
      <c r="H541" s="919"/>
      <c r="I541" s="922">
        <v>1569</v>
      </c>
      <c r="J541" s="907"/>
      <c r="K541" s="906"/>
      <c r="L541" s="921" t="str">
        <f t="shared" si="25"/>
        <v/>
      </c>
      <c r="M541" s="155" t="str">
        <f t="shared" si="26"/>
        <v/>
      </c>
      <c r="AA541" s="150"/>
      <c r="AB541" s="150"/>
      <c r="AC541" s="150"/>
      <c r="AD541" s="150"/>
      <c r="AE541" s="150"/>
      <c r="AF541" s="150"/>
      <c r="AJ541" s="338"/>
    </row>
    <row r="542" spans="2:36" s="113" customFormat="1" x14ac:dyDescent="0.4">
      <c r="B542" s="80"/>
      <c r="C542" s="563">
        <v>129</v>
      </c>
      <c r="D542" s="907"/>
      <c r="E542" s="906"/>
      <c r="F542" s="921" t="str">
        <f t="shared" ref="F542:F605" si="28">IF($D$30="","",IF(OR(
AND(C542&gt;=0,C542&lt;=$D$32),
AND(C542&gt;=$E$30,C542&lt;=$E$32),
AND(C542&gt;=$F$30,C542&lt;=$F$32),
AND(C542&gt;=$G$30,C542&lt;=$G$32),
AND(C542&gt;=$H$30,C542&lt;=$H$32),
AND(C542&gt;=$I$30,C542&lt;=$I$32),
AND(C542&gt;=$J$30,C542&lt;=$J$32),
AND(C542&gt;=$K$30,C542&lt;=$K$32),
AND(C542&gt;=$L$30,C542&lt;=$L$32),
AND(C542&gt;=$M$30,C542&lt;=$M$32,$M$32&lt;&gt;""),
AND(C542&gt;=$N$30,C542&lt;=$N$32,$N$32&lt;&gt;""),
AND(C542&gt;=$O$30,C542&lt;=$O$32,$O$32&lt;&gt;""),
AND(C542&gt;=$P$30,C542&lt;=$P$32,$P$32&lt;&gt;""),
AND(C542&gt;=$Q$30,C542&lt;=$Q$32,$Q$32&lt;&gt;"")
),"ON","OFF"))</f>
        <v/>
      </c>
      <c r="G542" s="882" t="str">
        <f t="shared" si="27"/>
        <v/>
      </c>
      <c r="H542" s="919"/>
      <c r="I542" s="922">
        <v>1570</v>
      </c>
      <c r="J542" s="907"/>
      <c r="K542" s="906"/>
      <c r="L542" s="921" t="str">
        <f t="shared" ref="L542:L605" si="29">IF($D$30="","",IF(OR(
AND(I542&gt;=0,I542&lt;=$D$32),
AND(I542&gt;=$E$30,I542&lt;=$E$32),
AND(I542&gt;=$F$30,I542&lt;=$F$32),
AND(I542&gt;=$G$30,I542&lt;=$G$32),
AND(I542&gt;=$H$30,I542&lt;=$H$32),
AND(I542&gt;=$I$30,I542&lt;=$I$32),
AND(I542&gt;=$J$30,I542&lt;=$J$32),
AND(I542&gt;=$K$30,I542&lt;=$K$32),
AND(I542&gt;=$L$30,I542&lt;=$L$32),
AND(I542&gt;=$M$30,I542&lt;=$M$32,$M$32&lt;&gt;""),
AND(I542&gt;=$N$30,I542&lt;=$N$32,$N$32&lt;&gt;""),
AND(I542&gt;=$O$30,I542&lt;=$O$32,$O$32&lt;&gt;""),
AND(I542&gt;=$P$30,I542&lt;=$P$32,$P$32&lt;&gt;""),
AND(I542&gt;=$Q$30,I542&lt;=$Q$32,$Q$32&lt;&gt;"")
),"ON","OFF"))</f>
        <v/>
      </c>
      <c r="M542" s="155" t="str">
        <f t="shared" ref="M542:M605" si="30">IF(OR($D$47="",$D$48=""),"",IF(OR(
AND(I542&gt;=$D$47,I542&lt;=$D$48),
AND(I542&gt;=$E$47,I542&lt;=$E$48),
AND(I542&gt;=$F$47,I542&lt;=$F$48),
AND(I542&gt;=$G$47,I542&lt;=$G$48),
AND(I542&gt;=$H$47,I542&lt;=$H$48),
AND(I542&gt;=$I$47,I542&lt;=$I$48),
AND(I542&gt;=$J$47,I542&lt;=$J$48),
AND(I542&gt;=$K$47,I542&lt;=$K$48),
AND(I542&gt;=$L$47,I542&lt;=$L$48),
AND(I542&gt;=$M$47,I542&lt;=$M$48),
AND(I542&gt;=$N$47,I542&lt;=$N$48),
AND(I542&gt;=$O$47,I542&lt;=$O$48),
AND(I542&gt;=$P$47,I542&lt;=$P$48),
AND(I542&gt;=$Q$47,I542&lt;=$Q$48),
AND(I542&gt;=$R$47,I542&lt;=$R$48),
AND(I542&gt;=$S$47,I542&lt;=$S$48),
AND(I542&gt;=$T$47,I542&lt;=$T$48),
AND(I542&gt;=$U$47,I542&lt;=$U$48),
AND(I542&gt;=$V$47,I542&lt;=$V$48),
AND(I542&gt;=$W$47,I542&lt;=$W$48),
AND(I542&gt;=$X$47,I542&lt;=$X$48),
AND(I542&gt;=$Y$47,I542&lt;=$Y$48),
AND(I542&gt;=$Z$47,I542&lt;=$Z$48),
AND(I542&gt;=$AA$47,I542&lt;=$AA$48),
AND(I542&gt;=$AB$47,I542&lt;=$AB$48),
AND(I542&gt;=$AC$47,I542&lt;=$AC$48),
AND(I542&gt;=$AD$47,I542&lt;=$AD$48),
AND(I542&gt;=$AE$47,I542&lt;=$AE$48),
AND(I542&gt;=$AF$47,I542&lt;=$AF$48),
AND(I542&gt;=$AG$47,I542&lt;=$AG$48)
),"ON","OFF"))</f>
        <v/>
      </c>
      <c r="AA542" s="150"/>
      <c r="AB542" s="150"/>
      <c r="AC542" s="150"/>
      <c r="AD542" s="150"/>
      <c r="AE542" s="150"/>
      <c r="AF542" s="150"/>
      <c r="AJ542" s="338"/>
    </row>
    <row r="543" spans="2:36" s="113" customFormat="1" x14ac:dyDescent="0.4">
      <c r="B543" s="80"/>
      <c r="C543" s="563">
        <v>130</v>
      </c>
      <c r="D543" s="907"/>
      <c r="E543" s="906"/>
      <c r="F543" s="921" t="str">
        <f t="shared" si="28"/>
        <v/>
      </c>
      <c r="G543" s="882" t="str">
        <f t="shared" ref="G543:G606" si="31">IF(OR($D$47="",$D$48=""),"",IF(OR(
AND(C543&gt;=$D$47,C543&lt;=$D$48),
AND(C543&gt;=$E$47,C543&lt;=$E$48),
AND(C543&gt;=$F$47,C543&lt;=$F$48),
AND(C543&gt;=$G$47,C543&lt;=$G$48),
AND(C543&gt;=$H$47,C543&lt;=$H$48),
AND(C543&gt;=$I$47,C543&lt;=$I$48),
AND(C543&gt;=$J$47,C543&lt;=$J$48),
AND(C543&gt;=$K$47,C543&lt;=$K$48),
AND(C543&gt;=$L$47,C543&lt;=$L$48),
AND(C543&gt;=$M$47,C543&lt;=$M$48),
AND(C543&gt;=$N$47,C543&lt;=$N$48),
AND(C543&gt;=$O$47,C543&lt;=$O$48),
AND(C543&gt;=$P$47,C543&lt;=$P$48),
AND(C543&gt;=$Q$47,C543&lt;=$Q$48),
AND(C543&gt;=$R$47,C543&lt;=$R$48),
AND(C543&gt;=$S$47,C543&lt;=$S$48),
AND(C543&gt;=$T$47,C543&lt;=$T$48),
AND(C543&gt;=$U$47,C543&lt;=$U$48),
AND(C543&gt;=$V$47,C543&lt;=$V$48),
AND(C543&gt;=$W$47,C543&lt;=$W$48),
AND(C543&gt;=$X$47,C543&lt;=$X$48),
AND(C543&gt;=$Y$47,C543&lt;=$Y$48),
AND(C543&gt;=$Z$47,C543&lt;=$Z$48),
AND(C543&gt;=$AA$47,C543&lt;=$AA$48),
AND(C543&gt;=$AB$47,C543&lt;=$AB$48),
AND(C543&gt;=$AC$47,C543&lt;=$AC$48),
AND(C543&gt;=$AD$47,C543&lt;=$AD$48),
AND(C543&gt;=$AE$47,C543&lt;=$AE$48),
AND(C543&gt;=$AF$47,C543&lt;=$AF$48),
AND(C543&gt;=$AG$47,C543&lt;=$AG$48)
),"ON","OFF"))</f>
        <v/>
      </c>
      <c r="H543" s="919"/>
      <c r="I543" s="922">
        <v>1571</v>
      </c>
      <c r="J543" s="907"/>
      <c r="K543" s="906"/>
      <c r="L543" s="921" t="str">
        <f t="shared" si="29"/>
        <v/>
      </c>
      <c r="M543" s="155" t="str">
        <f t="shared" si="30"/>
        <v/>
      </c>
      <c r="AA543" s="150"/>
      <c r="AB543" s="150"/>
      <c r="AC543" s="150"/>
      <c r="AD543" s="150"/>
      <c r="AE543" s="150"/>
      <c r="AF543" s="150"/>
      <c r="AJ543" s="338"/>
    </row>
    <row r="544" spans="2:36" s="113" customFormat="1" x14ac:dyDescent="0.4">
      <c r="B544" s="80"/>
      <c r="C544" s="563">
        <v>131</v>
      </c>
      <c r="D544" s="907"/>
      <c r="E544" s="906"/>
      <c r="F544" s="921" t="str">
        <f t="shared" si="28"/>
        <v/>
      </c>
      <c r="G544" s="882" t="str">
        <f t="shared" si="31"/>
        <v/>
      </c>
      <c r="H544" s="919"/>
      <c r="I544" s="922">
        <v>1572</v>
      </c>
      <c r="J544" s="907"/>
      <c r="K544" s="906"/>
      <c r="L544" s="921" t="str">
        <f t="shared" si="29"/>
        <v/>
      </c>
      <c r="M544" s="155" t="str">
        <f t="shared" si="30"/>
        <v/>
      </c>
      <c r="AA544" s="150"/>
      <c r="AB544" s="150"/>
      <c r="AC544" s="150"/>
      <c r="AD544" s="150"/>
      <c r="AE544" s="150"/>
      <c r="AF544" s="150"/>
      <c r="AJ544" s="338"/>
    </row>
    <row r="545" spans="2:36" s="113" customFormat="1" x14ac:dyDescent="0.4">
      <c r="B545" s="80"/>
      <c r="C545" s="563">
        <v>132</v>
      </c>
      <c r="D545" s="907"/>
      <c r="E545" s="906"/>
      <c r="F545" s="921" t="str">
        <f t="shared" si="28"/>
        <v/>
      </c>
      <c r="G545" s="882" t="str">
        <f t="shared" si="31"/>
        <v/>
      </c>
      <c r="H545" s="919"/>
      <c r="I545" s="922">
        <v>1573</v>
      </c>
      <c r="J545" s="907"/>
      <c r="K545" s="906"/>
      <c r="L545" s="921" t="str">
        <f t="shared" si="29"/>
        <v/>
      </c>
      <c r="M545" s="155" t="str">
        <f t="shared" si="30"/>
        <v/>
      </c>
      <c r="AA545" s="150"/>
      <c r="AB545" s="150"/>
      <c r="AC545" s="150"/>
      <c r="AD545" s="150"/>
      <c r="AE545" s="150"/>
      <c r="AF545" s="150"/>
      <c r="AJ545" s="338"/>
    </row>
    <row r="546" spans="2:36" s="113" customFormat="1" x14ac:dyDescent="0.4">
      <c r="B546" s="80"/>
      <c r="C546" s="563">
        <v>133</v>
      </c>
      <c r="D546" s="907"/>
      <c r="E546" s="906"/>
      <c r="F546" s="921" t="str">
        <f t="shared" si="28"/>
        <v/>
      </c>
      <c r="G546" s="882" t="str">
        <f t="shared" si="31"/>
        <v/>
      </c>
      <c r="H546" s="919"/>
      <c r="I546" s="922">
        <v>1574</v>
      </c>
      <c r="J546" s="907"/>
      <c r="K546" s="906"/>
      <c r="L546" s="921" t="str">
        <f t="shared" si="29"/>
        <v/>
      </c>
      <c r="M546" s="155" t="str">
        <f t="shared" si="30"/>
        <v/>
      </c>
      <c r="AA546" s="150"/>
      <c r="AB546" s="150"/>
      <c r="AC546" s="150"/>
      <c r="AD546" s="150"/>
      <c r="AE546" s="150"/>
      <c r="AF546" s="150"/>
      <c r="AJ546" s="338"/>
    </row>
    <row r="547" spans="2:36" s="113" customFormat="1" x14ac:dyDescent="0.4">
      <c r="B547" s="80"/>
      <c r="C547" s="563">
        <v>134</v>
      </c>
      <c r="D547" s="907"/>
      <c r="E547" s="906"/>
      <c r="F547" s="921" t="str">
        <f t="shared" si="28"/>
        <v/>
      </c>
      <c r="G547" s="882" t="str">
        <f t="shared" si="31"/>
        <v/>
      </c>
      <c r="H547" s="919"/>
      <c r="I547" s="922">
        <v>1575</v>
      </c>
      <c r="J547" s="907"/>
      <c r="K547" s="906"/>
      <c r="L547" s="921" t="str">
        <f t="shared" si="29"/>
        <v/>
      </c>
      <c r="M547" s="155" t="str">
        <f t="shared" si="30"/>
        <v/>
      </c>
      <c r="AA547" s="150"/>
      <c r="AB547" s="150"/>
      <c r="AC547" s="150"/>
      <c r="AD547" s="150"/>
      <c r="AE547" s="150"/>
      <c r="AF547" s="150"/>
      <c r="AJ547" s="338"/>
    </row>
    <row r="548" spans="2:36" s="113" customFormat="1" x14ac:dyDescent="0.4">
      <c r="B548" s="80"/>
      <c r="C548" s="563">
        <v>135</v>
      </c>
      <c r="D548" s="907"/>
      <c r="E548" s="906"/>
      <c r="F548" s="921" t="str">
        <f t="shared" si="28"/>
        <v/>
      </c>
      <c r="G548" s="882" t="str">
        <f t="shared" si="31"/>
        <v/>
      </c>
      <c r="H548" s="919"/>
      <c r="I548" s="922">
        <v>1576</v>
      </c>
      <c r="J548" s="907"/>
      <c r="K548" s="906"/>
      <c r="L548" s="921" t="str">
        <f t="shared" si="29"/>
        <v/>
      </c>
      <c r="M548" s="155" t="str">
        <f t="shared" si="30"/>
        <v/>
      </c>
      <c r="AA548" s="150"/>
      <c r="AB548" s="150"/>
      <c r="AC548" s="150"/>
      <c r="AD548" s="150"/>
      <c r="AE548" s="150"/>
      <c r="AF548" s="150"/>
      <c r="AJ548" s="338"/>
    </row>
    <row r="549" spans="2:36" s="113" customFormat="1" x14ac:dyDescent="0.4">
      <c r="B549" s="80"/>
      <c r="C549" s="563">
        <v>136</v>
      </c>
      <c r="D549" s="907"/>
      <c r="E549" s="906"/>
      <c r="F549" s="921" t="str">
        <f t="shared" si="28"/>
        <v/>
      </c>
      <c r="G549" s="882" t="str">
        <f t="shared" si="31"/>
        <v/>
      </c>
      <c r="H549" s="919"/>
      <c r="I549" s="922">
        <v>1577</v>
      </c>
      <c r="J549" s="907"/>
      <c r="K549" s="906"/>
      <c r="L549" s="921" t="str">
        <f t="shared" si="29"/>
        <v/>
      </c>
      <c r="M549" s="155" t="str">
        <f t="shared" si="30"/>
        <v/>
      </c>
      <c r="AA549" s="150"/>
      <c r="AB549" s="150"/>
      <c r="AC549" s="150"/>
      <c r="AD549" s="150"/>
      <c r="AE549" s="150"/>
      <c r="AF549" s="150"/>
      <c r="AJ549" s="338"/>
    </row>
    <row r="550" spans="2:36" s="113" customFormat="1" x14ac:dyDescent="0.4">
      <c r="B550" s="80"/>
      <c r="C550" s="563">
        <v>137</v>
      </c>
      <c r="D550" s="907"/>
      <c r="E550" s="906"/>
      <c r="F550" s="921" t="str">
        <f t="shared" si="28"/>
        <v/>
      </c>
      <c r="G550" s="882" t="str">
        <f t="shared" si="31"/>
        <v/>
      </c>
      <c r="H550" s="919"/>
      <c r="I550" s="922">
        <v>1578</v>
      </c>
      <c r="J550" s="907"/>
      <c r="K550" s="906"/>
      <c r="L550" s="921" t="str">
        <f t="shared" si="29"/>
        <v/>
      </c>
      <c r="M550" s="155" t="str">
        <f t="shared" si="30"/>
        <v/>
      </c>
      <c r="AA550" s="150"/>
      <c r="AB550" s="150"/>
      <c r="AC550" s="150"/>
      <c r="AD550" s="150"/>
      <c r="AE550" s="150"/>
      <c r="AF550" s="150"/>
      <c r="AJ550" s="338"/>
    </row>
    <row r="551" spans="2:36" s="113" customFormat="1" x14ac:dyDescent="0.4">
      <c r="B551" s="80"/>
      <c r="C551" s="563">
        <v>138</v>
      </c>
      <c r="D551" s="907"/>
      <c r="E551" s="906"/>
      <c r="F551" s="921" t="str">
        <f t="shared" si="28"/>
        <v/>
      </c>
      <c r="G551" s="882" t="str">
        <f t="shared" si="31"/>
        <v/>
      </c>
      <c r="H551" s="919"/>
      <c r="I551" s="922">
        <v>1579</v>
      </c>
      <c r="J551" s="907"/>
      <c r="K551" s="906"/>
      <c r="L551" s="921" t="str">
        <f t="shared" si="29"/>
        <v/>
      </c>
      <c r="M551" s="155" t="str">
        <f t="shared" si="30"/>
        <v/>
      </c>
      <c r="AA551" s="150"/>
      <c r="AB551" s="150"/>
      <c r="AC551" s="150"/>
      <c r="AD551" s="150"/>
      <c r="AE551" s="150"/>
      <c r="AF551" s="150"/>
      <c r="AJ551" s="338"/>
    </row>
    <row r="552" spans="2:36" s="113" customFormat="1" x14ac:dyDescent="0.4">
      <c r="B552" s="80"/>
      <c r="C552" s="563">
        <v>139</v>
      </c>
      <c r="D552" s="907"/>
      <c r="E552" s="906"/>
      <c r="F552" s="921" t="str">
        <f t="shared" si="28"/>
        <v/>
      </c>
      <c r="G552" s="882" t="str">
        <f t="shared" si="31"/>
        <v/>
      </c>
      <c r="H552" s="919"/>
      <c r="I552" s="922">
        <v>1580</v>
      </c>
      <c r="J552" s="907"/>
      <c r="K552" s="906"/>
      <c r="L552" s="921" t="str">
        <f t="shared" si="29"/>
        <v/>
      </c>
      <c r="M552" s="155" t="str">
        <f t="shared" si="30"/>
        <v/>
      </c>
      <c r="AA552" s="150"/>
      <c r="AB552" s="150"/>
      <c r="AC552" s="150"/>
      <c r="AD552" s="150"/>
      <c r="AE552" s="150"/>
      <c r="AF552" s="150"/>
      <c r="AJ552" s="338"/>
    </row>
    <row r="553" spans="2:36" s="113" customFormat="1" x14ac:dyDescent="0.4">
      <c r="B553" s="80"/>
      <c r="C553" s="563">
        <v>140</v>
      </c>
      <c r="D553" s="907"/>
      <c r="E553" s="906"/>
      <c r="F553" s="921" t="str">
        <f t="shared" si="28"/>
        <v/>
      </c>
      <c r="G553" s="882" t="str">
        <f t="shared" si="31"/>
        <v/>
      </c>
      <c r="H553" s="919"/>
      <c r="I553" s="922">
        <v>1581</v>
      </c>
      <c r="J553" s="907"/>
      <c r="K553" s="906"/>
      <c r="L553" s="921" t="str">
        <f t="shared" si="29"/>
        <v/>
      </c>
      <c r="M553" s="155" t="str">
        <f t="shared" si="30"/>
        <v/>
      </c>
      <c r="AA553" s="150"/>
      <c r="AB553" s="150"/>
      <c r="AC553" s="150"/>
      <c r="AD553" s="150"/>
      <c r="AE553" s="150"/>
      <c r="AF553" s="150"/>
      <c r="AJ553" s="338"/>
    </row>
    <row r="554" spans="2:36" s="113" customFormat="1" x14ac:dyDescent="0.4">
      <c r="B554" s="80"/>
      <c r="C554" s="563">
        <v>141</v>
      </c>
      <c r="D554" s="907"/>
      <c r="E554" s="906"/>
      <c r="F554" s="921" t="str">
        <f t="shared" si="28"/>
        <v/>
      </c>
      <c r="G554" s="882" t="str">
        <f t="shared" si="31"/>
        <v/>
      </c>
      <c r="H554" s="919"/>
      <c r="I554" s="922">
        <v>1582</v>
      </c>
      <c r="J554" s="907"/>
      <c r="K554" s="906"/>
      <c r="L554" s="921" t="str">
        <f t="shared" si="29"/>
        <v/>
      </c>
      <c r="M554" s="155" t="str">
        <f t="shared" si="30"/>
        <v/>
      </c>
      <c r="AA554" s="150"/>
      <c r="AB554" s="150"/>
      <c r="AC554" s="150"/>
      <c r="AD554" s="150"/>
      <c r="AE554" s="150"/>
      <c r="AF554" s="150"/>
      <c r="AJ554" s="338"/>
    </row>
    <row r="555" spans="2:36" s="113" customFormat="1" x14ac:dyDescent="0.4">
      <c r="B555" s="80"/>
      <c r="C555" s="563">
        <v>142</v>
      </c>
      <c r="D555" s="907"/>
      <c r="E555" s="906"/>
      <c r="F555" s="921" t="str">
        <f t="shared" si="28"/>
        <v/>
      </c>
      <c r="G555" s="882" t="str">
        <f t="shared" si="31"/>
        <v/>
      </c>
      <c r="H555" s="919"/>
      <c r="I555" s="922">
        <v>1583</v>
      </c>
      <c r="J555" s="907"/>
      <c r="K555" s="906"/>
      <c r="L555" s="921" t="str">
        <f t="shared" si="29"/>
        <v/>
      </c>
      <c r="M555" s="155" t="str">
        <f t="shared" si="30"/>
        <v/>
      </c>
      <c r="AA555" s="150"/>
      <c r="AB555" s="150"/>
      <c r="AC555" s="150"/>
      <c r="AD555" s="150"/>
      <c r="AE555" s="150"/>
      <c r="AF555" s="150"/>
      <c r="AJ555" s="338"/>
    </row>
    <row r="556" spans="2:36" s="113" customFormat="1" x14ac:dyDescent="0.4">
      <c r="B556" s="80"/>
      <c r="C556" s="563">
        <v>143</v>
      </c>
      <c r="D556" s="907"/>
      <c r="E556" s="906"/>
      <c r="F556" s="921" t="str">
        <f t="shared" si="28"/>
        <v/>
      </c>
      <c r="G556" s="882" t="str">
        <f t="shared" si="31"/>
        <v/>
      </c>
      <c r="H556" s="919"/>
      <c r="I556" s="922">
        <v>1584</v>
      </c>
      <c r="J556" s="907"/>
      <c r="K556" s="906"/>
      <c r="L556" s="921" t="str">
        <f t="shared" si="29"/>
        <v/>
      </c>
      <c r="M556" s="155" t="str">
        <f t="shared" si="30"/>
        <v/>
      </c>
      <c r="AA556" s="150"/>
      <c r="AB556" s="150"/>
      <c r="AC556" s="150"/>
      <c r="AD556" s="150"/>
      <c r="AE556" s="150"/>
      <c r="AF556" s="150"/>
      <c r="AJ556" s="338"/>
    </row>
    <row r="557" spans="2:36" s="113" customFormat="1" x14ac:dyDescent="0.4">
      <c r="B557" s="80"/>
      <c r="C557" s="563">
        <v>144</v>
      </c>
      <c r="D557" s="907"/>
      <c r="E557" s="906"/>
      <c r="F557" s="921" t="str">
        <f t="shared" si="28"/>
        <v/>
      </c>
      <c r="G557" s="882" t="str">
        <f t="shared" si="31"/>
        <v/>
      </c>
      <c r="H557" s="919"/>
      <c r="I557" s="922">
        <v>1585</v>
      </c>
      <c r="J557" s="907"/>
      <c r="K557" s="906"/>
      <c r="L557" s="921" t="str">
        <f t="shared" si="29"/>
        <v/>
      </c>
      <c r="M557" s="155" t="str">
        <f t="shared" si="30"/>
        <v/>
      </c>
      <c r="AA557" s="150"/>
      <c r="AB557" s="150"/>
      <c r="AC557" s="150"/>
      <c r="AD557" s="150"/>
      <c r="AE557" s="150"/>
      <c r="AF557" s="150"/>
      <c r="AJ557" s="338"/>
    </row>
    <row r="558" spans="2:36" s="113" customFormat="1" x14ac:dyDescent="0.4">
      <c r="B558" s="80"/>
      <c r="C558" s="563">
        <v>145</v>
      </c>
      <c r="D558" s="907"/>
      <c r="E558" s="906"/>
      <c r="F558" s="921" t="str">
        <f t="shared" si="28"/>
        <v/>
      </c>
      <c r="G558" s="882" t="str">
        <f t="shared" si="31"/>
        <v/>
      </c>
      <c r="H558" s="919"/>
      <c r="I558" s="922">
        <v>1586</v>
      </c>
      <c r="J558" s="907"/>
      <c r="K558" s="906"/>
      <c r="L558" s="921" t="str">
        <f t="shared" si="29"/>
        <v/>
      </c>
      <c r="M558" s="155" t="str">
        <f t="shared" si="30"/>
        <v/>
      </c>
      <c r="AA558" s="150"/>
      <c r="AB558" s="150"/>
      <c r="AC558" s="150"/>
      <c r="AD558" s="150"/>
      <c r="AE558" s="150"/>
      <c r="AF558" s="150"/>
      <c r="AJ558" s="338"/>
    </row>
    <row r="559" spans="2:36" s="113" customFormat="1" x14ac:dyDescent="0.4">
      <c r="B559" s="80"/>
      <c r="C559" s="563">
        <v>146</v>
      </c>
      <c r="D559" s="907"/>
      <c r="E559" s="906"/>
      <c r="F559" s="921" t="str">
        <f t="shared" si="28"/>
        <v/>
      </c>
      <c r="G559" s="882" t="str">
        <f t="shared" si="31"/>
        <v/>
      </c>
      <c r="H559" s="919"/>
      <c r="I559" s="922">
        <v>1587</v>
      </c>
      <c r="J559" s="907"/>
      <c r="K559" s="906"/>
      <c r="L559" s="921" t="str">
        <f t="shared" si="29"/>
        <v/>
      </c>
      <c r="M559" s="155" t="str">
        <f t="shared" si="30"/>
        <v/>
      </c>
      <c r="AA559" s="150"/>
      <c r="AB559" s="150"/>
      <c r="AC559" s="150"/>
      <c r="AD559" s="150"/>
      <c r="AE559" s="150"/>
      <c r="AF559" s="150"/>
      <c r="AJ559" s="338"/>
    </row>
    <row r="560" spans="2:36" s="113" customFormat="1" x14ac:dyDescent="0.4">
      <c r="B560" s="80"/>
      <c r="C560" s="563">
        <v>147</v>
      </c>
      <c r="D560" s="907"/>
      <c r="E560" s="906"/>
      <c r="F560" s="921" t="str">
        <f t="shared" si="28"/>
        <v/>
      </c>
      <c r="G560" s="882" t="str">
        <f t="shared" si="31"/>
        <v/>
      </c>
      <c r="H560" s="919"/>
      <c r="I560" s="922">
        <v>1588</v>
      </c>
      <c r="J560" s="907"/>
      <c r="K560" s="906"/>
      <c r="L560" s="921" t="str">
        <f t="shared" si="29"/>
        <v/>
      </c>
      <c r="M560" s="155" t="str">
        <f t="shared" si="30"/>
        <v/>
      </c>
      <c r="AA560" s="150"/>
      <c r="AB560" s="150"/>
      <c r="AC560" s="150"/>
      <c r="AD560" s="150"/>
      <c r="AE560" s="150"/>
      <c r="AF560" s="150"/>
      <c r="AJ560" s="338"/>
    </row>
    <row r="561" spans="2:36" s="113" customFormat="1" x14ac:dyDescent="0.4">
      <c r="B561" s="80"/>
      <c r="C561" s="563">
        <v>148</v>
      </c>
      <c r="D561" s="907"/>
      <c r="E561" s="906"/>
      <c r="F561" s="921" t="str">
        <f t="shared" si="28"/>
        <v/>
      </c>
      <c r="G561" s="882" t="str">
        <f t="shared" si="31"/>
        <v/>
      </c>
      <c r="H561" s="919"/>
      <c r="I561" s="922">
        <v>1589</v>
      </c>
      <c r="J561" s="907"/>
      <c r="K561" s="906"/>
      <c r="L561" s="921" t="str">
        <f t="shared" si="29"/>
        <v/>
      </c>
      <c r="M561" s="155" t="str">
        <f t="shared" si="30"/>
        <v/>
      </c>
      <c r="AA561" s="150"/>
      <c r="AB561" s="150"/>
      <c r="AC561" s="150"/>
      <c r="AD561" s="150"/>
      <c r="AE561" s="150"/>
      <c r="AF561" s="150"/>
      <c r="AJ561" s="338"/>
    </row>
    <row r="562" spans="2:36" s="113" customFormat="1" x14ac:dyDescent="0.4">
      <c r="B562" s="80"/>
      <c r="C562" s="563">
        <v>149</v>
      </c>
      <c r="D562" s="907"/>
      <c r="E562" s="906"/>
      <c r="F562" s="921" t="str">
        <f t="shared" si="28"/>
        <v/>
      </c>
      <c r="G562" s="882" t="str">
        <f t="shared" si="31"/>
        <v/>
      </c>
      <c r="H562" s="919"/>
      <c r="I562" s="922">
        <v>1590</v>
      </c>
      <c r="J562" s="907"/>
      <c r="K562" s="906"/>
      <c r="L562" s="921" t="str">
        <f t="shared" si="29"/>
        <v/>
      </c>
      <c r="M562" s="155" t="str">
        <f t="shared" si="30"/>
        <v/>
      </c>
      <c r="AA562" s="150"/>
      <c r="AB562" s="150"/>
      <c r="AC562" s="150"/>
      <c r="AD562" s="150"/>
      <c r="AE562" s="150"/>
      <c r="AF562" s="150"/>
      <c r="AJ562" s="338"/>
    </row>
    <row r="563" spans="2:36" s="113" customFormat="1" x14ac:dyDescent="0.4">
      <c r="B563" s="80"/>
      <c r="C563" s="563">
        <v>150</v>
      </c>
      <c r="D563" s="907"/>
      <c r="E563" s="906"/>
      <c r="F563" s="921" t="str">
        <f t="shared" si="28"/>
        <v/>
      </c>
      <c r="G563" s="882" t="str">
        <f t="shared" si="31"/>
        <v/>
      </c>
      <c r="H563" s="919"/>
      <c r="I563" s="922">
        <v>1591</v>
      </c>
      <c r="J563" s="907"/>
      <c r="K563" s="906"/>
      <c r="L563" s="921" t="str">
        <f t="shared" si="29"/>
        <v/>
      </c>
      <c r="M563" s="155" t="str">
        <f t="shared" si="30"/>
        <v/>
      </c>
      <c r="AA563" s="150"/>
      <c r="AB563" s="150"/>
      <c r="AC563" s="150"/>
      <c r="AD563" s="150"/>
      <c r="AE563" s="150"/>
      <c r="AF563" s="150"/>
      <c r="AJ563" s="338"/>
    </row>
    <row r="564" spans="2:36" s="113" customFormat="1" x14ac:dyDescent="0.4">
      <c r="B564" s="80"/>
      <c r="C564" s="563">
        <v>151</v>
      </c>
      <c r="D564" s="907"/>
      <c r="E564" s="906"/>
      <c r="F564" s="921" t="str">
        <f t="shared" si="28"/>
        <v/>
      </c>
      <c r="G564" s="882" t="str">
        <f t="shared" si="31"/>
        <v/>
      </c>
      <c r="H564" s="919"/>
      <c r="I564" s="922">
        <v>1592</v>
      </c>
      <c r="J564" s="907"/>
      <c r="K564" s="906"/>
      <c r="L564" s="921" t="str">
        <f t="shared" si="29"/>
        <v/>
      </c>
      <c r="M564" s="155" t="str">
        <f t="shared" si="30"/>
        <v/>
      </c>
      <c r="AA564" s="150"/>
      <c r="AB564" s="150"/>
      <c r="AC564" s="150"/>
      <c r="AD564" s="150"/>
      <c r="AE564" s="150"/>
      <c r="AF564" s="150"/>
      <c r="AJ564" s="338"/>
    </row>
    <row r="565" spans="2:36" s="113" customFormat="1" x14ac:dyDescent="0.4">
      <c r="B565" s="80"/>
      <c r="C565" s="563">
        <v>152</v>
      </c>
      <c r="D565" s="907"/>
      <c r="E565" s="906"/>
      <c r="F565" s="921" t="str">
        <f t="shared" si="28"/>
        <v/>
      </c>
      <c r="G565" s="882" t="str">
        <f t="shared" si="31"/>
        <v/>
      </c>
      <c r="H565" s="919"/>
      <c r="I565" s="922">
        <v>1593</v>
      </c>
      <c r="J565" s="907"/>
      <c r="K565" s="906"/>
      <c r="L565" s="921" t="str">
        <f t="shared" si="29"/>
        <v/>
      </c>
      <c r="M565" s="155" t="str">
        <f t="shared" si="30"/>
        <v/>
      </c>
      <c r="AA565" s="150"/>
      <c r="AB565" s="150"/>
      <c r="AC565" s="150"/>
      <c r="AD565" s="150"/>
      <c r="AE565" s="150"/>
      <c r="AF565" s="150"/>
      <c r="AJ565" s="338"/>
    </row>
    <row r="566" spans="2:36" s="113" customFormat="1" x14ac:dyDescent="0.4">
      <c r="B566" s="80"/>
      <c r="C566" s="563">
        <v>153</v>
      </c>
      <c r="D566" s="907"/>
      <c r="E566" s="906"/>
      <c r="F566" s="921" t="str">
        <f t="shared" si="28"/>
        <v/>
      </c>
      <c r="G566" s="882" t="str">
        <f t="shared" si="31"/>
        <v/>
      </c>
      <c r="H566" s="919"/>
      <c r="I566" s="922">
        <v>1594</v>
      </c>
      <c r="J566" s="907"/>
      <c r="K566" s="906"/>
      <c r="L566" s="921" t="str">
        <f t="shared" si="29"/>
        <v/>
      </c>
      <c r="M566" s="155" t="str">
        <f t="shared" si="30"/>
        <v/>
      </c>
      <c r="AA566" s="150"/>
      <c r="AB566" s="150"/>
      <c r="AC566" s="150"/>
      <c r="AD566" s="150"/>
      <c r="AE566" s="150"/>
      <c r="AF566" s="150"/>
      <c r="AJ566" s="338"/>
    </row>
    <row r="567" spans="2:36" s="113" customFormat="1" x14ac:dyDescent="0.4">
      <c r="B567" s="80"/>
      <c r="C567" s="563">
        <v>154</v>
      </c>
      <c r="D567" s="907"/>
      <c r="E567" s="906"/>
      <c r="F567" s="921" t="str">
        <f t="shared" si="28"/>
        <v/>
      </c>
      <c r="G567" s="882" t="str">
        <f t="shared" si="31"/>
        <v/>
      </c>
      <c r="H567" s="919"/>
      <c r="I567" s="922">
        <v>1595</v>
      </c>
      <c r="J567" s="907"/>
      <c r="K567" s="906"/>
      <c r="L567" s="921" t="str">
        <f t="shared" si="29"/>
        <v/>
      </c>
      <c r="M567" s="155" t="str">
        <f t="shared" si="30"/>
        <v/>
      </c>
      <c r="AA567" s="150"/>
      <c r="AB567" s="150"/>
      <c r="AC567" s="150"/>
      <c r="AD567" s="150"/>
      <c r="AE567" s="150"/>
      <c r="AF567" s="150"/>
      <c r="AJ567" s="338"/>
    </row>
    <row r="568" spans="2:36" s="113" customFormat="1" x14ac:dyDescent="0.4">
      <c r="B568" s="80"/>
      <c r="C568" s="563">
        <v>155</v>
      </c>
      <c r="D568" s="907"/>
      <c r="E568" s="906"/>
      <c r="F568" s="921" t="str">
        <f t="shared" si="28"/>
        <v/>
      </c>
      <c r="G568" s="882" t="str">
        <f t="shared" si="31"/>
        <v/>
      </c>
      <c r="H568" s="919"/>
      <c r="I568" s="922">
        <v>1596</v>
      </c>
      <c r="J568" s="907"/>
      <c r="K568" s="906"/>
      <c r="L568" s="921" t="str">
        <f t="shared" si="29"/>
        <v/>
      </c>
      <c r="M568" s="155" t="str">
        <f t="shared" si="30"/>
        <v/>
      </c>
      <c r="AA568" s="150"/>
      <c r="AB568" s="150"/>
      <c r="AC568" s="150"/>
      <c r="AD568" s="150"/>
      <c r="AE568" s="150"/>
      <c r="AF568" s="150"/>
      <c r="AJ568" s="338"/>
    </row>
    <row r="569" spans="2:36" s="113" customFormat="1" x14ac:dyDescent="0.4">
      <c r="B569" s="80"/>
      <c r="C569" s="563">
        <v>156</v>
      </c>
      <c r="D569" s="907"/>
      <c r="E569" s="906"/>
      <c r="F569" s="921" t="str">
        <f t="shared" si="28"/>
        <v/>
      </c>
      <c r="G569" s="882" t="str">
        <f t="shared" si="31"/>
        <v/>
      </c>
      <c r="H569" s="919"/>
      <c r="I569" s="922">
        <v>1597</v>
      </c>
      <c r="J569" s="907"/>
      <c r="K569" s="906"/>
      <c r="L569" s="921" t="str">
        <f t="shared" si="29"/>
        <v/>
      </c>
      <c r="M569" s="155" t="str">
        <f t="shared" si="30"/>
        <v/>
      </c>
      <c r="AA569" s="150"/>
      <c r="AB569" s="150"/>
      <c r="AC569" s="150"/>
      <c r="AD569" s="150"/>
      <c r="AE569" s="150"/>
      <c r="AF569" s="150"/>
      <c r="AJ569" s="338"/>
    </row>
    <row r="570" spans="2:36" s="113" customFormat="1" x14ac:dyDescent="0.4">
      <c r="B570" s="80"/>
      <c r="C570" s="563">
        <v>157</v>
      </c>
      <c r="D570" s="907"/>
      <c r="E570" s="906"/>
      <c r="F570" s="921" t="str">
        <f t="shared" si="28"/>
        <v/>
      </c>
      <c r="G570" s="882" t="str">
        <f t="shared" si="31"/>
        <v/>
      </c>
      <c r="H570" s="919"/>
      <c r="I570" s="922">
        <v>1598</v>
      </c>
      <c r="J570" s="907"/>
      <c r="K570" s="906"/>
      <c r="L570" s="921" t="str">
        <f t="shared" si="29"/>
        <v/>
      </c>
      <c r="M570" s="155" t="str">
        <f t="shared" si="30"/>
        <v/>
      </c>
      <c r="AA570" s="150"/>
      <c r="AB570" s="150"/>
      <c r="AC570" s="150"/>
      <c r="AD570" s="150"/>
      <c r="AE570" s="150"/>
      <c r="AF570" s="150"/>
      <c r="AJ570" s="338"/>
    </row>
    <row r="571" spans="2:36" s="113" customFormat="1" x14ac:dyDescent="0.4">
      <c r="B571" s="80"/>
      <c r="C571" s="563">
        <v>158</v>
      </c>
      <c r="D571" s="907"/>
      <c r="E571" s="906"/>
      <c r="F571" s="921" t="str">
        <f t="shared" si="28"/>
        <v/>
      </c>
      <c r="G571" s="882" t="str">
        <f t="shared" si="31"/>
        <v/>
      </c>
      <c r="H571" s="919"/>
      <c r="I571" s="922">
        <v>1599</v>
      </c>
      <c r="J571" s="907"/>
      <c r="K571" s="906"/>
      <c r="L571" s="921" t="str">
        <f t="shared" si="29"/>
        <v/>
      </c>
      <c r="M571" s="155" t="str">
        <f t="shared" si="30"/>
        <v/>
      </c>
      <c r="AA571" s="150"/>
      <c r="AB571" s="150"/>
      <c r="AC571" s="150"/>
      <c r="AD571" s="150"/>
      <c r="AE571" s="150"/>
      <c r="AF571" s="150"/>
      <c r="AJ571" s="338"/>
    </row>
    <row r="572" spans="2:36" s="113" customFormat="1" x14ac:dyDescent="0.4">
      <c r="B572" s="80"/>
      <c r="C572" s="563">
        <v>159</v>
      </c>
      <c r="D572" s="907"/>
      <c r="E572" s="906"/>
      <c r="F572" s="921" t="str">
        <f t="shared" si="28"/>
        <v/>
      </c>
      <c r="G572" s="882" t="str">
        <f t="shared" si="31"/>
        <v/>
      </c>
      <c r="H572" s="919"/>
      <c r="I572" s="922">
        <v>1600</v>
      </c>
      <c r="J572" s="907"/>
      <c r="K572" s="906"/>
      <c r="L572" s="921" t="str">
        <f t="shared" si="29"/>
        <v/>
      </c>
      <c r="M572" s="155" t="str">
        <f t="shared" si="30"/>
        <v/>
      </c>
      <c r="AA572" s="150"/>
      <c r="AB572" s="150"/>
      <c r="AC572" s="150"/>
      <c r="AD572" s="150"/>
      <c r="AE572" s="150"/>
      <c r="AF572" s="150"/>
      <c r="AJ572" s="338"/>
    </row>
    <row r="573" spans="2:36" s="113" customFormat="1" x14ac:dyDescent="0.4">
      <c r="B573" s="80"/>
      <c r="C573" s="563">
        <v>160</v>
      </c>
      <c r="D573" s="907"/>
      <c r="E573" s="906"/>
      <c r="F573" s="921" t="str">
        <f t="shared" si="28"/>
        <v/>
      </c>
      <c r="G573" s="882" t="str">
        <f t="shared" si="31"/>
        <v/>
      </c>
      <c r="H573" s="919"/>
      <c r="I573" s="922">
        <v>1601</v>
      </c>
      <c r="J573" s="907"/>
      <c r="K573" s="906"/>
      <c r="L573" s="921" t="str">
        <f t="shared" si="29"/>
        <v/>
      </c>
      <c r="M573" s="155" t="str">
        <f t="shared" si="30"/>
        <v/>
      </c>
      <c r="AA573" s="150"/>
      <c r="AB573" s="150"/>
      <c r="AC573" s="150"/>
      <c r="AD573" s="150"/>
      <c r="AE573" s="150"/>
      <c r="AF573" s="150"/>
      <c r="AJ573" s="338"/>
    </row>
    <row r="574" spans="2:36" s="113" customFormat="1" x14ac:dyDescent="0.4">
      <c r="B574" s="80"/>
      <c r="C574" s="563">
        <v>161</v>
      </c>
      <c r="D574" s="907"/>
      <c r="E574" s="906"/>
      <c r="F574" s="921" t="str">
        <f t="shared" si="28"/>
        <v/>
      </c>
      <c r="G574" s="882" t="str">
        <f t="shared" si="31"/>
        <v/>
      </c>
      <c r="H574" s="919"/>
      <c r="I574" s="922">
        <v>1602</v>
      </c>
      <c r="J574" s="907"/>
      <c r="K574" s="906"/>
      <c r="L574" s="921" t="str">
        <f t="shared" si="29"/>
        <v/>
      </c>
      <c r="M574" s="155" t="str">
        <f t="shared" si="30"/>
        <v/>
      </c>
      <c r="AA574" s="150"/>
      <c r="AB574" s="150"/>
      <c r="AC574" s="150"/>
      <c r="AD574" s="150"/>
      <c r="AE574" s="150"/>
      <c r="AF574" s="150"/>
      <c r="AJ574" s="338"/>
    </row>
    <row r="575" spans="2:36" s="113" customFormat="1" x14ac:dyDescent="0.4">
      <c r="B575" s="80"/>
      <c r="C575" s="563">
        <v>162</v>
      </c>
      <c r="D575" s="907"/>
      <c r="E575" s="906"/>
      <c r="F575" s="921" t="str">
        <f t="shared" si="28"/>
        <v/>
      </c>
      <c r="G575" s="882" t="str">
        <f t="shared" si="31"/>
        <v/>
      </c>
      <c r="H575" s="919"/>
      <c r="I575" s="922">
        <v>1603</v>
      </c>
      <c r="J575" s="907"/>
      <c r="K575" s="906"/>
      <c r="L575" s="921" t="str">
        <f t="shared" si="29"/>
        <v/>
      </c>
      <c r="M575" s="155" t="str">
        <f t="shared" si="30"/>
        <v/>
      </c>
      <c r="AA575" s="150"/>
      <c r="AB575" s="150"/>
      <c r="AC575" s="150"/>
      <c r="AD575" s="150"/>
      <c r="AE575" s="150"/>
      <c r="AF575" s="150"/>
      <c r="AJ575" s="338"/>
    </row>
    <row r="576" spans="2:36" s="113" customFormat="1" x14ac:dyDescent="0.4">
      <c r="B576" s="80"/>
      <c r="C576" s="563">
        <v>163</v>
      </c>
      <c r="D576" s="907"/>
      <c r="E576" s="906"/>
      <c r="F576" s="921" t="str">
        <f t="shared" si="28"/>
        <v/>
      </c>
      <c r="G576" s="882" t="str">
        <f t="shared" si="31"/>
        <v/>
      </c>
      <c r="H576" s="919"/>
      <c r="I576" s="922">
        <v>1604</v>
      </c>
      <c r="J576" s="907"/>
      <c r="K576" s="906"/>
      <c r="L576" s="921" t="str">
        <f t="shared" si="29"/>
        <v/>
      </c>
      <c r="M576" s="155" t="str">
        <f t="shared" si="30"/>
        <v/>
      </c>
      <c r="AJ576" s="338"/>
    </row>
    <row r="577" spans="2:37" s="113" customFormat="1" x14ac:dyDescent="0.4">
      <c r="B577" s="80"/>
      <c r="C577" s="563">
        <v>164</v>
      </c>
      <c r="D577" s="907"/>
      <c r="E577" s="906"/>
      <c r="F577" s="921" t="str">
        <f t="shared" si="28"/>
        <v/>
      </c>
      <c r="G577" s="882" t="str">
        <f t="shared" si="31"/>
        <v/>
      </c>
      <c r="H577" s="919"/>
      <c r="I577" s="922">
        <v>1605</v>
      </c>
      <c r="J577" s="907"/>
      <c r="K577" s="906"/>
      <c r="L577" s="921" t="str">
        <f t="shared" si="29"/>
        <v/>
      </c>
      <c r="M577" s="155" t="str">
        <f t="shared" si="30"/>
        <v/>
      </c>
      <c r="AJ577" s="338"/>
    </row>
    <row r="578" spans="2:37" s="113" customFormat="1" x14ac:dyDescent="0.4">
      <c r="B578" s="80"/>
      <c r="C578" s="563">
        <v>165</v>
      </c>
      <c r="D578" s="907"/>
      <c r="E578" s="906"/>
      <c r="F578" s="921" t="str">
        <f t="shared" si="28"/>
        <v/>
      </c>
      <c r="G578" s="882" t="str">
        <f t="shared" si="31"/>
        <v/>
      </c>
      <c r="H578" s="919"/>
      <c r="I578" s="922">
        <v>1606</v>
      </c>
      <c r="J578" s="907"/>
      <c r="K578" s="906"/>
      <c r="L578" s="921" t="str">
        <f t="shared" si="29"/>
        <v/>
      </c>
      <c r="M578" s="155" t="str">
        <f t="shared" si="30"/>
        <v/>
      </c>
      <c r="AJ578" s="338"/>
    </row>
    <row r="579" spans="2:37" s="113" customFormat="1" x14ac:dyDescent="0.4">
      <c r="B579" s="80"/>
      <c r="C579" s="563">
        <v>166</v>
      </c>
      <c r="D579" s="907"/>
      <c r="E579" s="906"/>
      <c r="F579" s="921" t="str">
        <f t="shared" si="28"/>
        <v/>
      </c>
      <c r="G579" s="882" t="str">
        <f t="shared" si="31"/>
        <v/>
      </c>
      <c r="H579" s="919"/>
      <c r="I579" s="922">
        <v>1607</v>
      </c>
      <c r="J579" s="907"/>
      <c r="K579" s="906"/>
      <c r="L579" s="921" t="str">
        <f t="shared" si="29"/>
        <v/>
      </c>
      <c r="M579" s="155" t="str">
        <f t="shared" si="30"/>
        <v/>
      </c>
      <c r="AJ579" s="338"/>
    </row>
    <row r="580" spans="2:37" s="113" customFormat="1" x14ac:dyDescent="0.4">
      <c r="B580" s="80"/>
      <c r="C580" s="563">
        <v>167</v>
      </c>
      <c r="D580" s="907"/>
      <c r="E580" s="906"/>
      <c r="F580" s="921" t="str">
        <f t="shared" si="28"/>
        <v/>
      </c>
      <c r="G580" s="882" t="str">
        <f t="shared" si="31"/>
        <v/>
      </c>
      <c r="H580" s="919"/>
      <c r="I580" s="922">
        <v>1608</v>
      </c>
      <c r="J580" s="907"/>
      <c r="K580" s="906"/>
      <c r="L580" s="921" t="str">
        <f t="shared" si="29"/>
        <v/>
      </c>
      <c r="M580" s="155" t="str">
        <f t="shared" si="30"/>
        <v/>
      </c>
      <c r="T580" s="75"/>
      <c r="U580" s="75"/>
      <c r="V580" s="75"/>
      <c r="W580" s="75"/>
      <c r="X580" s="75"/>
      <c r="Y580" s="340"/>
      <c r="Z580" s="341"/>
      <c r="AA580" s="342"/>
      <c r="AB580" s="342"/>
      <c r="AC580" s="343"/>
      <c r="AG580" s="344"/>
      <c r="AH580" s="344"/>
      <c r="AI580" s="344"/>
      <c r="AJ580" s="97"/>
      <c r="AK580" s="4"/>
    </row>
    <row r="581" spans="2:37" s="113" customFormat="1" x14ac:dyDescent="0.4">
      <c r="B581" s="80"/>
      <c r="C581" s="563">
        <v>168</v>
      </c>
      <c r="D581" s="907"/>
      <c r="E581" s="906"/>
      <c r="F581" s="921" t="str">
        <f t="shared" si="28"/>
        <v/>
      </c>
      <c r="G581" s="882" t="str">
        <f t="shared" si="31"/>
        <v/>
      </c>
      <c r="H581" s="919"/>
      <c r="I581" s="922">
        <v>1609</v>
      </c>
      <c r="J581" s="907"/>
      <c r="K581" s="906"/>
      <c r="L581" s="921" t="str">
        <f t="shared" si="29"/>
        <v/>
      </c>
      <c r="M581" s="155" t="str">
        <f t="shared" si="30"/>
        <v/>
      </c>
      <c r="AJ581" s="338"/>
    </row>
    <row r="582" spans="2:37" s="113" customFormat="1" x14ac:dyDescent="0.4">
      <c r="B582" s="80"/>
      <c r="C582" s="563">
        <v>169</v>
      </c>
      <c r="D582" s="907"/>
      <c r="E582" s="906"/>
      <c r="F582" s="921" t="str">
        <f t="shared" si="28"/>
        <v/>
      </c>
      <c r="G582" s="882" t="str">
        <f t="shared" si="31"/>
        <v/>
      </c>
      <c r="H582" s="919"/>
      <c r="I582" s="922">
        <v>1610</v>
      </c>
      <c r="J582" s="907"/>
      <c r="K582" s="906"/>
      <c r="L582" s="921" t="str">
        <f t="shared" si="29"/>
        <v/>
      </c>
      <c r="M582" s="155" t="str">
        <f t="shared" si="30"/>
        <v/>
      </c>
      <c r="AJ582" s="338"/>
    </row>
    <row r="583" spans="2:37" s="113" customFormat="1" x14ac:dyDescent="0.4">
      <c r="B583" s="80"/>
      <c r="C583" s="563">
        <v>170</v>
      </c>
      <c r="D583" s="907"/>
      <c r="E583" s="906"/>
      <c r="F583" s="921" t="str">
        <f t="shared" si="28"/>
        <v/>
      </c>
      <c r="G583" s="882" t="str">
        <f t="shared" si="31"/>
        <v/>
      </c>
      <c r="H583" s="919"/>
      <c r="I583" s="922">
        <v>1611</v>
      </c>
      <c r="J583" s="907"/>
      <c r="K583" s="906"/>
      <c r="L583" s="921" t="str">
        <f t="shared" si="29"/>
        <v/>
      </c>
      <c r="M583" s="155" t="str">
        <f t="shared" si="30"/>
        <v/>
      </c>
      <c r="AJ583" s="338"/>
    </row>
    <row r="584" spans="2:37" s="113" customFormat="1" x14ac:dyDescent="0.4">
      <c r="B584" s="80"/>
      <c r="C584" s="563">
        <v>171</v>
      </c>
      <c r="D584" s="907"/>
      <c r="E584" s="906"/>
      <c r="F584" s="921" t="str">
        <f t="shared" si="28"/>
        <v/>
      </c>
      <c r="G584" s="882" t="str">
        <f t="shared" si="31"/>
        <v/>
      </c>
      <c r="H584" s="919"/>
      <c r="I584" s="922">
        <v>1612</v>
      </c>
      <c r="J584" s="907"/>
      <c r="K584" s="906"/>
      <c r="L584" s="921" t="str">
        <f t="shared" si="29"/>
        <v/>
      </c>
      <c r="M584" s="155" t="str">
        <f t="shared" si="30"/>
        <v/>
      </c>
      <c r="AJ584" s="338"/>
    </row>
    <row r="585" spans="2:37" s="113" customFormat="1" x14ac:dyDescent="0.4">
      <c r="B585" s="80"/>
      <c r="C585" s="563">
        <v>172</v>
      </c>
      <c r="D585" s="907"/>
      <c r="E585" s="906"/>
      <c r="F585" s="921" t="str">
        <f t="shared" si="28"/>
        <v/>
      </c>
      <c r="G585" s="882" t="str">
        <f t="shared" si="31"/>
        <v/>
      </c>
      <c r="H585" s="919"/>
      <c r="I585" s="922">
        <v>1613</v>
      </c>
      <c r="J585" s="907"/>
      <c r="K585" s="906"/>
      <c r="L585" s="921" t="str">
        <f t="shared" si="29"/>
        <v/>
      </c>
      <c r="M585" s="155" t="str">
        <f t="shared" si="30"/>
        <v/>
      </c>
      <c r="AJ585" s="338"/>
    </row>
    <row r="586" spans="2:37" s="113" customFormat="1" x14ac:dyDescent="0.4">
      <c r="B586" s="80"/>
      <c r="C586" s="563">
        <v>173</v>
      </c>
      <c r="D586" s="907"/>
      <c r="E586" s="906"/>
      <c r="F586" s="921" t="str">
        <f t="shared" si="28"/>
        <v/>
      </c>
      <c r="G586" s="882" t="str">
        <f t="shared" si="31"/>
        <v/>
      </c>
      <c r="H586" s="919"/>
      <c r="I586" s="922">
        <v>1614</v>
      </c>
      <c r="J586" s="907"/>
      <c r="K586" s="906"/>
      <c r="L586" s="921" t="str">
        <f t="shared" si="29"/>
        <v/>
      </c>
      <c r="M586" s="155" t="str">
        <f t="shared" si="30"/>
        <v/>
      </c>
      <c r="AJ586" s="338"/>
    </row>
    <row r="587" spans="2:37" s="113" customFormat="1" x14ac:dyDescent="0.4">
      <c r="B587" s="80"/>
      <c r="C587" s="563">
        <v>174</v>
      </c>
      <c r="D587" s="907"/>
      <c r="E587" s="906"/>
      <c r="F587" s="921" t="str">
        <f t="shared" si="28"/>
        <v/>
      </c>
      <c r="G587" s="882" t="str">
        <f t="shared" si="31"/>
        <v/>
      </c>
      <c r="H587" s="919"/>
      <c r="I587" s="922">
        <v>1615</v>
      </c>
      <c r="J587" s="907"/>
      <c r="K587" s="906"/>
      <c r="L587" s="921" t="str">
        <f t="shared" si="29"/>
        <v/>
      </c>
      <c r="M587" s="155" t="str">
        <f t="shared" si="30"/>
        <v/>
      </c>
      <c r="AJ587" s="338"/>
    </row>
    <row r="588" spans="2:37" s="113" customFormat="1" x14ac:dyDescent="0.4">
      <c r="B588" s="80"/>
      <c r="C588" s="563">
        <v>175</v>
      </c>
      <c r="D588" s="907"/>
      <c r="E588" s="906"/>
      <c r="F588" s="921" t="str">
        <f t="shared" si="28"/>
        <v/>
      </c>
      <c r="G588" s="882" t="str">
        <f t="shared" si="31"/>
        <v/>
      </c>
      <c r="H588" s="919"/>
      <c r="I588" s="922">
        <v>1616</v>
      </c>
      <c r="J588" s="907"/>
      <c r="K588" s="906"/>
      <c r="L588" s="921" t="str">
        <f t="shared" si="29"/>
        <v/>
      </c>
      <c r="M588" s="155" t="str">
        <f t="shared" si="30"/>
        <v/>
      </c>
      <c r="AJ588" s="338"/>
    </row>
    <row r="589" spans="2:37" s="113" customFormat="1" x14ac:dyDescent="0.4">
      <c r="B589" s="80"/>
      <c r="C589" s="563">
        <v>176</v>
      </c>
      <c r="D589" s="907"/>
      <c r="E589" s="906"/>
      <c r="F589" s="921" t="str">
        <f t="shared" si="28"/>
        <v/>
      </c>
      <c r="G589" s="882" t="str">
        <f t="shared" si="31"/>
        <v/>
      </c>
      <c r="H589" s="919"/>
      <c r="I589" s="922">
        <v>1617</v>
      </c>
      <c r="J589" s="907"/>
      <c r="K589" s="906"/>
      <c r="L589" s="921" t="str">
        <f t="shared" si="29"/>
        <v/>
      </c>
      <c r="M589" s="155" t="str">
        <f t="shared" si="30"/>
        <v/>
      </c>
      <c r="AJ589" s="338"/>
    </row>
    <row r="590" spans="2:37" s="113" customFormat="1" x14ac:dyDescent="0.4">
      <c r="B590" s="80"/>
      <c r="C590" s="563">
        <v>177</v>
      </c>
      <c r="D590" s="907"/>
      <c r="E590" s="906"/>
      <c r="F590" s="921" t="str">
        <f t="shared" si="28"/>
        <v/>
      </c>
      <c r="G590" s="882" t="str">
        <f t="shared" si="31"/>
        <v/>
      </c>
      <c r="H590" s="919"/>
      <c r="I590" s="922">
        <v>1618</v>
      </c>
      <c r="J590" s="907"/>
      <c r="K590" s="906"/>
      <c r="L590" s="921" t="str">
        <f t="shared" si="29"/>
        <v/>
      </c>
      <c r="M590" s="155" t="str">
        <f t="shared" si="30"/>
        <v/>
      </c>
      <c r="AJ590" s="338"/>
    </row>
    <row r="591" spans="2:37" s="113" customFormat="1" x14ac:dyDescent="0.4">
      <c r="B591" s="80"/>
      <c r="C591" s="563">
        <v>178</v>
      </c>
      <c r="D591" s="907"/>
      <c r="E591" s="906"/>
      <c r="F591" s="921" t="str">
        <f t="shared" si="28"/>
        <v/>
      </c>
      <c r="G591" s="882" t="str">
        <f t="shared" si="31"/>
        <v/>
      </c>
      <c r="H591" s="919"/>
      <c r="I591" s="922">
        <v>1619</v>
      </c>
      <c r="J591" s="907"/>
      <c r="K591" s="906"/>
      <c r="L591" s="921" t="str">
        <f t="shared" si="29"/>
        <v/>
      </c>
      <c r="M591" s="155" t="str">
        <f t="shared" si="30"/>
        <v/>
      </c>
      <c r="T591" s="75"/>
      <c r="U591" s="75"/>
      <c r="V591" s="75"/>
      <c r="W591" s="75"/>
      <c r="X591" s="75"/>
      <c r="Y591" s="340"/>
      <c r="Z591" s="341"/>
      <c r="AA591" s="342"/>
      <c r="AB591" s="342"/>
      <c r="AC591" s="343"/>
      <c r="AG591" s="344"/>
      <c r="AH591" s="344"/>
      <c r="AI591" s="344"/>
      <c r="AJ591" s="97"/>
      <c r="AK591" s="4"/>
    </row>
    <row r="592" spans="2:37" s="113" customFormat="1" x14ac:dyDescent="0.4">
      <c r="B592" s="80"/>
      <c r="C592" s="563">
        <v>179</v>
      </c>
      <c r="D592" s="907"/>
      <c r="E592" s="906"/>
      <c r="F592" s="921" t="str">
        <f t="shared" si="28"/>
        <v/>
      </c>
      <c r="G592" s="882" t="str">
        <f t="shared" si="31"/>
        <v/>
      </c>
      <c r="H592" s="919"/>
      <c r="I592" s="922">
        <v>1620</v>
      </c>
      <c r="J592" s="907"/>
      <c r="K592" s="906"/>
      <c r="L592" s="921" t="str">
        <f t="shared" si="29"/>
        <v/>
      </c>
      <c r="M592" s="155" t="str">
        <f t="shared" si="30"/>
        <v/>
      </c>
      <c r="T592" s="75"/>
      <c r="U592" s="75"/>
      <c r="V592" s="75"/>
      <c r="W592" s="75"/>
      <c r="X592" s="75"/>
      <c r="Y592" s="340"/>
      <c r="Z592" s="341"/>
      <c r="AA592" s="342"/>
      <c r="AB592" s="342"/>
      <c r="AC592" s="343"/>
      <c r="AG592" s="344"/>
      <c r="AH592" s="344"/>
      <c r="AI592" s="344"/>
      <c r="AJ592" s="97"/>
      <c r="AK592" s="4"/>
    </row>
    <row r="593" spans="2:37" s="113" customFormat="1" x14ac:dyDescent="0.4">
      <c r="B593" s="80"/>
      <c r="C593" s="563">
        <v>180</v>
      </c>
      <c r="D593" s="907"/>
      <c r="E593" s="906"/>
      <c r="F593" s="921" t="str">
        <f t="shared" si="28"/>
        <v/>
      </c>
      <c r="G593" s="882" t="str">
        <f t="shared" si="31"/>
        <v/>
      </c>
      <c r="H593" s="919"/>
      <c r="I593" s="922">
        <v>1621</v>
      </c>
      <c r="J593" s="907"/>
      <c r="K593" s="906"/>
      <c r="L593" s="921" t="str">
        <f t="shared" si="29"/>
        <v/>
      </c>
      <c r="M593" s="155" t="str">
        <f t="shared" si="30"/>
        <v/>
      </c>
      <c r="T593" s="75"/>
      <c r="U593" s="75"/>
      <c r="V593" s="75"/>
      <c r="W593" s="75"/>
      <c r="X593" s="75"/>
      <c r="Y593" s="340"/>
      <c r="Z593" s="341"/>
      <c r="AA593" s="342"/>
      <c r="AB593" s="342"/>
      <c r="AC593" s="343"/>
      <c r="AG593" s="344"/>
      <c r="AH593" s="344"/>
      <c r="AI593" s="344"/>
      <c r="AJ593" s="97"/>
      <c r="AK593" s="4"/>
    </row>
    <row r="594" spans="2:37" s="113" customFormat="1" x14ac:dyDescent="0.4">
      <c r="B594" s="80"/>
      <c r="C594" s="563">
        <v>181</v>
      </c>
      <c r="D594" s="907"/>
      <c r="E594" s="906"/>
      <c r="F594" s="921" t="str">
        <f t="shared" si="28"/>
        <v/>
      </c>
      <c r="G594" s="882" t="str">
        <f t="shared" si="31"/>
        <v/>
      </c>
      <c r="H594" s="919"/>
      <c r="I594" s="922">
        <v>1622</v>
      </c>
      <c r="J594" s="907"/>
      <c r="K594" s="906"/>
      <c r="L594" s="921" t="str">
        <f t="shared" si="29"/>
        <v/>
      </c>
      <c r="M594" s="155" t="str">
        <f t="shared" si="30"/>
        <v/>
      </c>
      <c r="T594" s="75"/>
      <c r="U594" s="75"/>
      <c r="V594" s="75"/>
      <c r="W594" s="75"/>
      <c r="X594" s="75"/>
      <c r="Y594" s="340"/>
      <c r="Z594" s="341"/>
      <c r="AA594" s="342"/>
      <c r="AB594" s="342"/>
      <c r="AC594" s="343"/>
      <c r="AG594" s="344"/>
      <c r="AH594" s="344"/>
      <c r="AI594" s="344"/>
      <c r="AJ594" s="97"/>
      <c r="AK594" s="4"/>
    </row>
    <row r="595" spans="2:37" s="113" customFormat="1" x14ac:dyDescent="0.4">
      <c r="B595" s="80"/>
      <c r="C595" s="563">
        <v>182</v>
      </c>
      <c r="D595" s="907"/>
      <c r="E595" s="906"/>
      <c r="F595" s="921" t="str">
        <f t="shared" si="28"/>
        <v/>
      </c>
      <c r="G595" s="882" t="str">
        <f t="shared" si="31"/>
        <v/>
      </c>
      <c r="H595" s="919"/>
      <c r="I595" s="922">
        <v>1623</v>
      </c>
      <c r="J595" s="907"/>
      <c r="K595" s="906"/>
      <c r="L595" s="921" t="str">
        <f t="shared" si="29"/>
        <v/>
      </c>
      <c r="M595" s="155" t="str">
        <f t="shared" si="30"/>
        <v/>
      </c>
      <c r="T595" s="75"/>
      <c r="U595" s="75"/>
      <c r="V595" s="75"/>
      <c r="W595" s="75"/>
      <c r="X595" s="75"/>
      <c r="Y595" s="340"/>
      <c r="Z595" s="341"/>
      <c r="AA595" s="342"/>
      <c r="AB595" s="342"/>
      <c r="AC595" s="343"/>
      <c r="AG595" s="344"/>
      <c r="AH595" s="344"/>
      <c r="AI595" s="344"/>
      <c r="AJ595" s="97"/>
      <c r="AK595" s="4"/>
    </row>
    <row r="596" spans="2:37" s="113" customFormat="1" x14ac:dyDescent="0.4">
      <c r="B596" s="80"/>
      <c r="C596" s="563">
        <v>183</v>
      </c>
      <c r="D596" s="907"/>
      <c r="E596" s="906"/>
      <c r="F596" s="921" t="str">
        <f t="shared" si="28"/>
        <v/>
      </c>
      <c r="G596" s="882" t="str">
        <f t="shared" si="31"/>
        <v/>
      </c>
      <c r="H596" s="919"/>
      <c r="I596" s="922">
        <v>1624</v>
      </c>
      <c r="J596" s="907"/>
      <c r="K596" s="906"/>
      <c r="L596" s="921" t="str">
        <f t="shared" si="29"/>
        <v/>
      </c>
      <c r="M596" s="155" t="str">
        <f t="shared" si="30"/>
        <v/>
      </c>
      <c r="T596" s="75"/>
      <c r="U596" s="75"/>
      <c r="V596" s="75"/>
      <c r="W596" s="75"/>
      <c r="X596" s="75"/>
      <c r="Y596" s="340"/>
      <c r="Z596" s="341"/>
      <c r="AA596" s="342"/>
      <c r="AB596" s="342"/>
      <c r="AC596" s="343"/>
      <c r="AG596" s="344"/>
      <c r="AH596" s="344"/>
      <c r="AI596" s="344"/>
      <c r="AJ596" s="97"/>
      <c r="AK596" s="4"/>
    </row>
    <row r="597" spans="2:37" s="113" customFormat="1" x14ac:dyDescent="0.4">
      <c r="B597" s="80"/>
      <c r="C597" s="563">
        <v>184</v>
      </c>
      <c r="D597" s="907"/>
      <c r="E597" s="906"/>
      <c r="F597" s="921" t="str">
        <f t="shared" si="28"/>
        <v/>
      </c>
      <c r="G597" s="882" t="str">
        <f t="shared" si="31"/>
        <v/>
      </c>
      <c r="H597" s="919"/>
      <c r="I597" s="922">
        <v>1625</v>
      </c>
      <c r="J597" s="907"/>
      <c r="K597" s="906"/>
      <c r="L597" s="921" t="str">
        <f t="shared" si="29"/>
        <v/>
      </c>
      <c r="M597" s="155" t="str">
        <f t="shared" si="30"/>
        <v/>
      </c>
      <c r="T597" s="75"/>
      <c r="U597" s="75"/>
      <c r="V597" s="75"/>
      <c r="W597" s="75"/>
      <c r="X597" s="75"/>
      <c r="Y597" s="340"/>
      <c r="Z597" s="341"/>
      <c r="AA597" s="342"/>
      <c r="AB597" s="342"/>
      <c r="AC597" s="343"/>
      <c r="AG597" s="344"/>
      <c r="AH597" s="344"/>
      <c r="AI597" s="344"/>
      <c r="AJ597" s="97"/>
      <c r="AK597" s="4"/>
    </row>
    <row r="598" spans="2:37" s="113" customFormat="1" x14ac:dyDescent="0.4">
      <c r="B598" s="80"/>
      <c r="C598" s="563">
        <v>185</v>
      </c>
      <c r="D598" s="907"/>
      <c r="E598" s="906"/>
      <c r="F598" s="921" t="str">
        <f t="shared" si="28"/>
        <v/>
      </c>
      <c r="G598" s="882" t="str">
        <f t="shared" si="31"/>
        <v/>
      </c>
      <c r="H598" s="919"/>
      <c r="I598" s="922">
        <v>1626</v>
      </c>
      <c r="J598" s="907"/>
      <c r="K598" s="906"/>
      <c r="L598" s="921" t="str">
        <f t="shared" si="29"/>
        <v/>
      </c>
      <c r="M598" s="155" t="str">
        <f t="shared" si="30"/>
        <v/>
      </c>
      <c r="T598" s="75"/>
      <c r="U598" s="75"/>
      <c r="V598" s="75"/>
      <c r="W598" s="75"/>
      <c r="X598" s="75"/>
      <c r="Y598" s="340"/>
      <c r="Z598" s="341"/>
      <c r="AA598" s="342"/>
      <c r="AB598" s="342"/>
      <c r="AC598" s="343"/>
      <c r="AG598" s="344"/>
      <c r="AH598" s="344"/>
      <c r="AI598" s="344"/>
      <c r="AJ598" s="97"/>
      <c r="AK598" s="4"/>
    </row>
    <row r="599" spans="2:37" s="113" customFormat="1" x14ac:dyDescent="0.4">
      <c r="B599" s="80"/>
      <c r="C599" s="563">
        <v>186</v>
      </c>
      <c r="D599" s="907"/>
      <c r="E599" s="906"/>
      <c r="F599" s="921" t="str">
        <f t="shared" si="28"/>
        <v/>
      </c>
      <c r="G599" s="882" t="str">
        <f t="shared" si="31"/>
        <v/>
      </c>
      <c r="H599" s="919"/>
      <c r="I599" s="922">
        <v>1627</v>
      </c>
      <c r="J599" s="907"/>
      <c r="K599" s="906"/>
      <c r="L599" s="921" t="str">
        <f t="shared" si="29"/>
        <v/>
      </c>
      <c r="M599" s="155" t="str">
        <f t="shared" si="30"/>
        <v/>
      </c>
      <c r="T599" s="75"/>
      <c r="U599" s="75"/>
      <c r="V599" s="75"/>
      <c r="W599" s="75"/>
      <c r="X599" s="75"/>
      <c r="Y599" s="340"/>
      <c r="Z599" s="341"/>
      <c r="AA599" s="342"/>
      <c r="AB599" s="342"/>
      <c r="AC599" s="343"/>
      <c r="AG599" s="344"/>
      <c r="AH599" s="344"/>
      <c r="AI599" s="344"/>
      <c r="AJ599" s="97"/>
      <c r="AK599" s="4"/>
    </row>
    <row r="600" spans="2:37" s="113" customFormat="1" x14ac:dyDescent="0.4">
      <c r="B600" s="80"/>
      <c r="C600" s="563">
        <v>187</v>
      </c>
      <c r="D600" s="907"/>
      <c r="E600" s="906"/>
      <c r="F600" s="921" t="str">
        <f t="shared" si="28"/>
        <v/>
      </c>
      <c r="G600" s="882" t="str">
        <f t="shared" si="31"/>
        <v/>
      </c>
      <c r="H600" s="919"/>
      <c r="I600" s="922">
        <v>1628</v>
      </c>
      <c r="J600" s="907"/>
      <c r="K600" s="906"/>
      <c r="L600" s="921" t="str">
        <f t="shared" si="29"/>
        <v/>
      </c>
      <c r="M600" s="155" t="str">
        <f t="shared" si="30"/>
        <v/>
      </c>
      <c r="T600" s="75"/>
      <c r="U600" s="75"/>
      <c r="V600" s="75"/>
      <c r="W600" s="75"/>
      <c r="X600" s="75"/>
      <c r="Y600" s="340"/>
      <c r="Z600" s="341"/>
      <c r="AA600" s="342"/>
      <c r="AB600" s="342"/>
      <c r="AC600" s="343"/>
      <c r="AG600" s="344"/>
      <c r="AH600" s="344"/>
      <c r="AI600" s="344"/>
      <c r="AJ600" s="97"/>
      <c r="AK600" s="4"/>
    </row>
    <row r="601" spans="2:37" s="113" customFormat="1" x14ac:dyDescent="0.4">
      <c r="B601" s="80"/>
      <c r="C601" s="563">
        <v>188</v>
      </c>
      <c r="D601" s="907"/>
      <c r="E601" s="906"/>
      <c r="F601" s="921" t="str">
        <f t="shared" si="28"/>
        <v/>
      </c>
      <c r="G601" s="882" t="str">
        <f t="shared" si="31"/>
        <v/>
      </c>
      <c r="H601" s="919"/>
      <c r="I601" s="922">
        <v>1629</v>
      </c>
      <c r="J601" s="907"/>
      <c r="K601" s="906"/>
      <c r="L601" s="921" t="str">
        <f t="shared" si="29"/>
        <v/>
      </c>
      <c r="M601" s="155" t="str">
        <f t="shared" si="30"/>
        <v/>
      </c>
      <c r="T601" s="75"/>
      <c r="U601" s="75"/>
      <c r="V601" s="75"/>
      <c r="W601" s="75"/>
      <c r="X601" s="75"/>
      <c r="Y601" s="340"/>
      <c r="Z601" s="341"/>
      <c r="AA601" s="342"/>
      <c r="AB601" s="342"/>
      <c r="AC601" s="343"/>
      <c r="AG601" s="344"/>
      <c r="AH601" s="344"/>
      <c r="AI601" s="344"/>
      <c r="AJ601" s="97"/>
      <c r="AK601" s="4"/>
    </row>
    <row r="602" spans="2:37" s="113" customFormat="1" x14ac:dyDescent="0.4">
      <c r="B602" s="80"/>
      <c r="C602" s="563">
        <v>189</v>
      </c>
      <c r="D602" s="907"/>
      <c r="E602" s="906"/>
      <c r="F602" s="921" t="str">
        <f t="shared" si="28"/>
        <v/>
      </c>
      <c r="G602" s="882" t="str">
        <f t="shared" si="31"/>
        <v/>
      </c>
      <c r="H602" s="919"/>
      <c r="I602" s="922">
        <v>1630</v>
      </c>
      <c r="J602" s="907"/>
      <c r="K602" s="906"/>
      <c r="L602" s="921" t="str">
        <f t="shared" si="29"/>
        <v/>
      </c>
      <c r="M602" s="155" t="str">
        <f t="shared" si="30"/>
        <v/>
      </c>
      <c r="T602" s="75"/>
      <c r="U602" s="75"/>
      <c r="V602" s="75"/>
      <c r="W602" s="75"/>
      <c r="X602" s="75"/>
      <c r="Y602" s="340"/>
      <c r="Z602" s="341"/>
      <c r="AA602" s="342"/>
      <c r="AB602" s="342"/>
      <c r="AC602" s="343"/>
      <c r="AG602" s="344"/>
      <c r="AH602" s="344"/>
      <c r="AI602" s="344"/>
      <c r="AJ602" s="97"/>
      <c r="AK602" s="4"/>
    </row>
    <row r="603" spans="2:37" s="113" customFormat="1" x14ac:dyDescent="0.4">
      <c r="B603" s="80"/>
      <c r="C603" s="563">
        <v>190</v>
      </c>
      <c r="D603" s="907"/>
      <c r="E603" s="906"/>
      <c r="F603" s="921" t="str">
        <f t="shared" si="28"/>
        <v/>
      </c>
      <c r="G603" s="882" t="str">
        <f t="shared" si="31"/>
        <v/>
      </c>
      <c r="H603" s="919"/>
      <c r="I603" s="922">
        <v>1631</v>
      </c>
      <c r="J603" s="907"/>
      <c r="K603" s="906"/>
      <c r="L603" s="921" t="str">
        <f t="shared" si="29"/>
        <v/>
      </c>
      <c r="M603" s="155" t="str">
        <f t="shared" si="30"/>
        <v/>
      </c>
      <c r="T603" s="75"/>
      <c r="U603" s="75"/>
      <c r="V603" s="75"/>
      <c r="W603" s="75"/>
      <c r="X603" s="75"/>
      <c r="Y603" s="340"/>
      <c r="Z603" s="341"/>
      <c r="AA603" s="342"/>
      <c r="AB603" s="342"/>
      <c r="AC603" s="343"/>
      <c r="AG603" s="344"/>
      <c r="AH603" s="344"/>
      <c r="AI603" s="344"/>
      <c r="AJ603" s="97"/>
      <c r="AK603" s="4"/>
    </row>
    <row r="604" spans="2:37" s="113" customFormat="1" x14ac:dyDescent="0.4">
      <c r="B604" s="80"/>
      <c r="C604" s="563">
        <v>191</v>
      </c>
      <c r="D604" s="907"/>
      <c r="E604" s="906"/>
      <c r="F604" s="921" t="str">
        <f t="shared" si="28"/>
        <v/>
      </c>
      <c r="G604" s="882" t="str">
        <f t="shared" si="31"/>
        <v/>
      </c>
      <c r="H604" s="919"/>
      <c r="I604" s="922">
        <v>1632</v>
      </c>
      <c r="J604" s="907"/>
      <c r="K604" s="906"/>
      <c r="L604" s="921" t="str">
        <f t="shared" si="29"/>
        <v/>
      </c>
      <c r="M604" s="155" t="str">
        <f t="shared" si="30"/>
        <v/>
      </c>
      <c r="T604" s="75"/>
      <c r="U604" s="75"/>
      <c r="V604" s="75"/>
      <c r="W604" s="75"/>
      <c r="X604" s="75"/>
      <c r="Y604" s="340"/>
      <c r="Z604" s="341"/>
      <c r="AA604" s="342"/>
      <c r="AB604" s="342"/>
      <c r="AC604" s="343"/>
      <c r="AG604" s="344"/>
      <c r="AH604" s="344"/>
      <c r="AI604" s="344"/>
      <c r="AJ604" s="97"/>
      <c r="AK604" s="4"/>
    </row>
    <row r="605" spans="2:37" s="113" customFormat="1" x14ac:dyDescent="0.4">
      <c r="B605" s="80"/>
      <c r="C605" s="563">
        <v>192</v>
      </c>
      <c r="D605" s="907"/>
      <c r="E605" s="906"/>
      <c r="F605" s="921" t="str">
        <f t="shared" si="28"/>
        <v/>
      </c>
      <c r="G605" s="882" t="str">
        <f t="shared" si="31"/>
        <v/>
      </c>
      <c r="H605" s="919"/>
      <c r="I605" s="922">
        <v>1633</v>
      </c>
      <c r="J605" s="907"/>
      <c r="K605" s="906"/>
      <c r="L605" s="921" t="str">
        <f t="shared" si="29"/>
        <v/>
      </c>
      <c r="M605" s="155" t="str">
        <f t="shared" si="30"/>
        <v/>
      </c>
      <c r="T605" s="75"/>
      <c r="U605" s="75"/>
      <c r="V605" s="75"/>
      <c r="W605" s="75"/>
      <c r="X605" s="75"/>
      <c r="Y605" s="340"/>
      <c r="Z605" s="341"/>
      <c r="AA605" s="342"/>
      <c r="AB605" s="342"/>
      <c r="AC605" s="343"/>
      <c r="AG605" s="344"/>
      <c r="AH605" s="344"/>
      <c r="AI605" s="344"/>
      <c r="AJ605" s="97"/>
      <c r="AK605" s="4"/>
    </row>
    <row r="606" spans="2:37" s="113" customFormat="1" x14ac:dyDescent="0.4">
      <c r="B606" s="80"/>
      <c r="C606" s="563">
        <v>193</v>
      </c>
      <c r="D606" s="907"/>
      <c r="E606" s="906"/>
      <c r="F606" s="921" t="str">
        <f t="shared" ref="F606:F669" si="32">IF($D$30="","",IF(OR(
AND(C606&gt;=0,C606&lt;=$D$32),
AND(C606&gt;=$E$30,C606&lt;=$E$32),
AND(C606&gt;=$F$30,C606&lt;=$F$32),
AND(C606&gt;=$G$30,C606&lt;=$G$32),
AND(C606&gt;=$H$30,C606&lt;=$H$32),
AND(C606&gt;=$I$30,C606&lt;=$I$32),
AND(C606&gt;=$J$30,C606&lt;=$J$32),
AND(C606&gt;=$K$30,C606&lt;=$K$32),
AND(C606&gt;=$L$30,C606&lt;=$L$32),
AND(C606&gt;=$M$30,C606&lt;=$M$32,$M$32&lt;&gt;""),
AND(C606&gt;=$N$30,C606&lt;=$N$32,$N$32&lt;&gt;""),
AND(C606&gt;=$O$30,C606&lt;=$O$32,$O$32&lt;&gt;""),
AND(C606&gt;=$P$30,C606&lt;=$P$32,$P$32&lt;&gt;""),
AND(C606&gt;=$Q$30,C606&lt;=$Q$32,$Q$32&lt;&gt;"")
),"ON","OFF"))</f>
        <v/>
      </c>
      <c r="G606" s="882" t="str">
        <f t="shared" si="31"/>
        <v/>
      </c>
      <c r="H606" s="919"/>
      <c r="I606" s="922">
        <v>1634</v>
      </c>
      <c r="J606" s="907"/>
      <c r="K606" s="906"/>
      <c r="L606" s="921" t="str">
        <f t="shared" ref="L606:L669" si="33">IF($D$30="","",IF(OR(
AND(I606&gt;=0,I606&lt;=$D$32),
AND(I606&gt;=$E$30,I606&lt;=$E$32),
AND(I606&gt;=$F$30,I606&lt;=$F$32),
AND(I606&gt;=$G$30,I606&lt;=$G$32),
AND(I606&gt;=$H$30,I606&lt;=$H$32),
AND(I606&gt;=$I$30,I606&lt;=$I$32),
AND(I606&gt;=$J$30,I606&lt;=$J$32),
AND(I606&gt;=$K$30,I606&lt;=$K$32),
AND(I606&gt;=$L$30,I606&lt;=$L$32),
AND(I606&gt;=$M$30,I606&lt;=$M$32,$M$32&lt;&gt;""),
AND(I606&gt;=$N$30,I606&lt;=$N$32,$N$32&lt;&gt;""),
AND(I606&gt;=$O$30,I606&lt;=$O$32,$O$32&lt;&gt;""),
AND(I606&gt;=$P$30,I606&lt;=$P$32,$P$32&lt;&gt;""),
AND(I606&gt;=$Q$30,I606&lt;=$Q$32,$Q$32&lt;&gt;"")
),"ON","OFF"))</f>
        <v/>
      </c>
      <c r="M606" s="155" t="str">
        <f t="shared" ref="M606:M669" si="34">IF(OR($D$47="",$D$48=""),"",IF(OR(
AND(I606&gt;=$D$47,I606&lt;=$D$48),
AND(I606&gt;=$E$47,I606&lt;=$E$48),
AND(I606&gt;=$F$47,I606&lt;=$F$48),
AND(I606&gt;=$G$47,I606&lt;=$G$48),
AND(I606&gt;=$H$47,I606&lt;=$H$48),
AND(I606&gt;=$I$47,I606&lt;=$I$48),
AND(I606&gt;=$J$47,I606&lt;=$J$48),
AND(I606&gt;=$K$47,I606&lt;=$K$48),
AND(I606&gt;=$L$47,I606&lt;=$L$48),
AND(I606&gt;=$M$47,I606&lt;=$M$48),
AND(I606&gt;=$N$47,I606&lt;=$N$48),
AND(I606&gt;=$O$47,I606&lt;=$O$48),
AND(I606&gt;=$P$47,I606&lt;=$P$48),
AND(I606&gt;=$Q$47,I606&lt;=$Q$48),
AND(I606&gt;=$R$47,I606&lt;=$R$48),
AND(I606&gt;=$S$47,I606&lt;=$S$48),
AND(I606&gt;=$T$47,I606&lt;=$T$48),
AND(I606&gt;=$U$47,I606&lt;=$U$48),
AND(I606&gt;=$V$47,I606&lt;=$V$48),
AND(I606&gt;=$W$47,I606&lt;=$W$48),
AND(I606&gt;=$X$47,I606&lt;=$X$48),
AND(I606&gt;=$Y$47,I606&lt;=$Y$48),
AND(I606&gt;=$Z$47,I606&lt;=$Z$48),
AND(I606&gt;=$AA$47,I606&lt;=$AA$48),
AND(I606&gt;=$AB$47,I606&lt;=$AB$48),
AND(I606&gt;=$AC$47,I606&lt;=$AC$48),
AND(I606&gt;=$AD$47,I606&lt;=$AD$48),
AND(I606&gt;=$AE$47,I606&lt;=$AE$48),
AND(I606&gt;=$AF$47,I606&lt;=$AF$48),
AND(I606&gt;=$AG$47,I606&lt;=$AG$48)
),"ON","OFF"))</f>
        <v/>
      </c>
      <c r="T606" s="75"/>
      <c r="U606" s="75"/>
      <c r="V606" s="75"/>
      <c r="W606" s="75"/>
      <c r="X606" s="75"/>
      <c r="Y606" s="340"/>
      <c r="Z606" s="341"/>
      <c r="AA606" s="342"/>
      <c r="AB606" s="342"/>
      <c r="AC606" s="343"/>
      <c r="AG606" s="344"/>
      <c r="AH606" s="344"/>
      <c r="AI606" s="344"/>
      <c r="AJ606" s="97"/>
      <c r="AK606" s="4"/>
    </row>
    <row r="607" spans="2:37" s="113" customFormat="1" x14ac:dyDescent="0.4">
      <c r="B607" s="80"/>
      <c r="C607" s="563">
        <v>194</v>
      </c>
      <c r="D607" s="907"/>
      <c r="E607" s="906"/>
      <c r="F607" s="921" t="str">
        <f t="shared" si="32"/>
        <v/>
      </c>
      <c r="G607" s="882" t="str">
        <f t="shared" ref="G607:G670" si="35">IF(OR($D$47="",$D$48=""),"",IF(OR(
AND(C607&gt;=$D$47,C607&lt;=$D$48),
AND(C607&gt;=$E$47,C607&lt;=$E$48),
AND(C607&gt;=$F$47,C607&lt;=$F$48),
AND(C607&gt;=$G$47,C607&lt;=$G$48),
AND(C607&gt;=$H$47,C607&lt;=$H$48),
AND(C607&gt;=$I$47,C607&lt;=$I$48),
AND(C607&gt;=$J$47,C607&lt;=$J$48),
AND(C607&gt;=$K$47,C607&lt;=$K$48),
AND(C607&gt;=$L$47,C607&lt;=$L$48),
AND(C607&gt;=$M$47,C607&lt;=$M$48),
AND(C607&gt;=$N$47,C607&lt;=$N$48),
AND(C607&gt;=$O$47,C607&lt;=$O$48),
AND(C607&gt;=$P$47,C607&lt;=$P$48),
AND(C607&gt;=$Q$47,C607&lt;=$Q$48),
AND(C607&gt;=$R$47,C607&lt;=$R$48),
AND(C607&gt;=$S$47,C607&lt;=$S$48),
AND(C607&gt;=$T$47,C607&lt;=$T$48),
AND(C607&gt;=$U$47,C607&lt;=$U$48),
AND(C607&gt;=$V$47,C607&lt;=$V$48),
AND(C607&gt;=$W$47,C607&lt;=$W$48),
AND(C607&gt;=$X$47,C607&lt;=$X$48),
AND(C607&gt;=$Y$47,C607&lt;=$Y$48),
AND(C607&gt;=$Z$47,C607&lt;=$Z$48),
AND(C607&gt;=$AA$47,C607&lt;=$AA$48),
AND(C607&gt;=$AB$47,C607&lt;=$AB$48),
AND(C607&gt;=$AC$47,C607&lt;=$AC$48),
AND(C607&gt;=$AD$47,C607&lt;=$AD$48),
AND(C607&gt;=$AE$47,C607&lt;=$AE$48),
AND(C607&gt;=$AF$47,C607&lt;=$AF$48),
AND(C607&gt;=$AG$47,C607&lt;=$AG$48)
),"ON","OFF"))</f>
        <v/>
      </c>
      <c r="H607" s="919"/>
      <c r="I607" s="922">
        <v>1635</v>
      </c>
      <c r="J607" s="907"/>
      <c r="K607" s="906"/>
      <c r="L607" s="921" t="str">
        <f t="shared" si="33"/>
        <v/>
      </c>
      <c r="M607" s="155" t="str">
        <f t="shared" si="34"/>
        <v/>
      </c>
      <c r="T607" s="75"/>
      <c r="U607" s="75"/>
      <c r="V607" s="75"/>
      <c r="W607" s="75"/>
      <c r="X607" s="75"/>
      <c r="Y607" s="340"/>
      <c r="Z607" s="341"/>
      <c r="AA607" s="342"/>
      <c r="AB607" s="342"/>
      <c r="AC607" s="343"/>
      <c r="AG607" s="344"/>
      <c r="AH607" s="344"/>
      <c r="AI607" s="344"/>
      <c r="AJ607" s="97"/>
      <c r="AK607" s="4"/>
    </row>
    <row r="608" spans="2:37" s="113" customFormat="1" x14ac:dyDescent="0.4">
      <c r="B608" s="80"/>
      <c r="C608" s="563">
        <v>195</v>
      </c>
      <c r="D608" s="907"/>
      <c r="E608" s="906"/>
      <c r="F608" s="921" t="str">
        <f t="shared" si="32"/>
        <v/>
      </c>
      <c r="G608" s="882" t="str">
        <f t="shared" si="35"/>
        <v/>
      </c>
      <c r="H608" s="919"/>
      <c r="I608" s="922">
        <v>1636</v>
      </c>
      <c r="J608" s="907"/>
      <c r="K608" s="906"/>
      <c r="L608" s="921" t="str">
        <f t="shared" si="33"/>
        <v/>
      </c>
      <c r="M608" s="155" t="str">
        <f t="shared" si="34"/>
        <v/>
      </c>
      <c r="T608" s="75"/>
      <c r="U608" s="75"/>
      <c r="V608" s="75"/>
      <c r="W608" s="75"/>
      <c r="X608" s="75"/>
      <c r="Y608" s="340"/>
      <c r="Z608" s="341"/>
      <c r="AA608" s="342"/>
      <c r="AB608" s="342"/>
      <c r="AC608" s="343"/>
      <c r="AG608" s="344"/>
      <c r="AH608" s="344"/>
      <c r="AI608" s="344"/>
      <c r="AJ608" s="97"/>
      <c r="AK608" s="4"/>
    </row>
    <row r="609" spans="2:37" s="113" customFormat="1" x14ac:dyDescent="0.4">
      <c r="B609" s="80"/>
      <c r="C609" s="563">
        <v>196</v>
      </c>
      <c r="D609" s="907"/>
      <c r="E609" s="906"/>
      <c r="F609" s="921" t="str">
        <f t="shared" si="32"/>
        <v/>
      </c>
      <c r="G609" s="882" t="str">
        <f t="shared" si="35"/>
        <v/>
      </c>
      <c r="H609" s="919"/>
      <c r="I609" s="922">
        <v>1637</v>
      </c>
      <c r="J609" s="907"/>
      <c r="K609" s="906"/>
      <c r="L609" s="921" t="str">
        <f t="shared" si="33"/>
        <v/>
      </c>
      <c r="M609" s="155" t="str">
        <f t="shared" si="34"/>
        <v/>
      </c>
      <c r="T609" s="75"/>
      <c r="U609" s="75"/>
      <c r="V609" s="75"/>
      <c r="W609" s="75"/>
      <c r="X609" s="75"/>
      <c r="Y609" s="340"/>
      <c r="Z609" s="341"/>
      <c r="AA609" s="342"/>
      <c r="AB609" s="342"/>
      <c r="AC609" s="343"/>
      <c r="AG609" s="344"/>
      <c r="AH609" s="344"/>
      <c r="AI609" s="344"/>
      <c r="AJ609" s="97"/>
      <c r="AK609" s="4"/>
    </row>
    <row r="610" spans="2:37" s="113" customFormat="1" x14ac:dyDescent="0.4">
      <c r="B610" s="80"/>
      <c r="C610" s="563">
        <v>197</v>
      </c>
      <c r="D610" s="907"/>
      <c r="E610" s="906"/>
      <c r="F610" s="921" t="str">
        <f t="shared" si="32"/>
        <v/>
      </c>
      <c r="G610" s="882" t="str">
        <f t="shared" si="35"/>
        <v/>
      </c>
      <c r="H610" s="919"/>
      <c r="I610" s="922">
        <v>1638</v>
      </c>
      <c r="J610" s="907"/>
      <c r="K610" s="906"/>
      <c r="L610" s="921" t="str">
        <f t="shared" si="33"/>
        <v/>
      </c>
      <c r="M610" s="155" t="str">
        <f t="shared" si="34"/>
        <v/>
      </c>
      <c r="T610" s="75"/>
      <c r="U610" s="75"/>
      <c r="V610" s="75"/>
      <c r="W610" s="75"/>
      <c r="X610" s="75"/>
      <c r="Y610" s="340"/>
      <c r="Z610" s="341"/>
      <c r="AA610" s="342"/>
      <c r="AB610" s="342"/>
      <c r="AC610" s="343"/>
      <c r="AG610" s="344"/>
      <c r="AH610" s="344"/>
      <c r="AI610" s="344"/>
      <c r="AJ610" s="97"/>
      <c r="AK610" s="4"/>
    </row>
    <row r="611" spans="2:37" s="113" customFormat="1" x14ac:dyDescent="0.4">
      <c r="B611" s="80"/>
      <c r="C611" s="563">
        <v>198</v>
      </c>
      <c r="D611" s="907"/>
      <c r="E611" s="906"/>
      <c r="F611" s="921" t="str">
        <f t="shared" si="32"/>
        <v/>
      </c>
      <c r="G611" s="882" t="str">
        <f t="shared" si="35"/>
        <v/>
      </c>
      <c r="H611" s="919"/>
      <c r="I611" s="922">
        <v>1639</v>
      </c>
      <c r="J611" s="907"/>
      <c r="K611" s="906"/>
      <c r="L611" s="921" t="str">
        <f t="shared" si="33"/>
        <v/>
      </c>
      <c r="M611" s="155" t="str">
        <f t="shared" si="34"/>
        <v/>
      </c>
      <c r="T611" s="75"/>
      <c r="U611" s="75"/>
      <c r="V611" s="75"/>
      <c r="W611" s="75"/>
      <c r="X611" s="75"/>
      <c r="Y611" s="340"/>
      <c r="Z611" s="341"/>
      <c r="AA611" s="342"/>
      <c r="AB611" s="342"/>
      <c r="AC611" s="343"/>
      <c r="AG611" s="344"/>
      <c r="AH611" s="344"/>
      <c r="AI611" s="344"/>
      <c r="AJ611" s="97"/>
      <c r="AK611" s="4"/>
    </row>
    <row r="612" spans="2:37" s="113" customFormat="1" x14ac:dyDescent="0.4">
      <c r="B612" s="80"/>
      <c r="C612" s="563">
        <v>199</v>
      </c>
      <c r="D612" s="907"/>
      <c r="E612" s="906"/>
      <c r="F612" s="921" t="str">
        <f t="shared" si="32"/>
        <v/>
      </c>
      <c r="G612" s="882" t="str">
        <f t="shared" si="35"/>
        <v/>
      </c>
      <c r="H612" s="919"/>
      <c r="I612" s="922">
        <v>1640</v>
      </c>
      <c r="J612" s="907"/>
      <c r="K612" s="906"/>
      <c r="L612" s="921" t="str">
        <f t="shared" si="33"/>
        <v/>
      </c>
      <c r="M612" s="155" t="str">
        <f t="shared" si="34"/>
        <v/>
      </c>
      <c r="T612" s="75"/>
      <c r="U612" s="75"/>
      <c r="V612" s="75"/>
      <c r="W612" s="75"/>
      <c r="X612" s="75"/>
      <c r="Y612" s="340"/>
      <c r="Z612" s="341"/>
      <c r="AA612" s="342"/>
      <c r="AB612" s="342"/>
      <c r="AC612" s="343"/>
      <c r="AG612" s="344"/>
      <c r="AH612" s="344"/>
      <c r="AI612" s="344"/>
      <c r="AJ612" s="97"/>
      <c r="AK612" s="4"/>
    </row>
    <row r="613" spans="2:37" s="113" customFormat="1" x14ac:dyDescent="0.4">
      <c r="B613" s="80"/>
      <c r="C613" s="563">
        <v>200</v>
      </c>
      <c r="D613" s="907"/>
      <c r="E613" s="906"/>
      <c r="F613" s="921" t="str">
        <f t="shared" si="32"/>
        <v/>
      </c>
      <c r="G613" s="882" t="str">
        <f t="shared" si="35"/>
        <v/>
      </c>
      <c r="H613" s="919"/>
      <c r="I613" s="922">
        <v>1641</v>
      </c>
      <c r="J613" s="907"/>
      <c r="K613" s="906"/>
      <c r="L613" s="921" t="str">
        <f t="shared" si="33"/>
        <v/>
      </c>
      <c r="M613" s="155" t="str">
        <f t="shared" si="34"/>
        <v/>
      </c>
      <c r="T613" s="75"/>
      <c r="U613" s="75"/>
      <c r="V613" s="75"/>
      <c r="W613" s="75"/>
      <c r="X613" s="75"/>
      <c r="Y613" s="340"/>
      <c r="Z613" s="341"/>
      <c r="AA613" s="342"/>
      <c r="AB613" s="342"/>
      <c r="AC613" s="343"/>
      <c r="AG613" s="344"/>
      <c r="AH613" s="344"/>
      <c r="AI613" s="344"/>
      <c r="AJ613" s="97"/>
      <c r="AK613" s="4"/>
    </row>
    <row r="614" spans="2:37" s="113" customFormat="1" x14ac:dyDescent="0.4">
      <c r="B614" s="80"/>
      <c r="C614" s="563">
        <v>201</v>
      </c>
      <c r="D614" s="907"/>
      <c r="E614" s="906"/>
      <c r="F614" s="921" t="str">
        <f t="shared" si="32"/>
        <v/>
      </c>
      <c r="G614" s="882" t="str">
        <f t="shared" si="35"/>
        <v/>
      </c>
      <c r="H614" s="919"/>
      <c r="I614" s="922">
        <v>1642</v>
      </c>
      <c r="J614" s="907"/>
      <c r="K614" s="906"/>
      <c r="L614" s="921" t="str">
        <f t="shared" si="33"/>
        <v/>
      </c>
      <c r="M614" s="155" t="str">
        <f t="shared" si="34"/>
        <v/>
      </c>
      <c r="T614" s="75"/>
      <c r="U614" s="75"/>
      <c r="V614" s="75"/>
      <c r="W614" s="75"/>
      <c r="X614" s="75"/>
      <c r="Y614" s="340"/>
      <c r="Z614" s="341"/>
      <c r="AA614" s="342"/>
      <c r="AB614" s="342"/>
      <c r="AC614" s="343"/>
      <c r="AG614" s="344"/>
      <c r="AH614" s="344"/>
      <c r="AI614" s="344"/>
      <c r="AJ614" s="97"/>
      <c r="AK614" s="4"/>
    </row>
    <row r="615" spans="2:37" s="113" customFormat="1" x14ac:dyDescent="0.4">
      <c r="B615" s="80"/>
      <c r="C615" s="563">
        <v>202</v>
      </c>
      <c r="D615" s="907"/>
      <c r="E615" s="906"/>
      <c r="F615" s="921" t="str">
        <f t="shared" si="32"/>
        <v/>
      </c>
      <c r="G615" s="882" t="str">
        <f t="shared" si="35"/>
        <v/>
      </c>
      <c r="H615" s="919"/>
      <c r="I615" s="922">
        <v>1643</v>
      </c>
      <c r="J615" s="907"/>
      <c r="K615" s="906"/>
      <c r="L615" s="921" t="str">
        <f t="shared" si="33"/>
        <v/>
      </c>
      <c r="M615" s="155" t="str">
        <f t="shared" si="34"/>
        <v/>
      </c>
      <c r="T615" s="75"/>
      <c r="U615" s="75"/>
      <c r="V615" s="75"/>
      <c r="W615" s="75"/>
      <c r="X615" s="75"/>
      <c r="Y615" s="340"/>
      <c r="Z615" s="341"/>
      <c r="AA615" s="342"/>
      <c r="AB615" s="342"/>
      <c r="AC615" s="343"/>
      <c r="AG615" s="344"/>
      <c r="AH615" s="344"/>
      <c r="AI615" s="344"/>
      <c r="AJ615" s="97"/>
      <c r="AK615" s="4"/>
    </row>
    <row r="616" spans="2:37" s="113" customFormat="1" x14ac:dyDescent="0.4">
      <c r="B616" s="80"/>
      <c r="C616" s="563">
        <v>203</v>
      </c>
      <c r="D616" s="907"/>
      <c r="E616" s="906"/>
      <c r="F616" s="921" t="str">
        <f t="shared" si="32"/>
        <v/>
      </c>
      <c r="G616" s="882" t="str">
        <f t="shared" si="35"/>
        <v/>
      </c>
      <c r="H616" s="919"/>
      <c r="I616" s="922">
        <v>1644</v>
      </c>
      <c r="J616" s="907"/>
      <c r="K616" s="906"/>
      <c r="L616" s="921" t="str">
        <f t="shared" si="33"/>
        <v/>
      </c>
      <c r="M616" s="155" t="str">
        <f t="shared" si="34"/>
        <v/>
      </c>
      <c r="T616" s="75"/>
      <c r="U616" s="75"/>
      <c r="V616" s="75"/>
      <c r="W616" s="75"/>
      <c r="X616" s="75"/>
      <c r="Y616" s="340"/>
      <c r="Z616" s="341"/>
      <c r="AA616" s="342"/>
      <c r="AB616" s="342"/>
      <c r="AC616" s="343"/>
      <c r="AG616" s="344"/>
      <c r="AH616" s="344"/>
      <c r="AI616" s="344"/>
      <c r="AJ616" s="97"/>
      <c r="AK616" s="4"/>
    </row>
    <row r="617" spans="2:37" s="113" customFormat="1" x14ac:dyDescent="0.4">
      <c r="B617" s="80"/>
      <c r="C617" s="563">
        <v>204</v>
      </c>
      <c r="D617" s="907"/>
      <c r="E617" s="906"/>
      <c r="F617" s="921" t="str">
        <f t="shared" si="32"/>
        <v/>
      </c>
      <c r="G617" s="882" t="str">
        <f t="shared" si="35"/>
        <v/>
      </c>
      <c r="H617" s="919"/>
      <c r="I617" s="922">
        <v>1645</v>
      </c>
      <c r="J617" s="907"/>
      <c r="K617" s="906"/>
      <c r="L617" s="921" t="str">
        <f t="shared" si="33"/>
        <v/>
      </c>
      <c r="M617" s="155" t="str">
        <f t="shared" si="34"/>
        <v/>
      </c>
      <c r="T617" s="75"/>
      <c r="U617" s="75"/>
      <c r="V617" s="75"/>
      <c r="W617" s="75"/>
      <c r="X617" s="75"/>
      <c r="Y617" s="340"/>
      <c r="Z617" s="341"/>
      <c r="AA617" s="342"/>
      <c r="AB617" s="342"/>
      <c r="AC617" s="343"/>
      <c r="AG617" s="344"/>
      <c r="AH617" s="344"/>
      <c r="AI617" s="344"/>
      <c r="AJ617" s="97"/>
      <c r="AK617" s="4"/>
    </row>
    <row r="618" spans="2:37" s="113" customFormat="1" x14ac:dyDescent="0.4">
      <c r="B618" s="80"/>
      <c r="C618" s="563">
        <v>205</v>
      </c>
      <c r="D618" s="907"/>
      <c r="E618" s="906"/>
      <c r="F618" s="921" t="str">
        <f t="shared" si="32"/>
        <v/>
      </c>
      <c r="G618" s="882" t="str">
        <f t="shared" si="35"/>
        <v/>
      </c>
      <c r="H618" s="919"/>
      <c r="I618" s="922">
        <v>1646</v>
      </c>
      <c r="J618" s="907"/>
      <c r="K618" s="906"/>
      <c r="L618" s="921" t="str">
        <f t="shared" si="33"/>
        <v/>
      </c>
      <c r="M618" s="155" t="str">
        <f t="shared" si="34"/>
        <v/>
      </c>
      <c r="T618" s="75"/>
      <c r="U618" s="75"/>
      <c r="V618" s="75"/>
      <c r="W618" s="75"/>
      <c r="X618" s="75"/>
      <c r="Y618" s="340"/>
      <c r="Z618" s="341"/>
      <c r="AA618" s="342"/>
      <c r="AB618" s="342"/>
      <c r="AC618" s="343"/>
      <c r="AG618" s="344"/>
      <c r="AH618" s="344"/>
      <c r="AI618" s="344"/>
      <c r="AJ618" s="97"/>
      <c r="AK618" s="4"/>
    </row>
    <row r="619" spans="2:37" s="113" customFormat="1" x14ac:dyDescent="0.4">
      <c r="B619" s="80"/>
      <c r="C619" s="563">
        <v>206</v>
      </c>
      <c r="D619" s="907"/>
      <c r="E619" s="906"/>
      <c r="F619" s="921" t="str">
        <f t="shared" si="32"/>
        <v/>
      </c>
      <c r="G619" s="882" t="str">
        <f t="shared" si="35"/>
        <v/>
      </c>
      <c r="H619" s="919"/>
      <c r="I619" s="922">
        <v>1647</v>
      </c>
      <c r="J619" s="907"/>
      <c r="K619" s="906"/>
      <c r="L619" s="921" t="str">
        <f t="shared" si="33"/>
        <v/>
      </c>
      <c r="M619" s="155" t="str">
        <f t="shared" si="34"/>
        <v/>
      </c>
      <c r="T619" s="75"/>
      <c r="U619" s="75"/>
      <c r="V619" s="75"/>
      <c r="W619" s="75"/>
      <c r="X619" s="75"/>
      <c r="Y619" s="340"/>
      <c r="Z619" s="341"/>
      <c r="AA619" s="342"/>
      <c r="AB619" s="342"/>
      <c r="AC619" s="343"/>
      <c r="AG619" s="344"/>
      <c r="AH619" s="344"/>
      <c r="AI619" s="344"/>
      <c r="AJ619" s="97"/>
      <c r="AK619" s="4"/>
    </row>
    <row r="620" spans="2:37" s="113" customFormat="1" x14ac:dyDescent="0.4">
      <c r="B620" s="80"/>
      <c r="C620" s="563">
        <v>207</v>
      </c>
      <c r="D620" s="907"/>
      <c r="E620" s="906"/>
      <c r="F620" s="921" t="str">
        <f t="shared" si="32"/>
        <v/>
      </c>
      <c r="G620" s="882" t="str">
        <f t="shared" si="35"/>
        <v/>
      </c>
      <c r="H620" s="919"/>
      <c r="I620" s="922">
        <v>1648</v>
      </c>
      <c r="J620" s="907"/>
      <c r="K620" s="906"/>
      <c r="L620" s="921" t="str">
        <f t="shared" si="33"/>
        <v/>
      </c>
      <c r="M620" s="155" t="str">
        <f t="shared" si="34"/>
        <v/>
      </c>
      <c r="T620" s="75"/>
      <c r="U620" s="75"/>
      <c r="V620" s="75"/>
      <c r="W620" s="75"/>
      <c r="X620" s="75"/>
      <c r="Y620" s="340"/>
      <c r="Z620" s="341"/>
      <c r="AA620" s="342"/>
      <c r="AB620" s="342"/>
      <c r="AC620" s="343"/>
      <c r="AG620" s="344"/>
      <c r="AH620" s="344"/>
      <c r="AI620" s="344"/>
      <c r="AJ620" s="97"/>
      <c r="AK620" s="4"/>
    </row>
    <row r="621" spans="2:37" s="113" customFormat="1" x14ac:dyDescent="0.4">
      <c r="B621" s="80"/>
      <c r="C621" s="563">
        <v>208</v>
      </c>
      <c r="D621" s="907"/>
      <c r="E621" s="906"/>
      <c r="F621" s="921" t="str">
        <f t="shared" si="32"/>
        <v/>
      </c>
      <c r="G621" s="882" t="str">
        <f t="shared" si="35"/>
        <v/>
      </c>
      <c r="H621" s="919"/>
      <c r="I621" s="922">
        <v>1649</v>
      </c>
      <c r="J621" s="907"/>
      <c r="K621" s="906"/>
      <c r="L621" s="921" t="str">
        <f t="shared" si="33"/>
        <v/>
      </c>
      <c r="M621" s="155" t="str">
        <f t="shared" si="34"/>
        <v/>
      </c>
      <c r="T621" s="75"/>
      <c r="U621" s="75"/>
      <c r="V621" s="75"/>
      <c r="W621" s="75"/>
      <c r="X621" s="75"/>
      <c r="Y621" s="340"/>
      <c r="Z621" s="341"/>
      <c r="AA621" s="342"/>
      <c r="AB621" s="342"/>
      <c r="AC621" s="343"/>
      <c r="AG621" s="344"/>
      <c r="AH621" s="344"/>
      <c r="AI621" s="344"/>
      <c r="AJ621" s="97"/>
      <c r="AK621" s="4"/>
    </row>
    <row r="622" spans="2:37" s="113" customFormat="1" x14ac:dyDescent="0.4">
      <c r="B622" s="80"/>
      <c r="C622" s="563">
        <v>209</v>
      </c>
      <c r="D622" s="907"/>
      <c r="E622" s="906"/>
      <c r="F622" s="921" t="str">
        <f t="shared" si="32"/>
        <v/>
      </c>
      <c r="G622" s="882" t="str">
        <f t="shared" si="35"/>
        <v/>
      </c>
      <c r="H622" s="919"/>
      <c r="I622" s="922">
        <v>1650</v>
      </c>
      <c r="J622" s="907"/>
      <c r="K622" s="906"/>
      <c r="L622" s="921" t="str">
        <f t="shared" si="33"/>
        <v/>
      </c>
      <c r="M622" s="155" t="str">
        <f t="shared" si="34"/>
        <v/>
      </c>
      <c r="T622" s="75"/>
      <c r="U622" s="75"/>
      <c r="V622" s="75"/>
      <c r="W622" s="75"/>
      <c r="X622" s="75"/>
      <c r="Y622" s="340"/>
      <c r="Z622" s="341"/>
      <c r="AA622" s="342"/>
      <c r="AB622" s="342"/>
      <c r="AC622" s="343"/>
      <c r="AG622" s="344"/>
      <c r="AH622" s="344"/>
      <c r="AI622" s="344"/>
      <c r="AJ622" s="97"/>
      <c r="AK622" s="4"/>
    </row>
    <row r="623" spans="2:37" s="113" customFormat="1" x14ac:dyDescent="0.4">
      <c r="B623" s="80"/>
      <c r="C623" s="563">
        <v>210</v>
      </c>
      <c r="D623" s="907"/>
      <c r="E623" s="906"/>
      <c r="F623" s="921" t="str">
        <f t="shared" si="32"/>
        <v/>
      </c>
      <c r="G623" s="882" t="str">
        <f t="shared" si="35"/>
        <v/>
      </c>
      <c r="H623" s="919"/>
      <c r="I623" s="922">
        <v>1651</v>
      </c>
      <c r="J623" s="907"/>
      <c r="K623" s="906"/>
      <c r="L623" s="921" t="str">
        <f t="shared" si="33"/>
        <v/>
      </c>
      <c r="M623" s="155" t="str">
        <f t="shared" si="34"/>
        <v/>
      </c>
      <c r="T623" s="75"/>
      <c r="U623" s="75"/>
      <c r="V623" s="75"/>
      <c r="W623" s="75"/>
      <c r="X623" s="75"/>
      <c r="Y623" s="340"/>
      <c r="Z623" s="341"/>
      <c r="AA623" s="342"/>
      <c r="AB623" s="342"/>
      <c r="AC623" s="343"/>
      <c r="AG623" s="344"/>
      <c r="AH623" s="344"/>
      <c r="AI623" s="344"/>
      <c r="AJ623" s="97"/>
      <c r="AK623" s="4"/>
    </row>
    <row r="624" spans="2:37" s="113" customFormat="1" x14ac:dyDescent="0.4">
      <c r="B624" s="80"/>
      <c r="C624" s="563">
        <v>211</v>
      </c>
      <c r="D624" s="907"/>
      <c r="E624" s="906"/>
      <c r="F624" s="921" t="str">
        <f t="shared" si="32"/>
        <v/>
      </c>
      <c r="G624" s="882" t="str">
        <f t="shared" si="35"/>
        <v/>
      </c>
      <c r="H624" s="919"/>
      <c r="I624" s="922">
        <v>1652</v>
      </c>
      <c r="J624" s="907"/>
      <c r="K624" s="906"/>
      <c r="L624" s="921" t="str">
        <f t="shared" si="33"/>
        <v/>
      </c>
      <c r="M624" s="155" t="str">
        <f t="shared" si="34"/>
        <v/>
      </c>
      <c r="T624" s="75"/>
      <c r="U624" s="75"/>
      <c r="V624" s="75"/>
      <c r="W624" s="75"/>
      <c r="X624" s="75"/>
      <c r="Y624" s="340"/>
      <c r="Z624" s="341"/>
      <c r="AA624" s="342"/>
      <c r="AB624" s="342"/>
      <c r="AC624" s="343"/>
      <c r="AG624" s="344"/>
      <c r="AH624" s="344"/>
      <c r="AI624" s="344"/>
      <c r="AJ624" s="97"/>
      <c r="AK624" s="4"/>
    </row>
    <row r="625" spans="2:37" s="113" customFormat="1" x14ac:dyDescent="0.4">
      <c r="B625" s="80"/>
      <c r="C625" s="563">
        <v>212</v>
      </c>
      <c r="D625" s="907"/>
      <c r="E625" s="906"/>
      <c r="F625" s="921" t="str">
        <f t="shared" si="32"/>
        <v/>
      </c>
      <c r="G625" s="882" t="str">
        <f t="shared" si="35"/>
        <v/>
      </c>
      <c r="H625" s="919"/>
      <c r="I625" s="922">
        <v>1653</v>
      </c>
      <c r="J625" s="907"/>
      <c r="K625" s="906"/>
      <c r="L625" s="921" t="str">
        <f t="shared" si="33"/>
        <v/>
      </c>
      <c r="M625" s="155" t="str">
        <f t="shared" si="34"/>
        <v/>
      </c>
      <c r="T625" s="75"/>
      <c r="U625" s="75"/>
      <c r="V625" s="75"/>
      <c r="W625" s="75"/>
      <c r="X625" s="75"/>
      <c r="Y625" s="340"/>
      <c r="Z625" s="341"/>
      <c r="AA625" s="342"/>
      <c r="AB625" s="342"/>
      <c r="AC625" s="343"/>
      <c r="AG625" s="344"/>
      <c r="AH625" s="344"/>
      <c r="AI625" s="344"/>
      <c r="AJ625" s="97"/>
      <c r="AK625" s="4"/>
    </row>
    <row r="626" spans="2:37" s="113" customFormat="1" x14ac:dyDescent="0.4">
      <c r="B626" s="80"/>
      <c r="C626" s="563">
        <v>213</v>
      </c>
      <c r="D626" s="907"/>
      <c r="E626" s="906"/>
      <c r="F626" s="921" t="str">
        <f t="shared" si="32"/>
        <v/>
      </c>
      <c r="G626" s="882" t="str">
        <f t="shared" si="35"/>
        <v/>
      </c>
      <c r="H626" s="919"/>
      <c r="I626" s="922">
        <v>1654</v>
      </c>
      <c r="J626" s="907"/>
      <c r="K626" s="906"/>
      <c r="L626" s="921" t="str">
        <f t="shared" si="33"/>
        <v/>
      </c>
      <c r="M626" s="155" t="str">
        <f t="shared" si="34"/>
        <v/>
      </c>
      <c r="T626" s="75"/>
      <c r="U626" s="75"/>
      <c r="V626" s="75"/>
      <c r="W626" s="75"/>
      <c r="X626" s="75"/>
      <c r="Y626" s="340"/>
      <c r="Z626" s="341"/>
      <c r="AA626" s="342"/>
      <c r="AB626" s="342"/>
      <c r="AC626" s="343"/>
      <c r="AG626" s="344"/>
      <c r="AH626" s="344"/>
      <c r="AI626" s="344"/>
      <c r="AJ626" s="97"/>
      <c r="AK626" s="4"/>
    </row>
    <row r="627" spans="2:37" s="113" customFormat="1" x14ac:dyDescent="0.4">
      <c r="B627" s="80"/>
      <c r="C627" s="563">
        <v>214</v>
      </c>
      <c r="D627" s="907"/>
      <c r="E627" s="906"/>
      <c r="F627" s="921" t="str">
        <f t="shared" si="32"/>
        <v/>
      </c>
      <c r="G627" s="882" t="str">
        <f t="shared" si="35"/>
        <v/>
      </c>
      <c r="H627" s="919"/>
      <c r="I627" s="922">
        <v>1655</v>
      </c>
      <c r="J627" s="907"/>
      <c r="K627" s="906"/>
      <c r="L627" s="921" t="str">
        <f t="shared" si="33"/>
        <v/>
      </c>
      <c r="M627" s="155" t="str">
        <f t="shared" si="34"/>
        <v/>
      </c>
      <c r="T627" s="75"/>
      <c r="U627" s="75"/>
      <c r="V627" s="75"/>
      <c r="W627" s="75"/>
      <c r="X627" s="75"/>
      <c r="Y627" s="340"/>
      <c r="Z627" s="341"/>
      <c r="AA627" s="342"/>
      <c r="AB627" s="342"/>
      <c r="AC627" s="343"/>
      <c r="AG627" s="344"/>
      <c r="AH627" s="344"/>
      <c r="AI627" s="344"/>
      <c r="AJ627" s="97"/>
      <c r="AK627" s="4"/>
    </row>
    <row r="628" spans="2:37" s="113" customFormat="1" x14ac:dyDescent="0.4">
      <c r="B628" s="80"/>
      <c r="C628" s="563">
        <v>215</v>
      </c>
      <c r="D628" s="907"/>
      <c r="E628" s="906"/>
      <c r="F628" s="921" t="str">
        <f t="shared" si="32"/>
        <v/>
      </c>
      <c r="G628" s="882" t="str">
        <f t="shared" si="35"/>
        <v/>
      </c>
      <c r="H628" s="919"/>
      <c r="I628" s="922">
        <v>1656</v>
      </c>
      <c r="J628" s="907"/>
      <c r="K628" s="906"/>
      <c r="L628" s="921" t="str">
        <f t="shared" si="33"/>
        <v/>
      </c>
      <c r="M628" s="155" t="str">
        <f t="shared" si="34"/>
        <v/>
      </c>
      <c r="T628" s="75"/>
      <c r="U628" s="75"/>
      <c r="V628" s="75"/>
      <c r="W628" s="75"/>
      <c r="X628" s="75"/>
      <c r="Y628" s="340"/>
      <c r="Z628" s="341"/>
      <c r="AA628" s="342"/>
      <c r="AB628" s="342"/>
      <c r="AC628" s="343"/>
      <c r="AG628" s="344"/>
      <c r="AH628" s="344"/>
      <c r="AI628" s="344"/>
      <c r="AJ628" s="97"/>
      <c r="AK628" s="4"/>
    </row>
    <row r="629" spans="2:37" s="113" customFormat="1" x14ac:dyDescent="0.4">
      <c r="B629" s="80"/>
      <c r="C629" s="563">
        <v>216</v>
      </c>
      <c r="D629" s="907"/>
      <c r="E629" s="906"/>
      <c r="F629" s="921" t="str">
        <f t="shared" si="32"/>
        <v/>
      </c>
      <c r="G629" s="882" t="str">
        <f t="shared" si="35"/>
        <v/>
      </c>
      <c r="H629" s="919"/>
      <c r="I629" s="922">
        <v>1657</v>
      </c>
      <c r="J629" s="907"/>
      <c r="K629" s="906"/>
      <c r="L629" s="921" t="str">
        <f t="shared" si="33"/>
        <v/>
      </c>
      <c r="M629" s="155" t="str">
        <f t="shared" si="34"/>
        <v/>
      </c>
      <c r="T629" s="75"/>
      <c r="U629" s="75"/>
      <c r="V629" s="75"/>
      <c r="W629" s="75"/>
      <c r="X629" s="75"/>
      <c r="Y629" s="340"/>
      <c r="Z629" s="341"/>
      <c r="AA629" s="342"/>
      <c r="AB629" s="342"/>
      <c r="AC629" s="343"/>
      <c r="AG629" s="344"/>
      <c r="AH629" s="344"/>
      <c r="AI629" s="344"/>
      <c r="AJ629" s="97"/>
      <c r="AK629" s="4"/>
    </row>
    <row r="630" spans="2:37" s="113" customFormat="1" x14ac:dyDescent="0.4">
      <c r="B630" s="80"/>
      <c r="C630" s="563">
        <v>217</v>
      </c>
      <c r="D630" s="907"/>
      <c r="E630" s="906"/>
      <c r="F630" s="921" t="str">
        <f t="shared" si="32"/>
        <v/>
      </c>
      <c r="G630" s="882" t="str">
        <f t="shared" si="35"/>
        <v/>
      </c>
      <c r="H630" s="919"/>
      <c r="I630" s="922">
        <v>1658</v>
      </c>
      <c r="J630" s="907"/>
      <c r="K630" s="906"/>
      <c r="L630" s="921" t="str">
        <f t="shared" si="33"/>
        <v/>
      </c>
      <c r="M630" s="155" t="str">
        <f t="shared" si="34"/>
        <v/>
      </c>
      <c r="T630" s="75"/>
      <c r="U630" s="75"/>
      <c r="V630" s="75"/>
      <c r="W630" s="75"/>
      <c r="X630" s="75"/>
      <c r="Y630" s="340"/>
      <c r="Z630" s="341"/>
      <c r="AA630" s="342"/>
      <c r="AB630" s="342"/>
      <c r="AC630" s="343"/>
      <c r="AG630" s="344"/>
      <c r="AH630" s="344"/>
      <c r="AI630" s="344"/>
      <c r="AJ630" s="97"/>
      <c r="AK630" s="4"/>
    </row>
    <row r="631" spans="2:37" s="113" customFormat="1" x14ac:dyDescent="0.4">
      <c r="B631" s="80"/>
      <c r="C631" s="563">
        <v>218</v>
      </c>
      <c r="D631" s="907"/>
      <c r="E631" s="906"/>
      <c r="F631" s="921" t="str">
        <f t="shared" si="32"/>
        <v/>
      </c>
      <c r="G631" s="882" t="str">
        <f t="shared" si="35"/>
        <v/>
      </c>
      <c r="H631" s="919"/>
      <c r="I631" s="922">
        <v>1659</v>
      </c>
      <c r="J631" s="907"/>
      <c r="K631" s="906"/>
      <c r="L631" s="921" t="str">
        <f t="shared" si="33"/>
        <v/>
      </c>
      <c r="M631" s="155" t="str">
        <f t="shared" si="34"/>
        <v/>
      </c>
      <c r="T631" s="75"/>
      <c r="U631" s="75"/>
      <c r="V631" s="75"/>
      <c r="W631" s="75"/>
      <c r="X631" s="75"/>
      <c r="Y631" s="340"/>
      <c r="Z631" s="341"/>
      <c r="AA631" s="342"/>
      <c r="AB631" s="342"/>
      <c r="AC631" s="343"/>
      <c r="AG631" s="344"/>
      <c r="AH631" s="344"/>
      <c r="AI631" s="344"/>
      <c r="AJ631" s="97"/>
      <c r="AK631" s="4"/>
    </row>
    <row r="632" spans="2:37" s="113" customFormat="1" x14ac:dyDescent="0.4">
      <c r="B632" s="80"/>
      <c r="C632" s="563">
        <v>219</v>
      </c>
      <c r="D632" s="907"/>
      <c r="E632" s="906"/>
      <c r="F632" s="921" t="str">
        <f t="shared" si="32"/>
        <v/>
      </c>
      <c r="G632" s="882" t="str">
        <f t="shared" si="35"/>
        <v/>
      </c>
      <c r="H632" s="919"/>
      <c r="I632" s="922">
        <v>1660</v>
      </c>
      <c r="J632" s="907"/>
      <c r="K632" s="906"/>
      <c r="L632" s="921" t="str">
        <f t="shared" si="33"/>
        <v/>
      </c>
      <c r="M632" s="155" t="str">
        <f t="shared" si="34"/>
        <v/>
      </c>
      <c r="T632" s="75"/>
      <c r="U632" s="75"/>
      <c r="V632" s="75"/>
      <c r="W632" s="75"/>
      <c r="X632" s="75"/>
      <c r="Y632" s="340"/>
      <c r="Z632" s="341"/>
      <c r="AA632" s="342"/>
      <c r="AB632" s="342"/>
      <c r="AC632" s="343"/>
      <c r="AG632" s="344"/>
      <c r="AH632" s="344"/>
      <c r="AI632" s="344"/>
      <c r="AJ632" s="97"/>
      <c r="AK632" s="4"/>
    </row>
    <row r="633" spans="2:37" s="113" customFormat="1" x14ac:dyDescent="0.4">
      <c r="B633" s="80"/>
      <c r="C633" s="563">
        <v>220</v>
      </c>
      <c r="D633" s="907"/>
      <c r="E633" s="906"/>
      <c r="F633" s="921" t="str">
        <f t="shared" si="32"/>
        <v/>
      </c>
      <c r="G633" s="882" t="str">
        <f t="shared" si="35"/>
        <v/>
      </c>
      <c r="H633" s="919"/>
      <c r="I633" s="922">
        <v>1661</v>
      </c>
      <c r="J633" s="907"/>
      <c r="K633" s="906"/>
      <c r="L633" s="921" t="str">
        <f t="shared" si="33"/>
        <v/>
      </c>
      <c r="M633" s="155" t="str">
        <f t="shared" si="34"/>
        <v/>
      </c>
      <c r="T633" s="75"/>
      <c r="U633" s="75"/>
      <c r="V633" s="75"/>
      <c r="W633" s="75"/>
      <c r="X633" s="75"/>
      <c r="Y633" s="340"/>
      <c r="Z633" s="341"/>
      <c r="AA633" s="342"/>
      <c r="AB633" s="342"/>
      <c r="AC633" s="343"/>
      <c r="AG633" s="344"/>
      <c r="AH633" s="344"/>
      <c r="AI633" s="344"/>
      <c r="AJ633" s="97"/>
      <c r="AK633" s="4"/>
    </row>
    <row r="634" spans="2:37" s="113" customFormat="1" x14ac:dyDescent="0.4">
      <c r="B634" s="80"/>
      <c r="C634" s="563">
        <v>221</v>
      </c>
      <c r="D634" s="907"/>
      <c r="E634" s="906"/>
      <c r="F634" s="921" t="str">
        <f t="shared" si="32"/>
        <v/>
      </c>
      <c r="G634" s="882" t="str">
        <f t="shared" si="35"/>
        <v/>
      </c>
      <c r="H634" s="919"/>
      <c r="I634" s="922">
        <v>1662</v>
      </c>
      <c r="J634" s="907"/>
      <c r="K634" s="906"/>
      <c r="L634" s="921" t="str">
        <f t="shared" si="33"/>
        <v/>
      </c>
      <c r="M634" s="155" t="str">
        <f t="shared" si="34"/>
        <v/>
      </c>
      <c r="T634" s="75"/>
      <c r="U634" s="75"/>
      <c r="V634" s="75"/>
      <c r="W634" s="75"/>
      <c r="X634" s="75"/>
      <c r="Y634" s="340"/>
      <c r="Z634" s="341"/>
      <c r="AA634" s="342"/>
      <c r="AB634" s="342"/>
      <c r="AC634" s="343"/>
      <c r="AG634" s="344"/>
      <c r="AH634" s="344"/>
      <c r="AI634" s="344"/>
      <c r="AJ634" s="97"/>
      <c r="AK634" s="4"/>
    </row>
    <row r="635" spans="2:37" s="113" customFormat="1" x14ac:dyDescent="0.4">
      <c r="B635" s="80"/>
      <c r="C635" s="563">
        <v>222</v>
      </c>
      <c r="D635" s="907"/>
      <c r="E635" s="906"/>
      <c r="F635" s="921" t="str">
        <f t="shared" si="32"/>
        <v/>
      </c>
      <c r="G635" s="882" t="str">
        <f t="shared" si="35"/>
        <v/>
      </c>
      <c r="H635" s="919"/>
      <c r="I635" s="922">
        <v>1663</v>
      </c>
      <c r="J635" s="907"/>
      <c r="K635" s="906"/>
      <c r="L635" s="921" t="str">
        <f t="shared" si="33"/>
        <v/>
      </c>
      <c r="M635" s="155" t="str">
        <f t="shared" si="34"/>
        <v/>
      </c>
      <c r="T635" s="75"/>
      <c r="U635" s="75"/>
      <c r="V635" s="75"/>
      <c r="W635" s="75"/>
      <c r="X635" s="75"/>
      <c r="Y635" s="340"/>
      <c r="Z635" s="341"/>
      <c r="AA635" s="342"/>
      <c r="AB635" s="342"/>
      <c r="AC635" s="343"/>
      <c r="AG635" s="344"/>
      <c r="AH635" s="344"/>
      <c r="AI635" s="344"/>
      <c r="AJ635" s="97"/>
      <c r="AK635" s="4"/>
    </row>
    <row r="636" spans="2:37" s="113" customFormat="1" x14ac:dyDescent="0.4">
      <c r="B636" s="80"/>
      <c r="C636" s="563">
        <v>223</v>
      </c>
      <c r="D636" s="907"/>
      <c r="E636" s="906"/>
      <c r="F636" s="921" t="str">
        <f t="shared" si="32"/>
        <v/>
      </c>
      <c r="G636" s="882" t="str">
        <f t="shared" si="35"/>
        <v/>
      </c>
      <c r="H636" s="919"/>
      <c r="I636" s="922">
        <v>1664</v>
      </c>
      <c r="J636" s="907"/>
      <c r="K636" s="906"/>
      <c r="L636" s="921" t="str">
        <f t="shared" si="33"/>
        <v/>
      </c>
      <c r="M636" s="155" t="str">
        <f t="shared" si="34"/>
        <v/>
      </c>
      <c r="T636" s="75"/>
      <c r="U636" s="75"/>
      <c r="V636" s="75"/>
      <c r="W636" s="75"/>
      <c r="X636" s="75"/>
      <c r="Y636" s="340"/>
      <c r="Z636" s="341"/>
      <c r="AA636" s="342"/>
      <c r="AB636" s="342"/>
      <c r="AC636" s="343"/>
      <c r="AG636" s="344"/>
      <c r="AH636" s="344"/>
      <c r="AI636" s="344"/>
      <c r="AJ636" s="97"/>
      <c r="AK636" s="4"/>
    </row>
    <row r="637" spans="2:37" s="113" customFormat="1" x14ac:dyDescent="0.4">
      <c r="B637" s="80"/>
      <c r="C637" s="563">
        <v>224</v>
      </c>
      <c r="D637" s="907"/>
      <c r="E637" s="906"/>
      <c r="F637" s="921" t="str">
        <f t="shared" si="32"/>
        <v/>
      </c>
      <c r="G637" s="882" t="str">
        <f t="shared" si="35"/>
        <v/>
      </c>
      <c r="H637" s="919"/>
      <c r="I637" s="922">
        <v>1665</v>
      </c>
      <c r="J637" s="907"/>
      <c r="K637" s="906"/>
      <c r="L637" s="921" t="str">
        <f t="shared" si="33"/>
        <v/>
      </c>
      <c r="M637" s="155" t="str">
        <f t="shared" si="34"/>
        <v/>
      </c>
      <c r="T637" s="75"/>
      <c r="U637" s="75"/>
      <c r="V637" s="75"/>
      <c r="W637" s="75"/>
      <c r="X637" s="75"/>
      <c r="Y637" s="340"/>
      <c r="Z637" s="341"/>
      <c r="AA637" s="342"/>
      <c r="AB637" s="342"/>
      <c r="AC637" s="343"/>
      <c r="AG637" s="344"/>
      <c r="AH637" s="344"/>
      <c r="AI637" s="344"/>
      <c r="AJ637" s="97"/>
      <c r="AK637" s="4"/>
    </row>
    <row r="638" spans="2:37" s="113" customFormat="1" x14ac:dyDescent="0.4">
      <c r="B638" s="80"/>
      <c r="C638" s="563">
        <v>225</v>
      </c>
      <c r="D638" s="907"/>
      <c r="E638" s="906"/>
      <c r="F638" s="921" t="str">
        <f t="shared" si="32"/>
        <v/>
      </c>
      <c r="G638" s="882" t="str">
        <f t="shared" si="35"/>
        <v/>
      </c>
      <c r="H638" s="919"/>
      <c r="I638" s="922">
        <v>1666</v>
      </c>
      <c r="J638" s="907"/>
      <c r="K638" s="906"/>
      <c r="L638" s="921" t="str">
        <f t="shared" si="33"/>
        <v/>
      </c>
      <c r="M638" s="155" t="str">
        <f t="shared" si="34"/>
        <v/>
      </c>
      <c r="T638" s="75"/>
      <c r="U638" s="75"/>
      <c r="V638" s="75"/>
      <c r="W638" s="75"/>
      <c r="X638" s="75"/>
      <c r="Y638" s="340"/>
      <c r="Z638" s="341"/>
      <c r="AA638" s="342"/>
      <c r="AB638" s="342"/>
      <c r="AC638" s="343"/>
      <c r="AG638" s="344"/>
      <c r="AH638" s="344"/>
      <c r="AI638" s="344"/>
      <c r="AJ638" s="97"/>
      <c r="AK638" s="4"/>
    </row>
    <row r="639" spans="2:37" s="113" customFormat="1" x14ac:dyDescent="0.4">
      <c r="B639" s="80"/>
      <c r="C639" s="563">
        <v>226</v>
      </c>
      <c r="D639" s="907"/>
      <c r="E639" s="906"/>
      <c r="F639" s="921" t="str">
        <f t="shared" si="32"/>
        <v/>
      </c>
      <c r="G639" s="882" t="str">
        <f t="shared" si="35"/>
        <v/>
      </c>
      <c r="H639" s="919"/>
      <c r="I639" s="922">
        <v>1667</v>
      </c>
      <c r="J639" s="907"/>
      <c r="K639" s="906"/>
      <c r="L639" s="921" t="str">
        <f t="shared" si="33"/>
        <v/>
      </c>
      <c r="M639" s="155" t="str">
        <f t="shared" si="34"/>
        <v/>
      </c>
      <c r="T639" s="75"/>
      <c r="U639" s="75"/>
      <c r="V639" s="75"/>
      <c r="W639" s="75"/>
      <c r="X639" s="75"/>
      <c r="Y639" s="340"/>
      <c r="Z639" s="341"/>
      <c r="AA639" s="342"/>
      <c r="AB639" s="342"/>
      <c r="AC639" s="343"/>
      <c r="AG639" s="344"/>
      <c r="AH639" s="344"/>
      <c r="AI639" s="344"/>
      <c r="AJ639" s="97"/>
      <c r="AK639" s="4"/>
    </row>
    <row r="640" spans="2:37" s="113" customFormat="1" x14ac:dyDescent="0.4">
      <c r="B640" s="80"/>
      <c r="C640" s="563">
        <v>227</v>
      </c>
      <c r="D640" s="907"/>
      <c r="E640" s="906"/>
      <c r="F640" s="921" t="str">
        <f t="shared" si="32"/>
        <v/>
      </c>
      <c r="G640" s="882" t="str">
        <f t="shared" si="35"/>
        <v/>
      </c>
      <c r="H640" s="919"/>
      <c r="I640" s="922">
        <v>1668</v>
      </c>
      <c r="J640" s="907"/>
      <c r="K640" s="906"/>
      <c r="L640" s="921" t="str">
        <f t="shared" si="33"/>
        <v/>
      </c>
      <c r="M640" s="155" t="str">
        <f t="shared" si="34"/>
        <v/>
      </c>
      <c r="T640" s="75"/>
      <c r="U640" s="75"/>
      <c r="V640" s="75"/>
      <c r="W640" s="75"/>
      <c r="X640" s="75"/>
      <c r="Y640" s="340"/>
      <c r="Z640" s="341"/>
      <c r="AA640" s="341"/>
      <c r="AB640" s="341"/>
      <c r="AC640" s="340"/>
      <c r="AD640" s="75"/>
      <c r="AE640" s="75"/>
      <c r="AG640" s="344"/>
      <c r="AH640" s="344"/>
      <c r="AI640" s="344"/>
      <c r="AJ640" s="97"/>
      <c r="AK640" s="4"/>
    </row>
    <row r="641" spans="2:37" s="113" customFormat="1" x14ac:dyDescent="0.4">
      <c r="B641" s="80"/>
      <c r="C641" s="563">
        <v>228</v>
      </c>
      <c r="D641" s="907"/>
      <c r="E641" s="906"/>
      <c r="F641" s="921" t="str">
        <f t="shared" si="32"/>
        <v/>
      </c>
      <c r="G641" s="882" t="str">
        <f t="shared" si="35"/>
        <v/>
      </c>
      <c r="H641" s="919"/>
      <c r="I641" s="922">
        <v>1669</v>
      </c>
      <c r="J641" s="907"/>
      <c r="K641" s="906"/>
      <c r="L641" s="921" t="str">
        <f t="shared" si="33"/>
        <v/>
      </c>
      <c r="M641" s="155" t="str">
        <f t="shared" si="34"/>
        <v/>
      </c>
      <c r="T641" s="75"/>
      <c r="U641" s="75"/>
      <c r="V641" s="75"/>
      <c r="W641" s="75"/>
      <c r="X641" s="75"/>
      <c r="Y641" s="340"/>
      <c r="Z641" s="341"/>
      <c r="AA641" s="341"/>
      <c r="AB641" s="341"/>
      <c r="AC641" s="340"/>
      <c r="AD641" s="75"/>
      <c r="AE641" s="75"/>
      <c r="AG641" s="344"/>
      <c r="AH641" s="344"/>
      <c r="AI641" s="344"/>
      <c r="AJ641" s="97"/>
      <c r="AK641" s="4"/>
    </row>
    <row r="642" spans="2:37" s="113" customFormat="1" x14ac:dyDescent="0.4">
      <c r="B642" s="80"/>
      <c r="C642" s="563">
        <v>229</v>
      </c>
      <c r="D642" s="907"/>
      <c r="E642" s="906"/>
      <c r="F642" s="921" t="str">
        <f t="shared" si="32"/>
        <v/>
      </c>
      <c r="G642" s="882" t="str">
        <f t="shared" si="35"/>
        <v/>
      </c>
      <c r="H642" s="919"/>
      <c r="I642" s="922">
        <v>1670</v>
      </c>
      <c r="J642" s="907"/>
      <c r="K642" s="906"/>
      <c r="L642" s="921" t="str">
        <f t="shared" si="33"/>
        <v/>
      </c>
      <c r="M642" s="155" t="str">
        <f t="shared" si="34"/>
        <v/>
      </c>
      <c r="T642" s="75"/>
      <c r="U642" s="75"/>
      <c r="V642" s="75"/>
      <c r="W642" s="75"/>
      <c r="X642" s="75"/>
      <c r="Y642" s="340"/>
      <c r="Z642" s="341"/>
      <c r="AA642" s="341"/>
      <c r="AB642" s="341"/>
      <c r="AC642" s="340"/>
      <c r="AD642" s="75"/>
      <c r="AE642" s="75"/>
      <c r="AG642" s="344"/>
      <c r="AH642" s="344"/>
      <c r="AI642" s="344"/>
      <c r="AJ642" s="97"/>
      <c r="AK642" s="4"/>
    </row>
    <row r="643" spans="2:37" s="113" customFormat="1" x14ac:dyDescent="0.4">
      <c r="B643" s="80"/>
      <c r="C643" s="563">
        <v>230</v>
      </c>
      <c r="D643" s="907"/>
      <c r="E643" s="906"/>
      <c r="F643" s="921" t="str">
        <f t="shared" si="32"/>
        <v/>
      </c>
      <c r="G643" s="882" t="str">
        <f t="shared" si="35"/>
        <v/>
      </c>
      <c r="H643" s="919"/>
      <c r="I643" s="922">
        <v>1671</v>
      </c>
      <c r="J643" s="907"/>
      <c r="K643" s="906"/>
      <c r="L643" s="921" t="str">
        <f t="shared" si="33"/>
        <v/>
      </c>
      <c r="M643" s="155" t="str">
        <f t="shared" si="34"/>
        <v/>
      </c>
      <c r="T643" s="75"/>
      <c r="U643" s="75"/>
      <c r="V643" s="75"/>
      <c r="W643" s="75"/>
      <c r="X643" s="75"/>
      <c r="Y643" s="340"/>
      <c r="Z643" s="341"/>
      <c r="AA643" s="341"/>
      <c r="AB643" s="341"/>
      <c r="AC643" s="340"/>
      <c r="AD643" s="75"/>
      <c r="AE643" s="75"/>
      <c r="AG643" s="344"/>
      <c r="AH643" s="344"/>
      <c r="AI643" s="344"/>
      <c r="AJ643" s="97"/>
      <c r="AK643" s="4"/>
    </row>
    <row r="644" spans="2:37" s="113" customFormat="1" x14ac:dyDescent="0.4">
      <c r="B644" s="80"/>
      <c r="C644" s="563">
        <v>231</v>
      </c>
      <c r="D644" s="907"/>
      <c r="E644" s="906"/>
      <c r="F644" s="921" t="str">
        <f t="shared" si="32"/>
        <v/>
      </c>
      <c r="G644" s="882" t="str">
        <f t="shared" si="35"/>
        <v/>
      </c>
      <c r="H644" s="919"/>
      <c r="I644" s="922">
        <v>1672</v>
      </c>
      <c r="J644" s="907"/>
      <c r="K644" s="906"/>
      <c r="L644" s="921" t="str">
        <f t="shared" si="33"/>
        <v/>
      </c>
      <c r="M644" s="155" t="str">
        <f t="shared" si="34"/>
        <v/>
      </c>
      <c r="T644" s="75"/>
      <c r="U644" s="75"/>
      <c r="V644" s="75"/>
      <c r="W644" s="75"/>
      <c r="X644" s="75"/>
      <c r="Y644" s="340"/>
      <c r="Z644" s="341"/>
      <c r="AA644" s="341"/>
      <c r="AB644" s="341"/>
      <c r="AC644" s="340"/>
      <c r="AD644" s="75"/>
      <c r="AE644" s="75"/>
      <c r="AG644" s="344"/>
      <c r="AH644" s="344"/>
      <c r="AI644" s="344"/>
      <c r="AJ644" s="97"/>
      <c r="AK644" s="4"/>
    </row>
    <row r="645" spans="2:37" s="113" customFormat="1" x14ac:dyDescent="0.4">
      <c r="B645" s="80"/>
      <c r="C645" s="563">
        <v>232</v>
      </c>
      <c r="D645" s="907"/>
      <c r="E645" s="906"/>
      <c r="F645" s="921" t="str">
        <f t="shared" si="32"/>
        <v/>
      </c>
      <c r="G645" s="882" t="str">
        <f t="shared" si="35"/>
        <v/>
      </c>
      <c r="H645" s="919"/>
      <c r="I645" s="922">
        <v>1673</v>
      </c>
      <c r="J645" s="907"/>
      <c r="K645" s="906"/>
      <c r="L645" s="921" t="str">
        <f t="shared" si="33"/>
        <v/>
      </c>
      <c r="M645" s="155" t="str">
        <f t="shared" si="34"/>
        <v/>
      </c>
      <c r="T645" s="75"/>
      <c r="U645" s="75"/>
      <c r="V645" s="75"/>
      <c r="W645" s="75"/>
      <c r="X645" s="75"/>
      <c r="Y645" s="340"/>
      <c r="Z645" s="341"/>
      <c r="AA645" s="341"/>
      <c r="AB645" s="341"/>
      <c r="AC645" s="340"/>
      <c r="AD645" s="75"/>
      <c r="AE645" s="75"/>
      <c r="AG645" s="344"/>
      <c r="AH645" s="344"/>
      <c r="AI645" s="344"/>
      <c r="AJ645" s="97"/>
      <c r="AK645" s="4"/>
    </row>
    <row r="646" spans="2:37" s="113" customFormat="1" x14ac:dyDescent="0.4">
      <c r="B646" s="80"/>
      <c r="C646" s="563">
        <v>233</v>
      </c>
      <c r="D646" s="907"/>
      <c r="E646" s="906"/>
      <c r="F646" s="921" t="str">
        <f t="shared" si="32"/>
        <v/>
      </c>
      <c r="G646" s="882" t="str">
        <f t="shared" si="35"/>
        <v/>
      </c>
      <c r="H646" s="919"/>
      <c r="I646" s="922">
        <v>1674</v>
      </c>
      <c r="J646" s="907"/>
      <c r="K646" s="906"/>
      <c r="L646" s="921" t="str">
        <f t="shared" si="33"/>
        <v/>
      </c>
      <c r="M646" s="155" t="str">
        <f t="shared" si="34"/>
        <v/>
      </c>
      <c r="T646" s="75"/>
      <c r="U646" s="75"/>
      <c r="V646" s="75"/>
      <c r="W646" s="75"/>
      <c r="X646" s="75"/>
      <c r="Y646" s="340"/>
      <c r="Z646" s="341"/>
      <c r="AA646" s="341"/>
      <c r="AB646" s="341"/>
      <c r="AC646" s="340"/>
      <c r="AD646" s="75"/>
      <c r="AE646" s="75"/>
      <c r="AG646" s="344"/>
      <c r="AH646" s="344"/>
      <c r="AI646" s="344"/>
      <c r="AJ646" s="97"/>
      <c r="AK646" s="4"/>
    </row>
    <row r="647" spans="2:37" s="113" customFormat="1" x14ac:dyDescent="0.4">
      <c r="B647" s="80"/>
      <c r="C647" s="563">
        <v>234</v>
      </c>
      <c r="D647" s="907"/>
      <c r="E647" s="906"/>
      <c r="F647" s="921" t="str">
        <f t="shared" si="32"/>
        <v/>
      </c>
      <c r="G647" s="882" t="str">
        <f t="shared" si="35"/>
        <v/>
      </c>
      <c r="H647" s="919"/>
      <c r="I647" s="922">
        <v>1675</v>
      </c>
      <c r="J647" s="907"/>
      <c r="K647" s="906"/>
      <c r="L647" s="921" t="str">
        <f t="shared" si="33"/>
        <v/>
      </c>
      <c r="M647" s="155" t="str">
        <f t="shared" si="34"/>
        <v/>
      </c>
      <c r="T647" s="75"/>
      <c r="U647" s="75"/>
      <c r="V647" s="75"/>
      <c r="W647" s="75"/>
      <c r="X647" s="75"/>
      <c r="Y647" s="340"/>
      <c r="Z647" s="341"/>
      <c r="AA647" s="341"/>
      <c r="AB647" s="341"/>
      <c r="AC647" s="340"/>
      <c r="AD647" s="75"/>
      <c r="AE647" s="75"/>
      <c r="AG647" s="344"/>
      <c r="AH647" s="344"/>
      <c r="AI647" s="344"/>
      <c r="AJ647" s="97"/>
      <c r="AK647" s="4"/>
    </row>
    <row r="648" spans="2:37" s="113" customFormat="1" x14ac:dyDescent="0.4">
      <c r="B648" s="80"/>
      <c r="C648" s="563">
        <v>235</v>
      </c>
      <c r="D648" s="907"/>
      <c r="E648" s="906"/>
      <c r="F648" s="921" t="str">
        <f t="shared" si="32"/>
        <v/>
      </c>
      <c r="G648" s="882" t="str">
        <f t="shared" si="35"/>
        <v/>
      </c>
      <c r="H648" s="919"/>
      <c r="I648" s="922">
        <v>1676</v>
      </c>
      <c r="J648" s="907"/>
      <c r="K648" s="906"/>
      <c r="L648" s="921" t="str">
        <f t="shared" si="33"/>
        <v/>
      </c>
      <c r="M648" s="155" t="str">
        <f t="shared" si="34"/>
        <v/>
      </c>
      <c r="T648" s="75"/>
      <c r="U648" s="75"/>
      <c r="V648" s="75"/>
      <c r="W648" s="75"/>
      <c r="X648" s="75"/>
      <c r="Y648" s="340"/>
      <c r="Z648" s="341"/>
      <c r="AA648" s="341"/>
      <c r="AB648" s="341"/>
      <c r="AC648" s="340"/>
      <c r="AD648" s="75"/>
      <c r="AE648" s="75"/>
      <c r="AG648" s="344"/>
      <c r="AH648" s="344"/>
      <c r="AI648" s="344"/>
      <c r="AJ648" s="97"/>
      <c r="AK648" s="4"/>
    </row>
    <row r="649" spans="2:37" s="113" customFormat="1" x14ac:dyDescent="0.4">
      <c r="B649" s="80"/>
      <c r="C649" s="563">
        <v>236</v>
      </c>
      <c r="D649" s="907"/>
      <c r="E649" s="906"/>
      <c r="F649" s="921" t="str">
        <f t="shared" si="32"/>
        <v/>
      </c>
      <c r="G649" s="882" t="str">
        <f t="shared" si="35"/>
        <v/>
      </c>
      <c r="H649" s="919"/>
      <c r="I649" s="922">
        <v>1677</v>
      </c>
      <c r="J649" s="907"/>
      <c r="K649" s="906"/>
      <c r="L649" s="921" t="str">
        <f t="shared" si="33"/>
        <v/>
      </c>
      <c r="M649" s="155" t="str">
        <f t="shared" si="34"/>
        <v/>
      </c>
      <c r="T649" s="75"/>
      <c r="U649" s="75"/>
      <c r="V649" s="75"/>
      <c r="W649" s="75"/>
      <c r="X649" s="75"/>
      <c r="Y649" s="340"/>
      <c r="Z649" s="341"/>
      <c r="AA649" s="341"/>
      <c r="AB649" s="341"/>
      <c r="AC649" s="340"/>
      <c r="AD649" s="75"/>
      <c r="AE649" s="75"/>
      <c r="AG649" s="344"/>
      <c r="AH649" s="344"/>
      <c r="AI649" s="344"/>
      <c r="AJ649" s="97"/>
      <c r="AK649" s="4"/>
    </row>
    <row r="650" spans="2:37" s="113" customFormat="1" x14ac:dyDescent="0.4">
      <c r="B650" s="80"/>
      <c r="C650" s="563">
        <v>237</v>
      </c>
      <c r="D650" s="907"/>
      <c r="E650" s="906"/>
      <c r="F650" s="921" t="str">
        <f t="shared" si="32"/>
        <v/>
      </c>
      <c r="G650" s="882" t="str">
        <f t="shared" si="35"/>
        <v/>
      </c>
      <c r="H650" s="919"/>
      <c r="I650" s="922">
        <v>1678</v>
      </c>
      <c r="J650" s="907"/>
      <c r="K650" s="906"/>
      <c r="L650" s="921" t="str">
        <f t="shared" si="33"/>
        <v/>
      </c>
      <c r="M650" s="155" t="str">
        <f t="shared" si="34"/>
        <v/>
      </c>
      <c r="T650" s="75"/>
      <c r="U650" s="75"/>
      <c r="V650" s="75"/>
      <c r="W650" s="75"/>
      <c r="X650" s="75"/>
      <c r="Y650" s="340"/>
      <c r="Z650" s="341"/>
      <c r="AA650" s="341"/>
      <c r="AB650" s="341"/>
      <c r="AC650" s="340"/>
      <c r="AD650" s="75"/>
      <c r="AE650" s="75"/>
      <c r="AG650" s="344"/>
      <c r="AH650" s="344"/>
      <c r="AI650" s="344"/>
      <c r="AJ650" s="97"/>
      <c r="AK650" s="4"/>
    </row>
    <row r="651" spans="2:37" s="113" customFormat="1" x14ac:dyDescent="0.4">
      <c r="B651" s="80"/>
      <c r="C651" s="563">
        <v>238</v>
      </c>
      <c r="D651" s="907"/>
      <c r="E651" s="906"/>
      <c r="F651" s="921" t="str">
        <f t="shared" si="32"/>
        <v/>
      </c>
      <c r="G651" s="882" t="str">
        <f t="shared" si="35"/>
        <v/>
      </c>
      <c r="H651" s="919"/>
      <c r="I651" s="922">
        <v>1679</v>
      </c>
      <c r="J651" s="907"/>
      <c r="K651" s="906"/>
      <c r="L651" s="921" t="str">
        <f t="shared" si="33"/>
        <v/>
      </c>
      <c r="M651" s="155" t="str">
        <f t="shared" si="34"/>
        <v/>
      </c>
      <c r="T651" s="75"/>
      <c r="U651" s="75"/>
      <c r="V651" s="75"/>
      <c r="W651" s="75"/>
      <c r="X651" s="75"/>
      <c r="Y651" s="340"/>
      <c r="Z651" s="341"/>
      <c r="AA651" s="341"/>
      <c r="AB651" s="341"/>
      <c r="AC651" s="340"/>
      <c r="AD651" s="75"/>
      <c r="AE651" s="75"/>
      <c r="AG651" s="344"/>
      <c r="AH651" s="344"/>
      <c r="AI651" s="344"/>
      <c r="AJ651" s="97"/>
      <c r="AK651" s="4"/>
    </row>
    <row r="652" spans="2:37" s="113" customFormat="1" x14ac:dyDescent="0.4">
      <c r="B652" s="80"/>
      <c r="C652" s="563">
        <v>239</v>
      </c>
      <c r="D652" s="907"/>
      <c r="E652" s="906"/>
      <c r="F652" s="921" t="str">
        <f t="shared" si="32"/>
        <v/>
      </c>
      <c r="G652" s="882" t="str">
        <f t="shared" si="35"/>
        <v/>
      </c>
      <c r="H652" s="919"/>
      <c r="I652" s="922">
        <v>1680</v>
      </c>
      <c r="J652" s="907"/>
      <c r="K652" s="906"/>
      <c r="L652" s="921" t="str">
        <f t="shared" si="33"/>
        <v/>
      </c>
      <c r="M652" s="155" t="str">
        <f t="shared" si="34"/>
        <v/>
      </c>
      <c r="T652" s="75"/>
      <c r="U652" s="75"/>
      <c r="V652" s="75"/>
      <c r="W652" s="75"/>
      <c r="X652" s="75"/>
      <c r="Y652" s="340"/>
      <c r="Z652" s="341"/>
      <c r="AA652" s="341"/>
      <c r="AB652" s="341"/>
      <c r="AC652" s="340"/>
      <c r="AD652" s="75"/>
      <c r="AE652" s="75"/>
      <c r="AG652" s="344"/>
      <c r="AH652" s="344"/>
      <c r="AI652" s="344"/>
      <c r="AJ652" s="97"/>
      <c r="AK652" s="4"/>
    </row>
    <row r="653" spans="2:37" s="113" customFormat="1" x14ac:dyDescent="0.4">
      <c r="B653" s="80"/>
      <c r="C653" s="563">
        <v>240</v>
      </c>
      <c r="D653" s="907"/>
      <c r="E653" s="906"/>
      <c r="F653" s="921" t="str">
        <f t="shared" si="32"/>
        <v/>
      </c>
      <c r="G653" s="882" t="str">
        <f t="shared" si="35"/>
        <v/>
      </c>
      <c r="H653" s="919"/>
      <c r="I653" s="922">
        <v>1681</v>
      </c>
      <c r="J653" s="907"/>
      <c r="K653" s="906"/>
      <c r="L653" s="921" t="str">
        <f t="shared" si="33"/>
        <v/>
      </c>
      <c r="M653" s="155" t="str">
        <f t="shared" si="34"/>
        <v/>
      </c>
      <c r="T653" s="75"/>
      <c r="U653" s="75"/>
      <c r="V653" s="75"/>
      <c r="W653" s="75"/>
      <c r="X653" s="75"/>
      <c r="Y653" s="340"/>
      <c r="Z653" s="341"/>
      <c r="AA653" s="341"/>
      <c r="AB653" s="341"/>
      <c r="AC653" s="340"/>
      <c r="AD653" s="75"/>
      <c r="AE653" s="75"/>
      <c r="AG653" s="344"/>
      <c r="AH653" s="344"/>
      <c r="AI653" s="344"/>
      <c r="AJ653" s="97"/>
      <c r="AK653" s="4"/>
    </row>
    <row r="654" spans="2:37" s="113" customFormat="1" x14ac:dyDescent="0.4">
      <c r="B654" s="80"/>
      <c r="C654" s="563">
        <v>241</v>
      </c>
      <c r="D654" s="907"/>
      <c r="E654" s="906"/>
      <c r="F654" s="921" t="str">
        <f t="shared" si="32"/>
        <v/>
      </c>
      <c r="G654" s="882" t="str">
        <f t="shared" si="35"/>
        <v/>
      </c>
      <c r="H654" s="919"/>
      <c r="I654" s="922">
        <v>1682</v>
      </c>
      <c r="J654" s="907"/>
      <c r="K654" s="906"/>
      <c r="L654" s="921" t="str">
        <f t="shared" si="33"/>
        <v/>
      </c>
      <c r="M654" s="155" t="str">
        <f t="shared" si="34"/>
        <v/>
      </c>
      <c r="T654" s="75"/>
      <c r="U654" s="75"/>
      <c r="V654" s="75"/>
      <c r="W654" s="75"/>
      <c r="X654" s="75"/>
      <c r="Y654" s="340"/>
      <c r="Z654" s="341"/>
      <c r="AA654" s="341"/>
      <c r="AB654" s="341"/>
      <c r="AC654" s="340"/>
      <c r="AD654" s="75"/>
      <c r="AE654" s="75"/>
      <c r="AG654" s="344"/>
      <c r="AH654" s="344"/>
      <c r="AI654" s="344"/>
      <c r="AJ654" s="97"/>
      <c r="AK654" s="4"/>
    </row>
    <row r="655" spans="2:37" s="113" customFormat="1" x14ac:dyDescent="0.4">
      <c r="B655" s="80"/>
      <c r="C655" s="563">
        <v>242</v>
      </c>
      <c r="D655" s="907"/>
      <c r="E655" s="906"/>
      <c r="F655" s="921" t="str">
        <f t="shared" si="32"/>
        <v/>
      </c>
      <c r="G655" s="882" t="str">
        <f t="shared" si="35"/>
        <v/>
      </c>
      <c r="H655" s="919"/>
      <c r="I655" s="922">
        <v>1683</v>
      </c>
      <c r="J655" s="907"/>
      <c r="K655" s="906"/>
      <c r="L655" s="921" t="str">
        <f t="shared" si="33"/>
        <v/>
      </c>
      <c r="M655" s="155" t="str">
        <f t="shared" si="34"/>
        <v/>
      </c>
      <c r="T655" s="75"/>
      <c r="U655" s="75"/>
      <c r="V655" s="75"/>
      <c r="W655" s="75"/>
      <c r="X655" s="75"/>
      <c r="Y655" s="340"/>
      <c r="Z655" s="341"/>
      <c r="AA655" s="341"/>
      <c r="AB655" s="341"/>
      <c r="AC655" s="340"/>
      <c r="AD655" s="75"/>
      <c r="AE655" s="75"/>
      <c r="AG655" s="344"/>
      <c r="AH655" s="344"/>
      <c r="AI655" s="344"/>
      <c r="AJ655" s="97"/>
      <c r="AK655" s="4"/>
    </row>
    <row r="656" spans="2:37" s="113" customFormat="1" x14ac:dyDescent="0.4">
      <c r="B656" s="80"/>
      <c r="C656" s="563">
        <v>243</v>
      </c>
      <c r="D656" s="907"/>
      <c r="E656" s="906"/>
      <c r="F656" s="921" t="str">
        <f t="shared" si="32"/>
        <v/>
      </c>
      <c r="G656" s="882" t="str">
        <f t="shared" si="35"/>
        <v/>
      </c>
      <c r="H656" s="919"/>
      <c r="I656" s="922">
        <v>1684</v>
      </c>
      <c r="J656" s="907"/>
      <c r="K656" s="906"/>
      <c r="L656" s="921" t="str">
        <f t="shared" si="33"/>
        <v/>
      </c>
      <c r="M656" s="155" t="str">
        <f t="shared" si="34"/>
        <v/>
      </c>
      <c r="T656" s="75"/>
      <c r="U656" s="75"/>
      <c r="V656" s="75"/>
      <c r="W656" s="75"/>
      <c r="X656" s="75"/>
      <c r="Y656" s="340"/>
      <c r="Z656" s="341"/>
      <c r="AA656" s="341"/>
      <c r="AB656" s="341"/>
      <c r="AC656" s="340"/>
      <c r="AD656" s="75"/>
      <c r="AE656" s="75"/>
      <c r="AG656" s="344"/>
      <c r="AH656" s="344"/>
      <c r="AI656" s="344"/>
      <c r="AJ656" s="97"/>
      <c r="AK656" s="4"/>
    </row>
    <row r="657" spans="2:37" s="113" customFormat="1" x14ac:dyDescent="0.4">
      <c r="B657" s="80"/>
      <c r="C657" s="563">
        <v>244</v>
      </c>
      <c r="D657" s="907"/>
      <c r="E657" s="906"/>
      <c r="F657" s="921" t="str">
        <f t="shared" si="32"/>
        <v/>
      </c>
      <c r="G657" s="882" t="str">
        <f t="shared" si="35"/>
        <v/>
      </c>
      <c r="H657" s="919"/>
      <c r="I657" s="922">
        <v>1685</v>
      </c>
      <c r="J657" s="907"/>
      <c r="K657" s="906"/>
      <c r="L657" s="921" t="str">
        <f t="shared" si="33"/>
        <v/>
      </c>
      <c r="M657" s="155" t="str">
        <f t="shared" si="34"/>
        <v/>
      </c>
      <c r="T657" s="75"/>
      <c r="U657" s="75"/>
      <c r="V657" s="75"/>
      <c r="W657" s="75"/>
      <c r="X657" s="75"/>
      <c r="Y657" s="340"/>
      <c r="Z657" s="341"/>
      <c r="AA657" s="341"/>
      <c r="AB657" s="341"/>
      <c r="AC657" s="340"/>
      <c r="AD657" s="75"/>
      <c r="AE657" s="75"/>
      <c r="AG657" s="344"/>
      <c r="AH657" s="344"/>
      <c r="AI657" s="344"/>
      <c r="AJ657" s="97"/>
      <c r="AK657" s="4"/>
    </row>
    <row r="658" spans="2:37" s="113" customFormat="1" x14ac:dyDescent="0.4">
      <c r="B658" s="80"/>
      <c r="C658" s="563">
        <v>245</v>
      </c>
      <c r="D658" s="907"/>
      <c r="E658" s="906"/>
      <c r="F658" s="921" t="str">
        <f t="shared" si="32"/>
        <v/>
      </c>
      <c r="G658" s="882" t="str">
        <f t="shared" si="35"/>
        <v/>
      </c>
      <c r="H658" s="919"/>
      <c r="I658" s="922">
        <v>1686</v>
      </c>
      <c r="J658" s="907"/>
      <c r="K658" s="906"/>
      <c r="L658" s="921" t="str">
        <f t="shared" si="33"/>
        <v/>
      </c>
      <c r="M658" s="155" t="str">
        <f t="shared" si="34"/>
        <v/>
      </c>
      <c r="T658" s="75"/>
      <c r="U658" s="75"/>
      <c r="V658" s="75"/>
      <c r="W658" s="75"/>
      <c r="X658" s="75"/>
      <c r="Y658" s="340"/>
      <c r="Z658" s="341"/>
      <c r="AA658" s="341"/>
      <c r="AB658" s="341"/>
      <c r="AC658" s="340"/>
      <c r="AD658" s="75"/>
      <c r="AE658" s="75"/>
      <c r="AG658" s="344"/>
      <c r="AH658" s="344"/>
      <c r="AI658" s="344"/>
      <c r="AJ658" s="97"/>
      <c r="AK658" s="4"/>
    </row>
    <row r="659" spans="2:37" s="113" customFormat="1" x14ac:dyDescent="0.4">
      <c r="B659" s="80"/>
      <c r="C659" s="563">
        <v>246</v>
      </c>
      <c r="D659" s="907"/>
      <c r="E659" s="906"/>
      <c r="F659" s="921" t="str">
        <f t="shared" si="32"/>
        <v/>
      </c>
      <c r="G659" s="882" t="str">
        <f t="shared" si="35"/>
        <v/>
      </c>
      <c r="H659" s="919"/>
      <c r="I659" s="922">
        <v>1687</v>
      </c>
      <c r="J659" s="907"/>
      <c r="K659" s="906"/>
      <c r="L659" s="921" t="str">
        <f t="shared" si="33"/>
        <v/>
      </c>
      <c r="M659" s="155" t="str">
        <f t="shared" si="34"/>
        <v/>
      </c>
      <c r="T659" s="75"/>
      <c r="U659" s="75"/>
      <c r="V659" s="75"/>
      <c r="W659" s="75"/>
      <c r="X659" s="75"/>
      <c r="Y659" s="340"/>
      <c r="Z659" s="341"/>
      <c r="AA659" s="341"/>
      <c r="AB659" s="341"/>
      <c r="AC659" s="340"/>
      <c r="AD659" s="75"/>
      <c r="AE659" s="75"/>
      <c r="AG659" s="344"/>
      <c r="AH659" s="344"/>
      <c r="AI659" s="344"/>
      <c r="AJ659" s="97"/>
      <c r="AK659" s="4"/>
    </row>
    <row r="660" spans="2:37" s="113" customFormat="1" x14ac:dyDescent="0.4">
      <c r="B660" s="80"/>
      <c r="C660" s="563">
        <v>247</v>
      </c>
      <c r="D660" s="907"/>
      <c r="E660" s="906"/>
      <c r="F660" s="921" t="str">
        <f t="shared" si="32"/>
        <v/>
      </c>
      <c r="G660" s="882" t="str">
        <f t="shared" si="35"/>
        <v/>
      </c>
      <c r="H660" s="919"/>
      <c r="I660" s="922">
        <v>1688</v>
      </c>
      <c r="J660" s="907"/>
      <c r="K660" s="906"/>
      <c r="L660" s="921" t="str">
        <f t="shared" si="33"/>
        <v/>
      </c>
      <c r="M660" s="155" t="str">
        <f t="shared" si="34"/>
        <v/>
      </c>
      <c r="T660" s="75"/>
      <c r="U660" s="75"/>
      <c r="V660" s="75"/>
      <c r="W660" s="75"/>
      <c r="X660" s="75"/>
      <c r="Y660" s="340"/>
      <c r="Z660" s="341"/>
      <c r="AA660" s="341"/>
      <c r="AB660" s="341"/>
      <c r="AC660" s="340"/>
      <c r="AD660" s="75"/>
      <c r="AE660" s="75"/>
      <c r="AG660" s="344"/>
      <c r="AH660" s="344"/>
      <c r="AI660" s="344"/>
      <c r="AJ660" s="97"/>
      <c r="AK660" s="4"/>
    </row>
    <row r="661" spans="2:37" s="113" customFormat="1" x14ac:dyDescent="0.4">
      <c r="B661" s="80"/>
      <c r="C661" s="563">
        <v>248</v>
      </c>
      <c r="D661" s="907"/>
      <c r="E661" s="906"/>
      <c r="F661" s="921" t="str">
        <f t="shared" si="32"/>
        <v/>
      </c>
      <c r="G661" s="882" t="str">
        <f t="shared" si="35"/>
        <v/>
      </c>
      <c r="H661" s="919"/>
      <c r="I661" s="922">
        <v>1689</v>
      </c>
      <c r="J661" s="907"/>
      <c r="K661" s="906"/>
      <c r="L661" s="921" t="str">
        <f t="shared" si="33"/>
        <v/>
      </c>
      <c r="M661" s="155" t="str">
        <f t="shared" si="34"/>
        <v/>
      </c>
      <c r="T661" s="75"/>
      <c r="U661" s="75"/>
      <c r="V661" s="75"/>
      <c r="W661" s="75"/>
      <c r="X661" s="75"/>
      <c r="Y661" s="340"/>
      <c r="Z661" s="341"/>
      <c r="AA661" s="341"/>
      <c r="AB661" s="341"/>
      <c r="AC661" s="340"/>
      <c r="AD661" s="75"/>
      <c r="AE661" s="75"/>
      <c r="AG661" s="344"/>
      <c r="AH661" s="344"/>
      <c r="AI661" s="344"/>
      <c r="AJ661" s="97"/>
      <c r="AK661" s="4"/>
    </row>
    <row r="662" spans="2:37" s="113" customFormat="1" x14ac:dyDescent="0.4">
      <c r="B662" s="80"/>
      <c r="C662" s="563">
        <v>249</v>
      </c>
      <c r="D662" s="907"/>
      <c r="E662" s="906"/>
      <c r="F662" s="921" t="str">
        <f t="shared" si="32"/>
        <v/>
      </c>
      <c r="G662" s="882" t="str">
        <f t="shared" si="35"/>
        <v/>
      </c>
      <c r="H662" s="919"/>
      <c r="I662" s="922">
        <v>1690</v>
      </c>
      <c r="J662" s="907"/>
      <c r="K662" s="906"/>
      <c r="L662" s="921" t="str">
        <f t="shared" si="33"/>
        <v/>
      </c>
      <c r="M662" s="155" t="str">
        <f t="shared" si="34"/>
        <v/>
      </c>
      <c r="T662" s="75"/>
      <c r="U662" s="75"/>
      <c r="V662" s="75"/>
      <c r="W662" s="75"/>
      <c r="X662" s="75"/>
      <c r="Y662" s="340"/>
      <c r="Z662" s="341"/>
      <c r="AA662" s="341"/>
      <c r="AB662" s="341"/>
      <c r="AC662" s="340"/>
      <c r="AD662" s="75"/>
      <c r="AE662" s="75"/>
      <c r="AG662" s="344"/>
      <c r="AH662" s="344"/>
      <c r="AI662" s="344"/>
      <c r="AJ662" s="97"/>
      <c r="AK662" s="4"/>
    </row>
    <row r="663" spans="2:37" s="113" customFormat="1" x14ac:dyDescent="0.4">
      <c r="B663" s="80"/>
      <c r="C663" s="563">
        <v>250</v>
      </c>
      <c r="D663" s="907"/>
      <c r="E663" s="906"/>
      <c r="F663" s="921" t="str">
        <f t="shared" si="32"/>
        <v/>
      </c>
      <c r="G663" s="882" t="str">
        <f t="shared" si="35"/>
        <v/>
      </c>
      <c r="H663" s="919"/>
      <c r="I663" s="922">
        <v>1691</v>
      </c>
      <c r="J663" s="907"/>
      <c r="K663" s="906"/>
      <c r="L663" s="921" t="str">
        <f t="shared" si="33"/>
        <v/>
      </c>
      <c r="M663" s="155" t="str">
        <f t="shared" si="34"/>
        <v/>
      </c>
      <c r="T663" s="75"/>
      <c r="U663" s="75"/>
      <c r="V663" s="75"/>
      <c r="W663" s="75"/>
      <c r="X663" s="75"/>
      <c r="Y663" s="340"/>
      <c r="Z663" s="341"/>
      <c r="AA663" s="341"/>
      <c r="AB663" s="341"/>
      <c r="AC663" s="340"/>
      <c r="AD663" s="75"/>
      <c r="AE663" s="75"/>
      <c r="AG663" s="344"/>
      <c r="AH663" s="344"/>
      <c r="AI663" s="344"/>
      <c r="AJ663" s="97"/>
      <c r="AK663" s="4"/>
    </row>
    <row r="664" spans="2:37" s="113" customFormat="1" x14ac:dyDescent="0.4">
      <c r="B664" s="80"/>
      <c r="C664" s="563">
        <v>251</v>
      </c>
      <c r="D664" s="907"/>
      <c r="E664" s="906"/>
      <c r="F664" s="921" t="str">
        <f t="shared" si="32"/>
        <v/>
      </c>
      <c r="G664" s="882" t="str">
        <f t="shared" si="35"/>
        <v/>
      </c>
      <c r="H664" s="919"/>
      <c r="I664" s="922">
        <v>1692</v>
      </c>
      <c r="J664" s="907"/>
      <c r="K664" s="906"/>
      <c r="L664" s="921" t="str">
        <f t="shared" si="33"/>
        <v/>
      </c>
      <c r="M664" s="155" t="str">
        <f t="shared" si="34"/>
        <v/>
      </c>
      <c r="T664" s="75"/>
      <c r="U664" s="75"/>
      <c r="V664" s="75"/>
      <c r="W664" s="75"/>
      <c r="X664" s="75"/>
      <c r="Y664" s="340"/>
      <c r="Z664" s="341"/>
      <c r="AA664" s="341"/>
      <c r="AB664" s="341"/>
      <c r="AC664" s="340"/>
      <c r="AD664" s="75"/>
      <c r="AE664" s="75"/>
      <c r="AG664" s="344"/>
      <c r="AH664" s="344"/>
      <c r="AI664" s="344"/>
      <c r="AJ664" s="97"/>
      <c r="AK664" s="4"/>
    </row>
    <row r="665" spans="2:37" s="113" customFormat="1" x14ac:dyDescent="0.4">
      <c r="B665" s="80"/>
      <c r="C665" s="563">
        <v>252</v>
      </c>
      <c r="D665" s="907"/>
      <c r="E665" s="906"/>
      <c r="F665" s="921" t="str">
        <f t="shared" si="32"/>
        <v/>
      </c>
      <c r="G665" s="882" t="str">
        <f t="shared" si="35"/>
        <v/>
      </c>
      <c r="H665" s="919"/>
      <c r="I665" s="922">
        <v>1693</v>
      </c>
      <c r="J665" s="907"/>
      <c r="K665" s="906"/>
      <c r="L665" s="921" t="str">
        <f t="shared" si="33"/>
        <v/>
      </c>
      <c r="M665" s="155" t="str">
        <f t="shared" si="34"/>
        <v/>
      </c>
      <c r="T665" s="75"/>
      <c r="U665" s="75"/>
      <c r="V665" s="75"/>
      <c r="W665" s="75"/>
      <c r="X665" s="75"/>
      <c r="Y665" s="340"/>
      <c r="Z665" s="341"/>
      <c r="AA665" s="341"/>
      <c r="AB665" s="341"/>
      <c r="AC665" s="340"/>
      <c r="AD665" s="75"/>
      <c r="AE665" s="75"/>
      <c r="AG665" s="344"/>
      <c r="AH665" s="344"/>
      <c r="AI665" s="344"/>
      <c r="AJ665" s="97"/>
      <c r="AK665" s="4"/>
    </row>
    <row r="666" spans="2:37" s="113" customFormat="1" x14ac:dyDescent="0.4">
      <c r="B666" s="80"/>
      <c r="C666" s="563">
        <v>253</v>
      </c>
      <c r="D666" s="907"/>
      <c r="E666" s="906"/>
      <c r="F666" s="921" t="str">
        <f t="shared" si="32"/>
        <v/>
      </c>
      <c r="G666" s="882" t="str">
        <f t="shared" si="35"/>
        <v/>
      </c>
      <c r="H666" s="919"/>
      <c r="I666" s="922">
        <v>1694</v>
      </c>
      <c r="J666" s="907"/>
      <c r="K666" s="906"/>
      <c r="L666" s="921" t="str">
        <f t="shared" si="33"/>
        <v/>
      </c>
      <c r="M666" s="155" t="str">
        <f t="shared" si="34"/>
        <v/>
      </c>
      <c r="T666" s="75"/>
      <c r="U666" s="75"/>
      <c r="V666" s="75"/>
      <c r="W666" s="75"/>
      <c r="X666" s="75"/>
      <c r="Y666" s="340"/>
      <c r="Z666" s="341"/>
      <c r="AA666" s="341"/>
      <c r="AB666" s="341"/>
      <c r="AC666" s="340"/>
      <c r="AD666" s="75"/>
      <c r="AE666" s="75"/>
      <c r="AG666" s="344"/>
      <c r="AH666" s="344"/>
      <c r="AI666" s="344"/>
      <c r="AJ666" s="97"/>
      <c r="AK666" s="4"/>
    </row>
    <row r="667" spans="2:37" s="113" customFormat="1" x14ac:dyDescent="0.4">
      <c r="B667" s="80"/>
      <c r="C667" s="563">
        <v>254</v>
      </c>
      <c r="D667" s="907"/>
      <c r="E667" s="906"/>
      <c r="F667" s="921" t="str">
        <f t="shared" si="32"/>
        <v/>
      </c>
      <c r="G667" s="882" t="str">
        <f t="shared" si="35"/>
        <v/>
      </c>
      <c r="H667" s="919"/>
      <c r="I667" s="922">
        <v>1695</v>
      </c>
      <c r="J667" s="907"/>
      <c r="K667" s="906"/>
      <c r="L667" s="921" t="str">
        <f t="shared" si="33"/>
        <v/>
      </c>
      <c r="M667" s="155" t="str">
        <f t="shared" si="34"/>
        <v/>
      </c>
      <c r="T667" s="75"/>
      <c r="U667" s="75"/>
      <c r="V667" s="75"/>
      <c r="W667" s="75"/>
      <c r="X667" s="75"/>
      <c r="Y667" s="340"/>
      <c r="Z667" s="341"/>
      <c r="AA667" s="341"/>
      <c r="AB667" s="341"/>
      <c r="AC667" s="340"/>
      <c r="AD667" s="75"/>
      <c r="AE667" s="75"/>
      <c r="AG667" s="344"/>
      <c r="AH667" s="344"/>
      <c r="AI667" s="344"/>
      <c r="AJ667" s="97"/>
      <c r="AK667" s="4"/>
    </row>
    <row r="668" spans="2:37" s="113" customFormat="1" x14ac:dyDescent="0.4">
      <c r="B668" s="80"/>
      <c r="C668" s="563">
        <v>255</v>
      </c>
      <c r="D668" s="907"/>
      <c r="E668" s="906"/>
      <c r="F668" s="921" t="str">
        <f t="shared" si="32"/>
        <v/>
      </c>
      <c r="G668" s="882" t="str">
        <f t="shared" si="35"/>
        <v/>
      </c>
      <c r="H668" s="919"/>
      <c r="I668" s="922">
        <v>1696</v>
      </c>
      <c r="J668" s="907"/>
      <c r="K668" s="906"/>
      <c r="L668" s="921" t="str">
        <f t="shared" si="33"/>
        <v/>
      </c>
      <c r="M668" s="155" t="str">
        <f t="shared" si="34"/>
        <v/>
      </c>
      <c r="T668" s="75"/>
      <c r="U668" s="75"/>
      <c r="V668" s="75"/>
      <c r="W668" s="75"/>
      <c r="X668" s="75"/>
      <c r="Y668" s="340"/>
      <c r="Z668" s="341"/>
      <c r="AA668" s="341"/>
      <c r="AB668" s="341"/>
      <c r="AC668" s="340"/>
      <c r="AD668" s="75"/>
      <c r="AE668" s="75"/>
      <c r="AG668" s="344"/>
      <c r="AH668" s="344"/>
      <c r="AI668" s="344"/>
      <c r="AJ668" s="97"/>
      <c r="AK668" s="4"/>
    </row>
    <row r="669" spans="2:37" s="113" customFormat="1" x14ac:dyDescent="0.4">
      <c r="B669" s="80"/>
      <c r="C669" s="563">
        <v>256</v>
      </c>
      <c r="D669" s="907"/>
      <c r="E669" s="906"/>
      <c r="F669" s="921" t="str">
        <f t="shared" si="32"/>
        <v/>
      </c>
      <c r="G669" s="882" t="str">
        <f t="shared" si="35"/>
        <v/>
      </c>
      <c r="H669" s="919"/>
      <c r="I669" s="922">
        <v>1697</v>
      </c>
      <c r="J669" s="907"/>
      <c r="K669" s="906"/>
      <c r="L669" s="921" t="str">
        <f t="shared" si="33"/>
        <v/>
      </c>
      <c r="M669" s="155" t="str">
        <f t="shared" si="34"/>
        <v/>
      </c>
      <c r="T669" s="75"/>
      <c r="U669" s="75"/>
      <c r="V669" s="75"/>
      <c r="W669" s="75"/>
      <c r="X669" s="75"/>
      <c r="Y669" s="340"/>
      <c r="Z669" s="341"/>
      <c r="AA669" s="341"/>
      <c r="AB669" s="341"/>
      <c r="AC669" s="340"/>
      <c r="AD669" s="75"/>
      <c r="AE669" s="75"/>
      <c r="AG669" s="344"/>
      <c r="AH669" s="344"/>
      <c r="AI669" s="344"/>
      <c r="AJ669" s="97"/>
      <c r="AK669" s="4"/>
    </row>
    <row r="670" spans="2:37" s="113" customFormat="1" x14ac:dyDescent="0.4">
      <c r="B670" s="80"/>
      <c r="C670" s="563">
        <v>257</v>
      </c>
      <c r="D670" s="907"/>
      <c r="E670" s="906"/>
      <c r="F670" s="921" t="str">
        <f t="shared" ref="F670:F733" si="36">IF($D$30="","",IF(OR(
AND(C670&gt;=0,C670&lt;=$D$32),
AND(C670&gt;=$E$30,C670&lt;=$E$32),
AND(C670&gt;=$F$30,C670&lt;=$F$32),
AND(C670&gt;=$G$30,C670&lt;=$G$32),
AND(C670&gt;=$H$30,C670&lt;=$H$32),
AND(C670&gt;=$I$30,C670&lt;=$I$32),
AND(C670&gt;=$J$30,C670&lt;=$J$32),
AND(C670&gt;=$K$30,C670&lt;=$K$32),
AND(C670&gt;=$L$30,C670&lt;=$L$32),
AND(C670&gt;=$M$30,C670&lt;=$M$32,$M$32&lt;&gt;""),
AND(C670&gt;=$N$30,C670&lt;=$N$32,$N$32&lt;&gt;""),
AND(C670&gt;=$O$30,C670&lt;=$O$32,$O$32&lt;&gt;""),
AND(C670&gt;=$P$30,C670&lt;=$P$32,$P$32&lt;&gt;""),
AND(C670&gt;=$Q$30,C670&lt;=$Q$32,$Q$32&lt;&gt;"")
),"ON","OFF"))</f>
        <v/>
      </c>
      <c r="G670" s="882" t="str">
        <f t="shared" si="35"/>
        <v/>
      </c>
      <c r="H670" s="919"/>
      <c r="I670" s="922">
        <v>1698</v>
      </c>
      <c r="J670" s="907"/>
      <c r="K670" s="906"/>
      <c r="L670" s="921" t="str">
        <f t="shared" ref="L670:L733" si="37">IF($D$30="","",IF(OR(
AND(I670&gt;=0,I670&lt;=$D$32),
AND(I670&gt;=$E$30,I670&lt;=$E$32),
AND(I670&gt;=$F$30,I670&lt;=$F$32),
AND(I670&gt;=$G$30,I670&lt;=$G$32),
AND(I670&gt;=$H$30,I670&lt;=$H$32),
AND(I670&gt;=$I$30,I670&lt;=$I$32),
AND(I670&gt;=$J$30,I670&lt;=$J$32),
AND(I670&gt;=$K$30,I670&lt;=$K$32),
AND(I670&gt;=$L$30,I670&lt;=$L$32),
AND(I670&gt;=$M$30,I670&lt;=$M$32,$M$32&lt;&gt;""),
AND(I670&gt;=$N$30,I670&lt;=$N$32,$N$32&lt;&gt;""),
AND(I670&gt;=$O$30,I670&lt;=$O$32,$O$32&lt;&gt;""),
AND(I670&gt;=$P$30,I670&lt;=$P$32,$P$32&lt;&gt;""),
AND(I670&gt;=$Q$30,I670&lt;=$Q$32,$Q$32&lt;&gt;"")
),"ON","OFF"))</f>
        <v/>
      </c>
      <c r="M670" s="155" t="str">
        <f t="shared" ref="M670:M733" si="38">IF(OR($D$47="",$D$48=""),"",IF(OR(
AND(I670&gt;=$D$47,I670&lt;=$D$48),
AND(I670&gt;=$E$47,I670&lt;=$E$48),
AND(I670&gt;=$F$47,I670&lt;=$F$48),
AND(I670&gt;=$G$47,I670&lt;=$G$48),
AND(I670&gt;=$H$47,I670&lt;=$H$48),
AND(I670&gt;=$I$47,I670&lt;=$I$48),
AND(I670&gt;=$J$47,I670&lt;=$J$48),
AND(I670&gt;=$K$47,I670&lt;=$K$48),
AND(I670&gt;=$L$47,I670&lt;=$L$48),
AND(I670&gt;=$M$47,I670&lt;=$M$48),
AND(I670&gt;=$N$47,I670&lt;=$N$48),
AND(I670&gt;=$O$47,I670&lt;=$O$48),
AND(I670&gt;=$P$47,I670&lt;=$P$48),
AND(I670&gt;=$Q$47,I670&lt;=$Q$48),
AND(I670&gt;=$R$47,I670&lt;=$R$48),
AND(I670&gt;=$S$47,I670&lt;=$S$48),
AND(I670&gt;=$T$47,I670&lt;=$T$48),
AND(I670&gt;=$U$47,I670&lt;=$U$48),
AND(I670&gt;=$V$47,I670&lt;=$V$48),
AND(I670&gt;=$W$47,I670&lt;=$W$48),
AND(I670&gt;=$X$47,I670&lt;=$X$48),
AND(I670&gt;=$Y$47,I670&lt;=$Y$48),
AND(I670&gt;=$Z$47,I670&lt;=$Z$48),
AND(I670&gt;=$AA$47,I670&lt;=$AA$48),
AND(I670&gt;=$AB$47,I670&lt;=$AB$48),
AND(I670&gt;=$AC$47,I670&lt;=$AC$48),
AND(I670&gt;=$AD$47,I670&lt;=$AD$48),
AND(I670&gt;=$AE$47,I670&lt;=$AE$48),
AND(I670&gt;=$AF$47,I670&lt;=$AF$48),
AND(I670&gt;=$AG$47,I670&lt;=$AG$48)
),"ON","OFF"))</f>
        <v/>
      </c>
      <c r="T670" s="75"/>
      <c r="U670" s="75"/>
      <c r="V670" s="75"/>
      <c r="W670" s="75"/>
      <c r="X670" s="75"/>
      <c r="Y670" s="340"/>
      <c r="Z670" s="341"/>
      <c r="AA670" s="341"/>
      <c r="AB670" s="341"/>
      <c r="AC670" s="340"/>
      <c r="AD670" s="75"/>
      <c r="AE670" s="75"/>
      <c r="AG670" s="344"/>
      <c r="AH670" s="344"/>
      <c r="AI670" s="344"/>
      <c r="AJ670" s="97"/>
      <c r="AK670" s="4"/>
    </row>
    <row r="671" spans="2:37" s="113" customFormat="1" x14ac:dyDescent="0.4">
      <c r="B671" s="80"/>
      <c r="C671" s="563">
        <v>258</v>
      </c>
      <c r="D671" s="907"/>
      <c r="E671" s="906"/>
      <c r="F671" s="921" t="str">
        <f t="shared" si="36"/>
        <v/>
      </c>
      <c r="G671" s="882" t="str">
        <f t="shared" ref="G671:G734" si="39">IF(OR($D$47="",$D$48=""),"",IF(OR(
AND(C671&gt;=$D$47,C671&lt;=$D$48),
AND(C671&gt;=$E$47,C671&lt;=$E$48),
AND(C671&gt;=$F$47,C671&lt;=$F$48),
AND(C671&gt;=$G$47,C671&lt;=$G$48),
AND(C671&gt;=$H$47,C671&lt;=$H$48),
AND(C671&gt;=$I$47,C671&lt;=$I$48),
AND(C671&gt;=$J$47,C671&lt;=$J$48),
AND(C671&gt;=$K$47,C671&lt;=$K$48),
AND(C671&gt;=$L$47,C671&lt;=$L$48),
AND(C671&gt;=$M$47,C671&lt;=$M$48),
AND(C671&gt;=$N$47,C671&lt;=$N$48),
AND(C671&gt;=$O$47,C671&lt;=$O$48),
AND(C671&gt;=$P$47,C671&lt;=$P$48),
AND(C671&gt;=$Q$47,C671&lt;=$Q$48),
AND(C671&gt;=$R$47,C671&lt;=$R$48),
AND(C671&gt;=$S$47,C671&lt;=$S$48),
AND(C671&gt;=$T$47,C671&lt;=$T$48),
AND(C671&gt;=$U$47,C671&lt;=$U$48),
AND(C671&gt;=$V$47,C671&lt;=$V$48),
AND(C671&gt;=$W$47,C671&lt;=$W$48),
AND(C671&gt;=$X$47,C671&lt;=$X$48),
AND(C671&gt;=$Y$47,C671&lt;=$Y$48),
AND(C671&gt;=$Z$47,C671&lt;=$Z$48),
AND(C671&gt;=$AA$47,C671&lt;=$AA$48),
AND(C671&gt;=$AB$47,C671&lt;=$AB$48),
AND(C671&gt;=$AC$47,C671&lt;=$AC$48),
AND(C671&gt;=$AD$47,C671&lt;=$AD$48),
AND(C671&gt;=$AE$47,C671&lt;=$AE$48),
AND(C671&gt;=$AF$47,C671&lt;=$AF$48),
AND(C671&gt;=$AG$47,C671&lt;=$AG$48)
),"ON","OFF"))</f>
        <v/>
      </c>
      <c r="H671" s="919"/>
      <c r="I671" s="922">
        <v>1699</v>
      </c>
      <c r="J671" s="907"/>
      <c r="K671" s="906"/>
      <c r="L671" s="921" t="str">
        <f t="shared" si="37"/>
        <v/>
      </c>
      <c r="M671" s="155" t="str">
        <f t="shared" si="38"/>
        <v/>
      </c>
      <c r="T671" s="75"/>
      <c r="U671" s="75"/>
      <c r="V671" s="75"/>
      <c r="W671" s="75"/>
      <c r="X671" s="75"/>
      <c r="Y671" s="340"/>
      <c r="Z671" s="341"/>
      <c r="AA671" s="341"/>
      <c r="AB671" s="341"/>
      <c r="AC671" s="340"/>
      <c r="AD671" s="75"/>
      <c r="AE671" s="75"/>
      <c r="AG671" s="344"/>
      <c r="AH671" s="344"/>
      <c r="AI671" s="344"/>
      <c r="AJ671" s="97"/>
      <c r="AK671" s="4"/>
    </row>
    <row r="672" spans="2:37" s="113" customFormat="1" x14ac:dyDescent="0.4">
      <c r="B672" s="80"/>
      <c r="C672" s="563">
        <v>259</v>
      </c>
      <c r="D672" s="907"/>
      <c r="E672" s="906"/>
      <c r="F672" s="921" t="str">
        <f t="shared" si="36"/>
        <v/>
      </c>
      <c r="G672" s="882" t="str">
        <f t="shared" si="39"/>
        <v/>
      </c>
      <c r="H672" s="919"/>
      <c r="I672" s="922">
        <v>1700</v>
      </c>
      <c r="J672" s="907"/>
      <c r="K672" s="906"/>
      <c r="L672" s="921" t="str">
        <f t="shared" si="37"/>
        <v/>
      </c>
      <c r="M672" s="155" t="str">
        <f t="shared" si="38"/>
        <v/>
      </c>
      <c r="T672" s="75"/>
      <c r="U672" s="75"/>
      <c r="V672" s="75"/>
      <c r="W672" s="75"/>
      <c r="X672" s="75"/>
      <c r="Y672" s="340"/>
      <c r="Z672" s="341"/>
      <c r="AA672" s="341"/>
      <c r="AB672" s="341"/>
      <c r="AC672" s="340"/>
      <c r="AD672" s="75"/>
      <c r="AE672" s="75"/>
      <c r="AG672" s="344"/>
      <c r="AH672" s="344"/>
      <c r="AI672" s="344"/>
      <c r="AJ672" s="97"/>
      <c r="AK672" s="4"/>
    </row>
    <row r="673" spans="2:37" s="113" customFormat="1" x14ac:dyDescent="0.4">
      <c r="B673" s="80"/>
      <c r="C673" s="563">
        <v>260</v>
      </c>
      <c r="D673" s="907"/>
      <c r="E673" s="906"/>
      <c r="F673" s="921" t="str">
        <f t="shared" si="36"/>
        <v/>
      </c>
      <c r="G673" s="882" t="str">
        <f t="shared" si="39"/>
        <v/>
      </c>
      <c r="H673" s="919"/>
      <c r="I673" s="922">
        <v>1701</v>
      </c>
      <c r="J673" s="907"/>
      <c r="K673" s="906"/>
      <c r="L673" s="921" t="str">
        <f t="shared" si="37"/>
        <v/>
      </c>
      <c r="M673" s="155" t="str">
        <f t="shared" si="38"/>
        <v/>
      </c>
      <c r="T673" s="75"/>
      <c r="U673" s="75"/>
      <c r="V673" s="75"/>
      <c r="W673" s="75"/>
      <c r="X673" s="75"/>
      <c r="Y673" s="340"/>
      <c r="Z673" s="341"/>
      <c r="AA673" s="341"/>
      <c r="AB673" s="341"/>
      <c r="AC673" s="340"/>
      <c r="AD673" s="75"/>
      <c r="AE673" s="75"/>
      <c r="AG673" s="344"/>
      <c r="AH673" s="344"/>
      <c r="AI673" s="344"/>
      <c r="AJ673" s="97"/>
      <c r="AK673" s="4"/>
    </row>
    <row r="674" spans="2:37" s="113" customFormat="1" x14ac:dyDescent="0.4">
      <c r="B674" s="80"/>
      <c r="C674" s="563">
        <v>261</v>
      </c>
      <c r="D674" s="907"/>
      <c r="E674" s="906"/>
      <c r="F674" s="921" t="str">
        <f t="shared" si="36"/>
        <v/>
      </c>
      <c r="G674" s="882" t="str">
        <f t="shared" si="39"/>
        <v/>
      </c>
      <c r="H674" s="919"/>
      <c r="I674" s="922">
        <v>1702</v>
      </c>
      <c r="J674" s="907"/>
      <c r="K674" s="906"/>
      <c r="L674" s="921" t="str">
        <f t="shared" si="37"/>
        <v/>
      </c>
      <c r="M674" s="155" t="str">
        <f t="shared" si="38"/>
        <v/>
      </c>
      <c r="T674" s="75"/>
      <c r="U674" s="75"/>
      <c r="V674" s="75"/>
      <c r="W674" s="75"/>
      <c r="X674" s="75"/>
      <c r="Y674" s="340"/>
      <c r="Z674" s="341"/>
      <c r="AA674" s="341"/>
      <c r="AB674" s="341"/>
      <c r="AC674" s="340"/>
      <c r="AD674" s="75"/>
      <c r="AE674" s="75"/>
      <c r="AG674" s="344"/>
      <c r="AH674" s="344"/>
      <c r="AI674" s="344"/>
      <c r="AJ674" s="97"/>
      <c r="AK674" s="4"/>
    </row>
    <row r="675" spans="2:37" s="113" customFormat="1" x14ac:dyDescent="0.4">
      <c r="B675" s="80"/>
      <c r="C675" s="563">
        <v>262</v>
      </c>
      <c r="D675" s="907"/>
      <c r="E675" s="906"/>
      <c r="F675" s="921" t="str">
        <f t="shared" si="36"/>
        <v/>
      </c>
      <c r="G675" s="882" t="str">
        <f t="shared" si="39"/>
        <v/>
      </c>
      <c r="H675" s="919"/>
      <c r="I675" s="922">
        <v>1703</v>
      </c>
      <c r="J675" s="907"/>
      <c r="K675" s="906"/>
      <c r="L675" s="921" t="str">
        <f t="shared" si="37"/>
        <v/>
      </c>
      <c r="M675" s="155" t="str">
        <f t="shared" si="38"/>
        <v/>
      </c>
      <c r="T675" s="75"/>
      <c r="U675" s="75"/>
      <c r="V675" s="75"/>
      <c r="W675" s="75"/>
      <c r="X675" s="75"/>
      <c r="Y675" s="340"/>
      <c r="Z675" s="341"/>
      <c r="AA675" s="341"/>
      <c r="AB675" s="341"/>
      <c r="AC675" s="340"/>
      <c r="AD675" s="75"/>
      <c r="AE675" s="75"/>
      <c r="AG675" s="344"/>
      <c r="AH675" s="344"/>
      <c r="AI675" s="344"/>
      <c r="AJ675" s="97"/>
      <c r="AK675" s="4"/>
    </row>
    <row r="676" spans="2:37" s="113" customFormat="1" x14ac:dyDescent="0.4">
      <c r="B676" s="80"/>
      <c r="C676" s="563">
        <v>263</v>
      </c>
      <c r="D676" s="907"/>
      <c r="E676" s="906"/>
      <c r="F676" s="921" t="str">
        <f t="shared" si="36"/>
        <v/>
      </c>
      <c r="G676" s="882" t="str">
        <f t="shared" si="39"/>
        <v/>
      </c>
      <c r="H676" s="919"/>
      <c r="I676" s="922">
        <v>1704</v>
      </c>
      <c r="J676" s="907"/>
      <c r="K676" s="906"/>
      <c r="L676" s="921" t="str">
        <f t="shared" si="37"/>
        <v/>
      </c>
      <c r="M676" s="155" t="str">
        <f t="shared" si="38"/>
        <v/>
      </c>
      <c r="T676" s="75"/>
      <c r="U676" s="75"/>
      <c r="V676" s="75"/>
      <c r="W676" s="75"/>
      <c r="X676" s="75"/>
      <c r="Y676" s="340"/>
      <c r="Z676" s="341"/>
      <c r="AA676" s="341"/>
      <c r="AB676" s="341"/>
      <c r="AC676" s="340"/>
      <c r="AD676" s="75"/>
      <c r="AE676" s="75"/>
      <c r="AG676" s="344"/>
      <c r="AH676" s="344"/>
      <c r="AI676" s="344"/>
      <c r="AJ676" s="97"/>
      <c r="AK676" s="4"/>
    </row>
    <row r="677" spans="2:37" s="113" customFormat="1" x14ac:dyDescent="0.4">
      <c r="B677" s="80"/>
      <c r="C677" s="563">
        <v>264</v>
      </c>
      <c r="D677" s="907"/>
      <c r="E677" s="906"/>
      <c r="F677" s="921" t="str">
        <f t="shared" si="36"/>
        <v/>
      </c>
      <c r="G677" s="882" t="str">
        <f t="shared" si="39"/>
        <v/>
      </c>
      <c r="H677" s="919"/>
      <c r="I677" s="922">
        <v>1705</v>
      </c>
      <c r="J677" s="907"/>
      <c r="K677" s="906"/>
      <c r="L677" s="921" t="str">
        <f t="shared" si="37"/>
        <v/>
      </c>
      <c r="M677" s="155" t="str">
        <f t="shared" si="38"/>
        <v/>
      </c>
      <c r="T677" s="75"/>
      <c r="U677" s="75"/>
      <c r="V677" s="75"/>
      <c r="W677" s="75"/>
      <c r="X677" s="75"/>
      <c r="Y677" s="340"/>
      <c r="Z677" s="341"/>
      <c r="AA677" s="341"/>
      <c r="AB677" s="341"/>
      <c r="AC677" s="340"/>
      <c r="AD677" s="75"/>
      <c r="AE677" s="75"/>
      <c r="AG677" s="344"/>
      <c r="AH677" s="344"/>
      <c r="AI677" s="344"/>
      <c r="AJ677" s="97"/>
      <c r="AK677" s="4"/>
    </row>
    <row r="678" spans="2:37" s="113" customFormat="1" x14ac:dyDescent="0.4">
      <c r="B678" s="80"/>
      <c r="C678" s="563">
        <v>265</v>
      </c>
      <c r="D678" s="907"/>
      <c r="E678" s="906"/>
      <c r="F678" s="921" t="str">
        <f t="shared" si="36"/>
        <v/>
      </c>
      <c r="G678" s="882" t="str">
        <f t="shared" si="39"/>
        <v/>
      </c>
      <c r="H678" s="919"/>
      <c r="I678" s="922">
        <v>1706</v>
      </c>
      <c r="J678" s="907"/>
      <c r="K678" s="906"/>
      <c r="L678" s="921" t="str">
        <f t="shared" si="37"/>
        <v/>
      </c>
      <c r="M678" s="155" t="str">
        <f t="shared" si="38"/>
        <v/>
      </c>
      <c r="T678" s="75"/>
      <c r="U678" s="75"/>
      <c r="V678" s="75"/>
      <c r="W678" s="75"/>
      <c r="X678" s="75"/>
      <c r="Y678" s="340"/>
      <c r="Z678" s="341"/>
      <c r="AA678" s="341"/>
      <c r="AB678" s="341"/>
      <c r="AC678" s="340"/>
      <c r="AD678" s="75"/>
      <c r="AE678" s="75"/>
      <c r="AG678" s="344"/>
      <c r="AH678" s="344"/>
      <c r="AI678" s="344"/>
      <c r="AJ678" s="97"/>
      <c r="AK678" s="4"/>
    </row>
    <row r="679" spans="2:37" s="113" customFormat="1" x14ac:dyDescent="0.4">
      <c r="B679" s="80"/>
      <c r="C679" s="563">
        <v>266</v>
      </c>
      <c r="D679" s="907"/>
      <c r="E679" s="906"/>
      <c r="F679" s="921" t="str">
        <f t="shared" si="36"/>
        <v/>
      </c>
      <c r="G679" s="882" t="str">
        <f t="shared" si="39"/>
        <v/>
      </c>
      <c r="H679" s="919"/>
      <c r="I679" s="922">
        <v>1707</v>
      </c>
      <c r="J679" s="907"/>
      <c r="K679" s="906"/>
      <c r="L679" s="921" t="str">
        <f t="shared" si="37"/>
        <v/>
      </c>
      <c r="M679" s="155" t="str">
        <f t="shared" si="38"/>
        <v/>
      </c>
      <c r="T679" s="75"/>
      <c r="U679" s="75"/>
      <c r="V679" s="75"/>
      <c r="W679" s="75"/>
      <c r="X679" s="75"/>
      <c r="Y679" s="340"/>
      <c r="Z679" s="341"/>
      <c r="AA679" s="341"/>
      <c r="AB679" s="341"/>
      <c r="AC679" s="340"/>
      <c r="AD679" s="75"/>
      <c r="AE679" s="75"/>
      <c r="AG679" s="344"/>
      <c r="AH679" s="344"/>
      <c r="AI679" s="344"/>
      <c r="AJ679" s="97"/>
      <c r="AK679" s="4"/>
    </row>
    <row r="680" spans="2:37" s="113" customFormat="1" x14ac:dyDescent="0.4">
      <c r="B680" s="80"/>
      <c r="C680" s="563">
        <v>267</v>
      </c>
      <c r="D680" s="907"/>
      <c r="E680" s="906"/>
      <c r="F680" s="921" t="str">
        <f t="shared" si="36"/>
        <v/>
      </c>
      <c r="G680" s="882" t="str">
        <f t="shared" si="39"/>
        <v/>
      </c>
      <c r="H680" s="919"/>
      <c r="I680" s="922">
        <v>1708</v>
      </c>
      <c r="J680" s="907"/>
      <c r="K680" s="906"/>
      <c r="L680" s="921" t="str">
        <f t="shared" si="37"/>
        <v/>
      </c>
      <c r="M680" s="155" t="str">
        <f t="shared" si="38"/>
        <v/>
      </c>
      <c r="T680" s="75"/>
      <c r="U680" s="75"/>
      <c r="V680" s="75"/>
      <c r="W680" s="75"/>
      <c r="X680" s="75"/>
      <c r="Y680" s="340"/>
      <c r="Z680" s="341"/>
      <c r="AA680" s="341"/>
      <c r="AB680" s="341"/>
      <c r="AC680" s="340"/>
      <c r="AD680" s="75"/>
      <c r="AE680" s="75"/>
      <c r="AG680" s="344"/>
      <c r="AH680" s="344"/>
      <c r="AI680" s="344"/>
      <c r="AJ680" s="97"/>
      <c r="AK680" s="4"/>
    </row>
    <row r="681" spans="2:37" s="113" customFormat="1" x14ac:dyDescent="0.4">
      <c r="B681" s="80"/>
      <c r="C681" s="563">
        <v>268</v>
      </c>
      <c r="D681" s="907"/>
      <c r="E681" s="906"/>
      <c r="F681" s="921" t="str">
        <f t="shared" si="36"/>
        <v/>
      </c>
      <c r="G681" s="882" t="str">
        <f t="shared" si="39"/>
        <v/>
      </c>
      <c r="H681" s="919"/>
      <c r="I681" s="922">
        <v>1709</v>
      </c>
      <c r="J681" s="907"/>
      <c r="K681" s="906"/>
      <c r="L681" s="921" t="str">
        <f t="shared" si="37"/>
        <v/>
      </c>
      <c r="M681" s="155" t="str">
        <f t="shared" si="38"/>
        <v/>
      </c>
      <c r="T681" s="75"/>
      <c r="U681" s="75"/>
      <c r="V681" s="75"/>
      <c r="W681" s="75"/>
      <c r="X681" s="75"/>
      <c r="Y681" s="340"/>
      <c r="Z681" s="341"/>
      <c r="AA681" s="341"/>
      <c r="AB681" s="341"/>
      <c r="AC681" s="340"/>
      <c r="AD681" s="75"/>
      <c r="AE681" s="75"/>
      <c r="AG681" s="344"/>
      <c r="AH681" s="344"/>
      <c r="AI681" s="344"/>
      <c r="AJ681" s="97"/>
      <c r="AK681" s="4"/>
    </row>
    <row r="682" spans="2:37" s="113" customFormat="1" x14ac:dyDescent="0.4">
      <c r="B682" s="80"/>
      <c r="C682" s="563">
        <v>269</v>
      </c>
      <c r="D682" s="907"/>
      <c r="E682" s="906"/>
      <c r="F682" s="921" t="str">
        <f t="shared" si="36"/>
        <v/>
      </c>
      <c r="G682" s="882" t="str">
        <f t="shared" si="39"/>
        <v/>
      </c>
      <c r="H682" s="919"/>
      <c r="I682" s="922">
        <v>1710</v>
      </c>
      <c r="J682" s="907"/>
      <c r="K682" s="906"/>
      <c r="L682" s="921" t="str">
        <f t="shared" si="37"/>
        <v/>
      </c>
      <c r="M682" s="155" t="str">
        <f t="shared" si="38"/>
        <v/>
      </c>
      <c r="T682" s="75"/>
      <c r="U682" s="75"/>
      <c r="V682" s="75"/>
      <c r="W682" s="75"/>
      <c r="X682" s="75"/>
      <c r="Y682" s="340"/>
      <c r="Z682" s="341"/>
      <c r="AA682" s="341"/>
      <c r="AB682" s="341"/>
      <c r="AC682" s="340"/>
      <c r="AD682" s="75"/>
      <c r="AE682" s="75"/>
      <c r="AG682" s="344"/>
      <c r="AH682" s="344"/>
      <c r="AI682" s="344"/>
      <c r="AJ682" s="97"/>
      <c r="AK682" s="4"/>
    </row>
    <row r="683" spans="2:37" s="113" customFormat="1" x14ac:dyDescent="0.4">
      <c r="B683" s="80"/>
      <c r="C683" s="563">
        <v>270</v>
      </c>
      <c r="D683" s="907"/>
      <c r="E683" s="906"/>
      <c r="F683" s="921" t="str">
        <f t="shared" si="36"/>
        <v/>
      </c>
      <c r="G683" s="882" t="str">
        <f t="shared" si="39"/>
        <v/>
      </c>
      <c r="H683" s="919"/>
      <c r="I683" s="922">
        <v>1711</v>
      </c>
      <c r="J683" s="907"/>
      <c r="K683" s="906"/>
      <c r="L683" s="921" t="str">
        <f t="shared" si="37"/>
        <v/>
      </c>
      <c r="M683" s="155" t="str">
        <f t="shared" si="38"/>
        <v/>
      </c>
      <c r="T683" s="75"/>
      <c r="U683" s="75"/>
      <c r="V683" s="75"/>
      <c r="W683" s="75"/>
      <c r="X683" s="75"/>
      <c r="Y683" s="340"/>
      <c r="Z683" s="341"/>
      <c r="AA683" s="341"/>
      <c r="AB683" s="341"/>
      <c r="AC683" s="340"/>
      <c r="AD683" s="75"/>
      <c r="AE683" s="75"/>
      <c r="AG683" s="344"/>
      <c r="AH683" s="344"/>
      <c r="AI683" s="344"/>
      <c r="AJ683" s="97"/>
      <c r="AK683" s="4"/>
    </row>
    <row r="684" spans="2:37" s="113" customFormat="1" x14ac:dyDescent="0.4">
      <c r="B684" s="80"/>
      <c r="C684" s="563">
        <v>271</v>
      </c>
      <c r="D684" s="907"/>
      <c r="E684" s="906"/>
      <c r="F684" s="921" t="str">
        <f t="shared" si="36"/>
        <v/>
      </c>
      <c r="G684" s="882" t="str">
        <f t="shared" si="39"/>
        <v/>
      </c>
      <c r="H684" s="919"/>
      <c r="I684" s="922">
        <v>1712</v>
      </c>
      <c r="J684" s="907"/>
      <c r="K684" s="906"/>
      <c r="L684" s="921" t="str">
        <f t="shared" si="37"/>
        <v/>
      </c>
      <c r="M684" s="155" t="str">
        <f t="shared" si="38"/>
        <v/>
      </c>
      <c r="T684" s="75"/>
      <c r="U684" s="75"/>
      <c r="V684" s="75"/>
      <c r="W684" s="75"/>
      <c r="X684" s="75"/>
      <c r="Y684" s="340"/>
      <c r="Z684" s="341"/>
      <c r="AA684" s="341"/>
      <c r="AB684" s="341"/>
      <c r="AC684" s="340"/>
      <c r="AD684" s="75"/>
      <c r="AE684" s="75"/>
      <c r="AG684" s="344"/>
      <c r="AH684" s="344"/>
      <c r="AI684" s="344"/>
      <c r="AJ684" s="97"/>
      <c r="AK684" s="4"/>
    </row>
    <row r="685" spans="2:37" s="113" customFormat="1" x14ac:dyDescent="0.4">
      <c r="B685" s="80"/>
      <c r="C685" s="563">
        <v>272</v>
      </c>
      <c r="D685" s="907"/>
      <c r="E685" s="906"/>
      <c r="F685" s="921" t="str">
        <f t="shared" si="36"/>
        <v/>
      </c>
      <c r="G685" s="882" t="str">
        <f t="shared" si="39"/>
        <v/>
      </c>
      <c r="H685" s="919"/>
      <c r="I685" s="922">
        <v>1713</v>
      </c>
      <c r="J685" s="907"/>
      <c r="K685" s="906"/>
      <c r="L685" s="921" t="str">
        <f t="shared" si="37"/>
        <v/>
      </c>
      <c r="M685" s="155" t="str">
        <f t="shared" si="38"/>
        <v/>
      </c>
      <c r="T685" s="75"/>
      <c r="U685" s="75"/>
      <c r="V685" s="75"/>
      <c r="W685" s="75"/>
      <c r="X685" s="75"/>
      <c r="Y685" s="340"/>
      <c r="Z685" s="341"/>
      <c r="AA685" s="341"/>
      <c r="AB685" s="341"/>
      <c r="AC685" s="340"/>
      <c r="AD685" s="75"/>
      <c r="AE685" s="75"/>
      <c r="AG685" s="344"/>
      <c r="AH685" s="344"/>
      <c r="AI685" s="344"/>
      <c r="AJ685" s="97"/>
      <c r="AK685" s="4"/>
    </row>
    <row r="686" spans="2:37" s="113" customFormat="1" x14ac:dyDescent="0.4">
      <c r="B686" s="80"/>
      <c r="C686" s="563">
        <v>273</v>
      </c>
      <c r="D686" s="907"/>
      <c r="E686" s="906"/>
      <c r="F686" s="921" t="str">
        <f t="shared" si="36"/>
        <v/>
      </c>
      <c r="G686" s="882" t="str">
        <f t="shared" si="39"/>
        <v/>
      </c>
      <c r="H686" s="919"/>
      <c r="I686" s="922">
        <v>1714</v>
      </c>
      <c r="J686" s="907"/>
      <c r="K686" s="906"/>
      <c r="L686" s="921" t="str">
        <f t="shared" si="37"/>
        <v/>
      </c>
      <c r="M686" s="155" t="str">
        <f t="shared" si="38"/>
        <v/>
      </c>
      <c r="T686" s="75"/>
      <c r="U686" s="75"/>
      <c r="V686" s="75"/>
      <c r="W686" s="75"/>
      <c r="X686" s="75"/>
      <c r="Y686" s="340"/>
      <c r="Z686" s="341"/>
      <c r="AA686" s="341"/>
      <c r="AB686" s="341"/>
      <c r="AC686" s="340"/>
      <c r="AD686" s="75"/>
      <c r="AE686" s="75"/>
      <c r="AG686" s="344"/>
      <c r="AH686" s="344"/>
      <c r="AI686" s="344"/>
      <c r="AJ686" s="97"/>
      <c r="AK686" s="4"/>
    </row>
    <row r="687" spans="2:37" s="113" customFormat="1" x14ac:dyDescent="0.4">
      <c r="B687" s="80"/>
      <c r="C687" s="563">
        <v>274</v>
      </c>
      <c r="D687" s="907"/>
      <c r="E687" s="906"/>
      <c r="F687" s="921" t="str">
        <f t="shared" si="36"/>
        <v/>
      </c>
      <c r="G687" s="882" t="str">
        <f t="shared" si="39"/>
        <v/>
      </c>
      <c r="H687" s="919"/>
      <c r="I687" s="922">
        <v>1715</v>
      </c>
      <c r="J687" s="907"/>
      <c r="K687" s="906"/>
      <c r="L687" s="921" t="str">
        <f t="shared" si="37"/>
        <v/>
      </c>
      <c r="M687" s="155" t="str">
        <f t="shared" si="38"/>
        <v/>
      </c>
      <c r="T687" s="75"/>
      <c r="U687" s="75"/>
      <c r="V687" s="75"/>
      <c r="W687" s="75"/>
      <c r="X687" s="75"/>
      <c r="Y687" s="340"/>
      <c r="Z687" s="341"/>
      <c r="AA687" s="341"/>
      <c r="AB687" s="341"/>
      <c r="AC687" s="340"/>
      <c r="AD687" s="75"/>
      <c r="AE687" s="75"/>
      <c r="AG687" s="344"/>
      <c r="AH687" s="344"/>
      <c r="AI687" s="344"/>
      <c r="AJ687" s="97"/>
      <c r="AK687" s="4"/>
    </row>
    <row r="688" spans="2:37" s="113" customFormat="1" x14ac:dyDescent="0.4">
      <c r="B688" s="80"/>
      <c r="C688" s="563">
        <v>275</v>
      </c>
      <c r="D688" s="907"/>
      <c r="E688" s="906"/>
      <c r="F688" s="921" t="str">
        <f t="shared" si="36"/>
        <v/>
      </c>
      <c r="G688" s="882" t="str">
        <f t="shared" si="39"/>
        <v/>
      </c>
      <c r="H688" s="919"/>
      <c r="I688" s="922">
        <v>1716</v>
      </c>
      <c r="J688" s="907"/>
      <c r="K688" s="906"/>
      <c r="L688" s="921" t="str">
        <f t="shared" si="37"/>
        <v/>
      </c>
      <c r="M688" s="155" t="str">
        <f t="shared" si="38"/>
        <v/>
      </c>
      <c r="T688" s="75"/>
      <c r="U688" s="75"/>
      <c r="V688" s="75"/>
      <c r="W688" s="75"/>
      <c r="X688" s="75"/>
      <c r="Y688" s="340"/>
      <c r="Z688" s="341"/>
      <c r="AA688" s="341"/>
      <c r="AB688" s="341"/>
      <c r="AC688" s="340"/>
      <c r="AD688" s="75"/>
      <c r="AE688" s="75"/>
      <c r="AG688" s="344"/>
      <c r="AH688" s="344"/>
      <c r="AI688" s="344"/>
      <c r="AJ688" s="97"/>
      <c r="AK688" s="4"/>
    </row>
    <row r="689" spans="2:37" s="113" customFormat="1" x14ac:dyDescent="0.4">
      <c r="B689" s="80"/>
      <c r="C689" s="563">
        <v>276</v>
      </c>
      <c r="D689" s="907"/>
      <c r="E689" s="906"/>
      <c r="F689" s="921" t="str">
        <f t="shared" si="36"/>
        <v/>
      </c>
      <c r="G689" s="882" t="str">
        <f t="shared" si="39"/>
        <v/>
      </c>
      <c r="H689" s="919"/>
      <c r="I689" s="922">
        <v>1717</v>
      </c>
      <c r="J689" s="907"/>
      <c r="K689" s="906"/>
      <c r="L689" s="921" t="str">
        <f t="shared" si="37"/>
        <v/>
      </c>
      <c r="M689" s="155" t="str">
        <f t="shared" si="38"/>
        <v/>
      </c>
      <c r="T689" s="75"/>
      <c r="U689" s="75"/>
      <c r="V689" s="75"/>
      <c r="W689" s="75"/>
      <c r="X689" s="75"/>
      <c r="Y689" s="340"/>
      <c r="Z689" s="341"/>
      <c r="AA689" s="341"/>
      <c r="AB689" s="341"/>
      <c r="AC689" s="340"/>
      <c r="AD689" s="75"/>
      <c r="AE689" s="75"/>
      <c r="AG689" s="344"/>
      <c r="AH689" s="344"/>
      <c r="AI689" s="344"/>
      <c r="AJ689" s="97"/>
      <c r="AK689" s="4"/>
    </row>
    <row r="690" spans="2:37" s="113" customFormat="1" x14ac:dyDescent="0.4">
      <c r="B690" s="80"/>
      <c r="C690" s="563">
        <v>277</v>
      </c>
      <c r="D690" s="907"/>
      <c r="E690" s="906"/>
      <c r="F690" s="921" t="str">
        <f t="shared" si="36"/>
        <v/>
      </c>
      <c r="G690" s="882" t="str">
        <f t="shared" si="39"/>
        <v/>
      </c>
      <c r="H690" s="919"/>
      <c r="I690" s="922">
        <v>1718</v>
      </c>
      <c r="J690" s="907"/>
      <c r="K690" s="906"/>
      <c r="L690" s="921" t="str">
        <f t="shared" si="37"/>
        <v/>
      </c>
      <c r="M690" s="155" t="str">
        <f t="shared" si="38"/>
        <v/>
      </c>
      <c r="T690" s="75"/>
      <c r="U690" s="75"/>
      <c r="V690" s="75"/>
      <c r="W690" s="75"/>
      <c r="X690" s="75"/>
      <c r="Y690" s="340"/>
      <c r="Z690" s="341"/>
      <c r="AA690" s="341"/>
      <c r="AB690" s="341"/>
      <c r="AC690" s="340"/>
      <c r="AD690" s="75"/>
      <c r="AE690" s="75"/>
      <c r="AG690" s="344"/>
      <c r="AH690" s="344"/>
      <c r="AI690" s="344"/>
      <c r="AJ690" s="97"/>
      <c r="AK690" s="4"/>
    </row>
    <row r="691" spans="2:37" s="113" customFormat="1" x14ac:dyDescent="0.4">
      <c r="B691" s="80"/>
      <c r="C691" s="563">
        <v>278</v>
      </c>
      <c r="D691" s="907"/>
      <c r="E691" s="906"/>
      <c r="F691" s="921" t="str">
        <f t="shared" si="36"/>
        <v/>
      </c>
      <c r="G691" s="882" t="str">
        <f t="shared" si="39"/>
        <v/>
      </c>
      <c r="H691" s="919"/>
      <c r="I691" s="922">
        <v>1719</v>
      </c>
      <c r="J691" s="907"/>
      <c r="K691" s="906"/>
      <c r="L691" s="921" t="str">
        <f t="shared" si="37"/>
        <v/>
      </c>
      <c r="M691" s="155" t="str">
        <f t="shared" si="38"/>
        <v/>
      </c>
      <c r="T691" s="75"/>
      <c r="U691" s="75"/>
      <c r="V691" s="75"/>
      <c r="W691" s="75"/>
      <c r="X691" s="75"/>
      <c r="Y691" s="340"/>
      <c r="Z691" s="341"/>
      <c r="AA691" s="341"/>
      <c r="AB691" s="341"/>
      <c r="AC691" s="340"/>
      <c r="AD691" s="75"/>
      <c r="AE691" s="75"/>
      <c r="AG691" s="344"/>
      <c r="AH691" s="344"/>
      <c r="AI691" s="344"/>
      <c r="AJ691" s="97"/>
      <c r="AK691" s="4"/>
    </row>
    <row r="692" spans="2:37" s="113" customFormat="1" x14ac:dyDescent="0.4">
      <c r="B692" s="80"/>
      <c r="C692" s="563">
        <v>279</v>
      </c>
      <c r="D692" s="907"/>
      <c r="E692" s="906"/>
      <c r="F692" s="921" t="str">
        <f t="shared" si="36"/>
        <v/>
      </c>
      <c r="G692" s="882" t="str">
        <f t="shared" si="39"/>
        <v/>
      </c>
      <c r="H692" s="919"/>
      <c r="I692" s="922">
        <v>1720</v>
      </c>
      <c r="J692" s="907"/>
      <c r="K692" s="906"/>
      <c r="L692" s="921" t="str">
        <f t="shared" si="37"/>
        <v/>
      </c>
      <c r="M692" s="155" t="str">
        <f t="shared" si="38"/>
        <v/>
      </c>
      <c r="T692" s="75"/>
      <c r="U692" s="75"/>
      <c r="V692" s="75"/>
      <c r="W692" s="75"/>
      <c r="X692" s="75"/>
      <c r="Y692" s="340"/>
      <c r="Z692" s="341"/>
      <c r="AA692" s="341"/>
      <c r="AB692" s="341"/>
      <c r="AC692" s="340"/>
      <c r="AD692" s="75"/>
      <c r="AE692" s="75"/>
      <c r="AG692" s="344"/>
      <c r="AH692" s="344"/>
      <c r="AI692" s="344"/>
      <c r="AJ692" s="97"/>
      <c r="AK692" s="4"/>
    </row>
    <row r="693" spans="2:37" s="113" customFormat="1" x14ac:dyDescent="0.4">
      <c r="B693" s="80"/>
      <c r="C693" s="563">
        <v>280</v>
      </c>
      <c r="D693" s="907"/>
      <c r="E693" s="906"/>
      <c r="F693" s="921" t="str">
        <f t="shared" si="36"/>
        <v/>
      </c>
      <c r="G693" s="882" t="str">
        <f t="shared" si="39"/>
        <v/>
      </c>
      <c r="H693" s="919"/>
      <c r="I693" s="922">
        <v>1721</v>
      </c>
      <c r="J693" s="907"/>
      <c r="K693" s="906"/>
      <c r="L693" s="921" t="str">
        <f t="shared" si="37"/>
        <v/>
      </c>
      <c r="M693" s="155" t="str">
        <f t="shared" si="38"/>
        <v/>
      </c>
      <c r="T693" s="75"/>
      <c r="U693" s="75"/>
      <c r="V693" s="75"/>
      <c r="W693" s="75"/>
      <c r="X693" s="75"/>
      <c r="Y693" s="340"/>
      <c r="Z693" s="341"/>
      <c r="AA693" s="341"/>
      <c r="AB693" s="341"/>
      <c r="AC693" s="340"/>
      <c r="AD693" s="75"/>
      <c r="AE693" s="75"/>
      <c r="AG693" s="344"/>
      <c r="AH693" s="344"/>
      <c r="AI693" s="344"/>
      <c r="AJ693" s="97"/>
      <c r="AK693" s="4"/>
    </row>
    <row r="694" spans="2:37" s="113" customFormat="1" x14ac:dyDescent="0.4">
      <c r="B694" s="80"/>
      <c r="C694" s="563">
        <v>281</v>
      </c>
      <c r="D694" s="907"/>
      <c r="E694" s="906"/>
      <c r="F694" s="921" t="str">
        <f t="shared" si="36"/>
        <v/>
      </c>
      <c r="G694" s="882" t="str">
        <f t="shared" si="39"/>
        <v/>
      </c>
      <c r="H694" s="919"/>
      <c r="I694" s="922">
        <v>1722</v>
      </c>
      <c r="J694" s="907"/>
      <c r="K694" s="906"/>
      <c r="L694" s="921" t="str">
        <f t="shared" si="37"/>
        <v/>
      </c>
      <c r="M694" s="155" t="str">
        <f t="shared" si="38"/>
        <v/>
      </c>
      <c r="T694" s="75"/>
      <c r="U694" s="75"/>
      <c r="V694" s="75"/>
      <c r="W694" s="75"/>
      <c r="X694" s="75"/>
      <c r="Y694" s="340"/>
      <c r="Z694" s="341"/>
      <c r="AA694" s="341"/>
      <c r="AB694" s="341"/>
      <c r="AC694" s="340"/>
      <c r="AD694" s="75"/>
      <c r="AE694" s="75"/>
      <c r="AG694" s="344"/>
      <c r="AH694" s="344"/>
      <c r="AI694" s="344"/>
      <c r="AJ694" s="97"/>
      <c r="AK694" s="4"/>
    </row>
    <row r="695" spans="2:37" s="113" customFormat="1" x14ac:dyDescent="0.4">
      <c r="B695" s="80"/>
      <c r="C695" s="563">
        <v>282</v>
      </c>
      <c r="D695" s="907"/>
      <c r="E695" s="906"/>
      <c r="F695" s="921" t="str">
        <f t="shared" si="36"/>
        <v/>
      </c>
      <c r="G695" s="882" t="str">
        <f t="shared" si="39"/>
        <v/>
      </c>
      <c r="H695" s="919"/>
      <c r="I695" s="922">
        <v>1723</v>
      </c>
      <c r="J695" s="907"/>
      <c r="K695" s="906"/>
      <c r="L695" s="921" t="str">
        <f t="shared" si="37"/>
        <v/>
      </c>
      <c r="M695" s="155" t="str">
        <f t="shared" si="38"/>
        <v/>
      </c>
      <c r="T695" s="75"/>
      <c r="U695" s="75"/>
      <c r="V695" s="75"/>
      <c r="W695" s="75"/>
      <c r="X695" s="75"/>
      <c r="Y695" s="340"/>
      <c r="Z695" s="341"/>
      <c r="AA695" s="341"/>
      <c r="AB695" s="341"/>
      <c r="AC695" s="340"/>
      <c r="AD695" s="75"/>
      <c r="AE695" s="75"/>
      <c r="AG695" s="344"/>
      <c r="AH695" s="344"/>
      <c r="AI695" s="344"/>
      <c r="AJ695" s="97"/>
      <c r="AK695" s="4"/>
    </row>
    <row r="696" spans="2:37" s="113" customFormat="1" x14ac:dyDescent="0.4">
      <c r="B696" s="80"/>
      <c r="C696" s="563">
        <v>283</v>
      </c>
      <c r="D696" s="907"/>
      <c r="E696" s="906"/>
      <c r="F696" s="921" t="str">
        <f t="shared" si="36"/>
        <v/>
      </c>
      <c r="G696" s="882" t="str">
        <f t="shared" si="39"/>
        <v/>
      </c>
      <c r="H696" s="919"/>
      <c r="I696" s="922">
        <v>1724</v>
      </c>
      <c r="J696" s="907"/>
      <c r="K696" s="906"/>
      <c r="L696" s="921" t="str">
        <f t="shared" si="37"/>
        <v/>
      </c>
      <c r="M696" s="155" t="str">
        <f t="shared" si="38"/>
        <v/>
      </c>
      <c r="T696" s="75"/>
      <c r="U696" s="75"/>
      <c r="V696" s="75"/>
      <c r="W696" s="75"/>
      <c r="X696" s="75"/>
      <c r="Y696" s="340"/>
      <c r="Z696" s="341"/>
      <c r="AA696" s="341"/>
      <c r="AB696" s="341"/>
      <c r="AC696" s="340"/>
      <c r="AD696" s="75"/>
      <c r="AE696" s="75"/>
      <c r="AG696" s="344"/>
      <c r="AH696" s="344"/>
      <c r="AI696" s="344"/>
      <c r="AJ696" s="97"/>
      <c r="AK696" s="4"/>
    </row>
    <row r="697" spans="2:37" s="113" customFormat="1" x14ac:dyDescent="0.4">
      <c r="B697" s="80"/>
      <c r="C697" s="563">
        <v>284</v>
      </c>
      <c r="D697" s="907"/>
      <c r="E697" s="906"/>
      <c r="F697" s="921" t="str">
        <f t="shared" si="36"/>
        <v/>
      </c>
      <c r="G697" s="882" t="str">
        <f t="shared" si="39"/>
        <v/>
      </c>
      <c r="H697" s="919"/>
      <c r="I697" s="922">
        <v>1725</v>
      </c>
      <c r="J697" s="907"/>
      <c r="K697" s="906"/>
      <c r="L697" s="921" t="str">
        <f t="shared" si="37"/>
        <v/>
      </c>
      <c r="M697" s="155" t="str">
        <f t="shared" si="38"/>
        <v/>
      </c>
      <c r="T697" s="75"/>
      <c r="U697" s="75"/>
      <c r="V697" s="75"/>
      <c r="W697" s="75"/>
      <c r="X697" s="75"/>
      <c r="Y697" s="340"/>
      <c r="Z697" s="341"/>
      <c r="AA697" s="341"/>
      <c r="AB697" s="341"/>
      <c r="AC697" s="340"/>
      <c r="AD697" s="75"/>
      <c r="AE697" s="75"/>
      <c r="AG697" s="344"/>
      <c r="AH697" s="344"/>
      <c r="AI697" s="344"/>
      <c r="AJ697" s="97"/>
      <c r="AK697" s="4"/>
    </row>
    <row r="698" spans="2:37" s="113" customFormat="1" x14ac:dyDescent="0.4">
      <c r="B698" s="80"/>
      <c r="C698" s="563">
        <v>285</v>
      </c>
      <c r="D698" s="907"/>
      <c r="E698" s="906"/>
      <c r="F698" s="921" t="str">
        <f t="shared" si="36"/>
        <v/>
      </c>
      <c r="G698" s="882" t="str">
        <f t="shared" si="39"/>
        <v/>
      </c>
      <c r="H698" s="919"/>
      <c r="I698" s="922">
        <v>1726</v>
      </c>
      <c r="J698" s="907"/>
      <c r="K698" s="906"/>
      <c r="L698" s="921" t="str">
        <f t="shared" si="37"/>
        <v/>
      </c>
      <c r="M698" s="155" t="str">
        <f t="shared" si="38"/>
        <v/>
      </c>
      <c r="T698" s="75"/>
      <c r="U698" s="75"/>
      <c r="V698" s="75"/>
      <c r="W698" s="75"/>
      <c r="X698" s="75"/>
      <c r="Y698" s="340"/>
      <c r="Z698" s="341"/>
      <c r="AA698" s="341"/>
      <c r="AB698" s="341"/>
      <c r="AC698" s="340"/>
      <c r="AD698" s="75"/>
      <c r="AE698" s="75"/>
      <c r="AG698" s="344"/>
      <c r="AH698" s="344"/>
      <c r="AI698" s="344"/>
      <c r="AJ698" s="97"/>
      <c r="AK698" s="4"/>
    </row>
    <row r="699" spans="2:37" s="113" customFormat="1" x14ac:dyDescent="0.4">
      <c r="B699" s="80"/>
      <c r="C699" s="563">
        <v>286</v>
      </c>
      <c r="D699" s="907"/>
      <c r="E699" s="906"/>
      <c r="F699" s="921" t="str">
        <f t="shared" si="36"/>
        <v/>
      </c>
      <c r="G699" s="882" t="str">
        <f t="shared" si="39"/>
        <v/>
      </c>
      <c r="H699" s="919"/>
      <c r="I699" s="922">
        <v>1727</v>
      </c>
      <c r="J699" s="907"/>
      <c r="K699" s="906"/>
      <c r="L699" s="921" t="str">
        <f t="shared" si="37"/>
        <v/>
      </c>
      <c r="M699" s="155" t="str">
        <f t="shared" si="38"/>
        <v/>
      </c>
      <c r="T699" s="75"/>
      <c r="U699" s="75"/>
      <c r="V699" s="75"/>
      <c r="W699" s="75"/>
      <c r="X699" s="75"/>
      <c r="Y699" s="340"/>
      <c r="Z699" s="341"/>
      <c r="AA699" s="341"/>
      <c r="AB699" s="341"/>
      <c r="AC699" s="340"/>
      <c r="AD699" s="75"/>
      <c r="AE699" s="75"/>
      <c r="AG699" s="344"/>
      <c r="AH699" s="344"/>
      <c r="AI699" s="344"/>
      <c r="AJ699" s="97"/>
      <c r="AK699" s="4"/>
    </row>
    <row r="700" spans="2:37" s="113" customFormat="1" x14ac:dyDescent="0.4">
      <c r="B700" s="80"/>
      <c r="C700" s="563">
        <v>287</v>
      </c>
      <c r="D700" s="907"/>
      <c r="E700" s="906"/>
      <c r="F700" s="921" t="str">
        <f t="shared" si="36"/>
        <v/>
      </c>
      <c r="G700" s="882" t="str">
        <f t="shared" si="39"/>
        <v/>
      </c>
      <c r="H700" s="919"/>
      <c r="I700" s="922">
        <v>1728</v>
      </c>
      <c r="J700" s="907"/>
      <c r="K700" s="906"/>
      <c r="L700" s="921" t="str">
        <f t="shared" si="37"/>
        <v/>
      </c>
      <c r="M700" s="155" t="str">
        <f t="shared" si="38"/>
        <v/>
      </c>
      <c r="T700" s="75"/>
      <c r="U700" s="75"/>
      <c r="V700" s="75"/>
      <c r="W700" s="75"/>
      <c r="X700" s="75"/>
      <c r="Y700" s="340"/>
      <c r="Z700" s="341"/>
      <c r="AA700" s="341"/>
      <c r="AB700" s="341"/>
      <c r="AC700" s="340"/>
      <c r="AD700" s="75"/>
      <c r="AE700" s="75"/>
      <c r="AG700" s="344"/>
      <c r="AH700" s="344"/>
      <c r="AI700" s="344"/>
      <c r="AJ700" s="97"/>
      <c r="AK700" s="4"/>
    </row>
    <row r="701" spans="2:37" s="113" customFormat="1" x14ac:dyDescent="0.4">
      <c r="B701" s="80"/>
      <c r="C701" s="563">
        <v>288</v>
      </c>
      <c r="D701" s="907"/>
      <c r="E701" s="906"/>
      <c r="F701" s="921" t="str">
        <f t="shared" si="36"/>
        <v/>
      </c>
      <c r="G701" s="882" t="str">
        <f t="shared" si="39"/>
        <v/>
      </c>
      <c r="H701" s="919"/>
      <c r="I701" s="922">
        <v>1729</v>
      </c>
      <c r="J701" s="907"/>
      <c r="K701" s="906"/>
      <c r="L701" s="921" t="str">
        <f t="shared" si="37"/>
        <v/>
      </c>
      <c r="M701" s="155" t="str">
        <f t="shared" si="38"/>
        <v/>
      </c>
      <c r="T701" s="75"/>
      <c r="U701" s="75"/>
      <c r="V701" s="75"/>
      <c r="W701" s="75"/>
      <c r="X701" s="75"/>
      <c r="Y701" s="340"/>
      <c r="Z701" s="341"/>
      <c r="AA701" s="341"/>
      <c r="AB701" s="341"/>
      <c r="AC701" s="340"/>
      <c r="AD701" s="75"/>
      <c r="AE701" s="75"/>
      <c r="AG701" s="344"/>
      <c r="AH701" s="344"/>
      <c r="AI701" s="344"/>
      <c r="AJ701" s="97"/>
      <c r="AK701" s="4"/>
    </row>
    <row r="702" spans="2:37" s="113" customFormat="1" x14ac:dyDescent="0.4">
      <c r="B702" s="80"/>
      <c r="C702" s="563">
        <v>289</v>
      </c>
      <c r="D702" s="907"/>
      <c r="E702" s="906"/>
      <c r="F702" s="921" t="str">
        <f t="shared" si="36"/>
        <v/>
      </c>
      <c r="G702" s="882" t="str">
        <f t="shared" si="39"/>
        <v/>
      </c>
      <c r="H702" s="919"/>
      <c r="I702" s="922">
        <v>1730</v>
      </c>
      <c r="J702" s="907"/>
      <c r="K702" s="906"/>
      <c r="L702" s="921" t="str">
        <f t="shared" si="37"/>
        <v/>
      </c>
      <c r="M702" s="155" t="str">
        <f t="shared" si="38"/>
        <v/>
      </c>
      <c r="T702" s="75"/>
      <c r="U702" s="75"/>
      <c r="V702" s="75"/>
      <c r="W702" s="75"/>
      <c r="X702" s="75"/>
      <c r="Y702" s="340"/>
      <c r="Z702" s="341"/>
      <c r="AA702" s="341"/>
      <c r="AB702" s="341"/>
      <c r="AC702" s="340"/>
      <c r="AD702" s="75"/>
      <c r="AE702" s="75"/>
      <c r="AG702" s="344"/>
      <c r="AH702" s="344"/>
      <c r="AI702" s="344"/>
      <c r="AJ702" s="97"/>
      <c r="AK702" s="4"/>
    </row>
    <row r="703" spans="2:37" s="113" customFormat="1" x14ac:dyDescent="0.4">
      <c r="B703" s="80"/>
      <c r="C703" s="563">
        <v>290</v>
      </c>
      <c r="D703" s="907"/>
      <c r="E703" s="906"/>
      <c r="F703" s="921" t="str">
        <f t="shared" si="36"/>
        <v/>
      </c>
      <c r="G703" s="882" t="str">
        <f t="shared" si="39"/>
        <v/>
      </c>
      <c r="H703" s="919"/>
      <c r="I703" s="922">
        <v>1731</v>
      </c>
      <c r="J703" s="907"/>
      <c r="K703" s="906"/>
      <c r="L703" s="921" t="str">
        <f t="shared" si="37"/>
        <v/>
      </c>
      <c r="M703" s="155" t="str">
        <f t="shared" si="38"/>
        <v/>
      </c>
      <c r="T703" s="75"/>
      <c r="U703" s="75"/>
      <c r="V703" s="75"/>
      <c r="W703" s="75"/>
      <c r="X703" s="75"/>
      <c r="Y703" s="340"/>
      <c r="Z703" s="341"/>
      <c r="AA703" s="341"/>
      <c r="AB703" s="341"/>
      <c r="AC703" s="340"/>
      <c r="AD703" s="75"/>
      <c r="AE703" s="75"/>
      <c r="AG703" s="344"/>
      <c r="AH703" s="344"/>
      <c r="AI703" s="344"/>
      <c r="AJ703" s="97"/>
      <c r="AK703" s="4"/>
    </row>
    <row r="704" spans="2:37" s="113" customFormat="1" x14ac:dyDescent="0.4">
      <c r="B704" s="80"/>
      <c r="C704" s="563">
        <v>291</v>
      </c>
      <c r="D704" s="907"/>
      <c r="E704" s="906"/>
      <c r="F704" s="921" t="str">
        <f t="shared" si="36"/>
        <v/>
      </c>
      <c r="G704" s="882" t="str">
        <f t="shared" si="39"/>
        <v/>
      </c>
      <c r="H704" s="919"/>
      <c r="I704" s="922">
        <v>1732</v>
      </c>
      <c r="J704" s="907"/>
      <c r="K704" s="906"/>
      <c r="L704" s="921" t="str">
        <f t="shared" si="37"/>
        <v/>
      </c>
      <c r="M704" s="155" t="str">
        <f t="shared" si="38"/>
        <v/>
      </c>
      <c r="T704" s="75"/>
      <c r="U704" s="75"/>
      <c r="V704" s="75"/>
      <c r="W704" s="75"/>
      <c r="X704" s="75"/>
      <c r="Y704" s="340"/>
      <c r="Z704" s="341"/>
      <c r="AA704" s="341"/>
      <c r="AB704" s="341"/>
      <c r="AC704" s="340"/>
      <c r="AD704" s="75"/>
      <c r="AE704" s="75"/>
      <c r="AG704" s="344"/>
      <c r="AH704" s="344"/>
      <c r="AI704" s="344"/>
      <c r="AJ704" s="97"/>
      <c r="AK704" s="4"/>
    </row>
    <row r="705" spans="2:37" s="113" customFormat="1" x14ac:dyDescent="0.4">
      <c r="B705" s="80"/>
      <c r="C705" s="563">
        <v>292</v>
      </c>
      <c r="D705" s="907"/>
      <c r="E705" s="906"/>
      <c r="F705" s="921" t="str">
        <f t="shared" si="36"/>
        <v/>
      </c>
      <c r="G705" s="882" t="str">
        <f t="shared" si="39"/>
        <v/>
      </c>
      <c r="H705" s="919"/>
      <c r="I705" s="922">
        <v>1733</v>
      </c>
      <c r="J705" s="907"/>
      <c r="K705" s="906"/>
      <c r="L705" s="921" t="str">
        <f t="shared" si="37"/>
        <v/>
      </c>
      <c r="M705" s="155" t="str">
        <f t="shared" si="38"/>
        <v/>
      </c>
      <c r="T705" s="75"/>
      <c r="U705" s="75"/>
      <c r="V705" s="75"/>
      <c r="W705" s="75"/>
      <c r="X705" s="75"/>
      <c r="Y705" s="340"/>
      <c r="Z705" s="341"/>
      <c r="AA705" s="341"/>
      <c r="AB705" s="341"/>
      <c r="AC705" s="340"/>
      <c r="AD705" s="75"/>
      <c r="AE705" s="75"/>
      <c r="AG705" s="344"/>
      <c r="AH705" s="344"/>
      <c r="AI705" s="344"/>
      <c r="AJ705" s="97"/>
      <c r="AK705" s="4"/>
    </row>
    <row r="706" spans="2:37" s="113" customFormat="1" x14ac:dyDescent="0.4">
      <c r="B706" s="80"/>
      <c r="C706" s="563">
        <v>293</v>
      </c>
      <c r="D706" s="907"/>
      <c r="E706" s="906"/>
      <c r="F706" s="921" t="str">
        <f t="shared" si="36"/>
        <v/>
      </c>
      <c r="G706" s="882" t="str">
        <f t="shared" si="39"/>
        <v/>
      </c>
      <c r="H706" s="919"/>
      <c r="I706" s="922">
        <v>1734</v>
      </c>
      <c r="J706" s="907"/>
      <c r="K706" s="906"/>
      <c r="L706" s="921" t="str">
        <f t="shared" si="37"/>
        <v/>
      </c>
      <c r="M706" s="155" t="str">
        <f t="shared" si="38"/>
        <v/>
      </c>
      <c r="T706" s="75"/>
      <c r="U706" s="75"/>
      <c r="V706" s="75"/>
      <c r="W706" s="75"/>
      <c r="X706" s="75"/>
      <c r="Y706" s="340"/>
      <c r="Z706" s="341"/>
      <c r="AA706" s="341"/>
      <c r="AB706" s="341"/>
      <c r="AC706" s="340"/>
      <c r="AD706" s="75"/>
      <c r="AE706" s="75"/>
      <c r="AG706" s="344"/>
      <c r="AH706" s="344"/>
      <c r="AI706" s="344"/>
      <c r="AJ706" s="97"/>
      <c r="AK706" s="4"/>
    </row>
    <row r="707" spans="2:37" s="113" customFormat="1" x14ac:dyDescent="0.4">
      <c r="B707" s="80"/>
      <c r="C707" s="563">
        <v>294</v>
      </c>
      <c r="D707" s="907"/>
      <c r="E707" s="906"/>
      <c r="F707" s="921" t="str">
        <f t="shared" si="36"/>
        <v/>
      </c>
      <c r="G707" s="882" t="str">
        <f t="shared" si="39"/>
        <v/>
      </c>
      <c r="H707" s="919"/>
      <c r="I707" s="922">
        <v>1735</v>
      </c>
      <c r="J707" s="907"/>
      <c r="K707" s="906"/>
      <c r="L707" s="921" t="str">
        <f t="shared" si="37"/>
        <v/>
      </c>
      <c r="M707" s="155" t="str">
        <f t="shared" si="38"/>
        <v/>
      </c>
      <c r="T707" s="75"/>
      <c r="U707" s="75"/>
      <c r="V707" s="75"/>
      <c r="W707" s="75"/>
      <c r="X707" s="75"/>
      <c r="Y707" s="340"/>
      <c r="Z707" s="341"/>
      <c r="AA707" s="341"/>
      <c r="AB707" s="341"/>
      <c r="AC707" s="340"/>
      <c r="AD707" s="75"/>
      <c r="AE707" s="75"/>
      <c r="AG707" s="344"/>
      <c r="AH707" s="344"/>
      <c r="AI707" s="344"/>
      <c r="AJ707" s="97"/>
      <c r="AK707" s="4"/>
    </row>
    <row r="708" spans="2:37" s="113" customFormat="1" x14ac:dyDescent="0.4">
      <c r="B708" s="80"/>
      <c r="C708" s="563">
        <v>295</v>
      </c>
      <c r="D708" s="907"/>
      <c r="E708" s="906"/>
      <c r="F708" s="921" t="str">
        <f t="shared" si="36"/>
        <v/>
      </c>
      <c r="G708" s="882" t="str">
        <f t="shared" si="39"/>
        <v/>
      </c>
      <c r="H708" s="919"/>
      <c r="I708" s="922">
        <v>1736</v>
      </c>
      <c r="J708" s="907"/>
      <c r="K708" s="906"/>
      <c r="L708" s="921" t="str">
        <f t="shared" si="37"/>
        <v/>
      </c>
      <c r="M708" s="155" t="str">
        <f t="shared" si="38"/>
        <v/>
      </c>
      <c r="T708" s="75"/>
      <c r="U708" s="75"/>
      <c r="V708" s="75"/>
      <c r="W708" s="75"/>
      <c r="X708" s="75"/>
      <c r="Y708" s="340"/>
      <c r="Z708" s="341"/>
      <c r="AA708" s="341"/>
      <c r="AB708" s="341"/>
      <c r="AC708" s="340"/>
      <c r="AD708" s="75"/>
      <c r="AE708" s="75"/>
      <c r="AG708" s="344"/>
      <c r="AH708" s="344"/>
      <c r="AI708" s="344"/>
      <c r="AJ708" s="97"/>
      <c r="AK708" s="4"/>
    </row>
    <row r="709" spans="2:37" s="113" customFormat="1" x14ac:dyDescent="0.4">
      <c r="B709" s="80"/>
      <c r="C709" s="563">
        <v>296</v>
      </c>
      <c r="D709" s="907"/>
      <c r="E709" s="906"/>
      <c r="F709" s="921" t="str">
        <f t="shared" si="36"/>
        <v/>
      </c>
      <c r="G709" s="882" t="str">
        <f t="shared" si="39"/>
        <v/>
      </c>
      <c r="H709" s="919"/>
      <c r="I709" s="922">
        <v>1737</v>
      </c>
      <c r="J709" s="907"/>
      <c r="K709" s="906"/>
      <c r="L709" s="921" t="str">
        <f t="shared" si="37"/>
        <v/>
      </c>
      <c r="M709" s="155" t="str">
        <f t="shared" si="38"/>
        <v/>
      </c>
      <c r="T709" s="75"/>
      <c r="U709" s="75"/>
      <c r="V709" s="75"/>
      <c r="W709" s="75"/>
      <c r="X709" s="75"/>
      <c r="Y709" s="340"/>
      <c r="Z709" s="341"/>
      <c r="AA709" s="341"/>
      <c r="AB709" s="341"/>
      <c r="AC709" s="340"/>
      <c r="AD709" s="75"/>
      <c r="AE709" s="75"/>
      <c r="AG709" s="344"/>
      <c r="AH709" s="344"/>
      <c r="AI709" s="344"/>
      <c r="AJ709" s="97"/>
      <c r="AK709" s="4"/>
    </row>
    <row r="710" spans="2:37" s="113" customFormat="1" x14ac:dyDescent="0.4">
      <c r="B710" s="80"/>
      <c r="C710" s="563">
        <v>297</v>
      </c>
      <c r="D710" s="907"/>
      <c r="E710" s="906"/>
      <c r="F710" s="921" t="str">
        <f t="shared" si="36"/>
        <v/>
      </c>
      <c r="G710" s="882" t="str">
        <f t="shared" si="39"/>
        <v/>
      </c>
      <c r="H710" s="919"/>
      <c r="I710" s="922">
        <v>1738</v>
      </c>
      <c r="J710" s="907"/>
      <c r="K710" s="906"/>
      <c r="L710" s="921" t="str">
        <f t="shared" si="37"/>
        <v/>
      </c>
      <c r="M710" s="155" t="str">
        <f t="shared" si="38"/>
        <v/>
      </c>
      <c r="T710" s="75"/>
      <c r="U710" s="75"/>
      <c r="V710" s="75"/>
      <c r="W710" s="75"/>
      <c r="X710" s="75"/>
      <c r="Y710" s="340"/>
      <c r="Z710" s="341"/>
      <c r="AA710" s="341"/>
      <c r="AB710" s="341"/>
      <c r="AC710" s="340"/>
      <c r="AD710" s="75"/>
      <c r="AE710" s="75"/>
      <c r="AG710" s="344"/>
      <c r="AH710" s="344"/>
      <c r="AI710" s="344"/>
      <c r="AJ710" s="97"/>
      <c r="AK710" s="4"/>
    </row>
    <row r="711" spans="2:37" s="113" customFormat="1" x14ac:dyDescent="0.4">
      <c r="B711" s="80"/>
      <c r="C711" s="563">
        <v>298</v>
      </c>
      <c r="D711" s="907"/>
      <c r="E711" s="906"/>
      <c r="F711" s="921" t="str">
        <f t="shared" si="36"/>
        <v/>
      </c>
      <c r="G711" s="882" t="str">
        <f t="shared" si="39"/>
        <v/>
      </c>
      <c r="H711" s="919"/>
      <c r="I711" s="922">
        <v>1739</v>
      </c>
      <c r="J711" s="907"/>
      <c r="K711" s="906"/>
      <c r="L711" s="921" t="str">
        <f t="shared" si="37"/>
        <v/>
      </c>
      <c r="M711" s="155" t="str">
        <f t="shared" si="38"/>
        <v/>
      </c>
      <c r="T711" s="75"/>
      <c r="U711" s="75"/>
      <c r="V711" s="75"/>
      <c r="W711" s="75"/>
      <c r="X711" s="75"/>
      <c r="Y711" s="340"/>
      <c r="Z711" s="341"/>
      <c r="AA711" s="341"/>
      <c r="AB711" s="341"/>
      <c r="AC711" s="340"/>
      <c r="AD711" s="75"/>
      <c r="AE711" s="75"/>
      <c r="AG711" s="344"/>
      <c r="AH711" s="344"/>
      <c r="AI711" s="344"/>
      <c r="AJ711" s="97"/>
      <c r="AK711" s="4"/>
    </row>
    <row r="712" spans="2:37" s="113" customFormat="1" x14ac:dyDescent="0.4">
      <c r="B712" s="80"/>
      <c r="C712" s="563">
        <v>299</v>
      </c>
      <c r="D712" s="907"/>
      <c r="E712" s="906"/>
      <c r="F712" s="921" t="str">
        <f t="shared" si="36"/>
        <v/>
      </c>
      <c r="G712" s="882" t="str">
        <f t="shared" si="39"/>
        <v/>
      </c>
      <c r="H712" s="919"/>
      <c r="I712" s="922">
        <v>1740</v>
      </c>
      <c r="J712" s="907"/>
      <c r="K712" s="906"/>
      <c r="L712" s="921" t="str">
        <f t="shared" si="37"/>
        <v/>
      </c>
      <c r="M712" s="155" t="str">
        <f t="shared" si="38"/>
        <v/>
      </c>
      <c r="T712" s="75"/>
      <c r="U712" s="75"/>
      <c r="V712" s="75"/>
      <c r="W712" s="75"/>
      <c r="X712" s="75"/>
      <c r="Y712" s="340"/>
      <c r="Z712" s="341"/>
      <c r="AA712" s="341"/>
      <c r="AB712" s="341"/>
      <c r="AC712" s="340"/>
      <c r="AD712" s="75"/>
      <c r="AE712" s="75"/>
      <c r="AG712" s="344"/>
      <c r="AH712" s="344"/>
      <c r="AI712" s="344"/>
      <c r="AJ712" s="97"/>
      <c r="AK712" s="4"/>
    </row>
    <row r="713" spans="2:37" s="113" customFormat="1" x14ac:dyDescent="0.4">
      <c r="B713" s="80"/>
      <c r="C713" s="563">
        <v>300</v>
      </c>
      <c r="D713" s="907"/>
      <c r="E713" s="906"/>
      <c r="F713" s="921" t="str">
        <f t="shared" si="36"/>
        <v/>
      </c>
      <c r="G713" s="882" t="str">
        <f t="shared" si="39"/>
        <v/>
      </c>
      <c r="H713" s="919"/>
      <c r="I713" s="922">
        <v>1741</v>
      </c>
      <c r="J713" s="907"/>
      <c r="K713" s="906"/>
      <c r="L713" s="921" t="str">
        <f t="shared" si="37"/>
        <v/>
      </c>
      <c r="M713" s="155" t="str">
        <f t="shared" si="38"/>
        <v/>
      </c>
      <c r="T713" s="75"/>
      <c r="U713" s="75"/>
      <c r="V713" s="75"/>
      <c r="W713" s="75"/>
      <c r="X713" s="75"/>
      <c r="Y713" s="340"/>
      <c r="Z713" s="341"/>
      <c r="AA713" s="341"/>
      <c r="AB713" s="341"/>
      <c r="AC713" s="340"/>
      <c r="AD713" s="75"/>
      <c r="AE713" s="75"/>
      <c r="AG713" s="344"/>
      <c r="AH713" s="344"/>
      <c r="AI713" s="344"/>
      <c r="AJ713" s="97"/>
      <c r="AK713" s="4"/>
    </row>
    <row r="714" spans="2:37" s="113" customFormat="1" x14ac:dyDescent="0.4">
      <c r="B714" s="80"/>
      <c r="C714" s="563">
        <v>301</v>
      </c>
      <c r="D714" s="907"/>
      <c r="E714" s="906"/>
      <c r="F714" s="921" t="str">
        <f t="shared" si="36"/>
        <v/>
      </c>
      <c r="G714" s="882" t="str">
        <f t="shared" si="39"/>
        <v/>
      </c>
      <c r="H714" s="919"/>
      <c r="I714" s="922">
        <v>1742</v>
      </c>
      <c r="J714" s="907"/>
      <c r="K714" s="906"/>
      <c r="L714" s="921" t="str">
        <f t="shared" si="37"/>
        <v/>
      </c>
      <c r="M714" s="155" t="str">
        <f t="shared" si="38"/>
        <v/>
      </c>
      <c r="T714" s="75"/>
      <c r="U714" s="75"/>
      <c r="V714" s="75"/>
      <c r="W714" s="75"/>
      <c r="X714" s="75"/>
      <c r="Y714" s="340"/>
      <c r="Z714" s="341"/>
      <c r="AA714" s="341"/>
      <c r="AB714" s="341"/>
      <c r="AC714" s="340"/>
      <c r="AD714" s="75"/>
      <c r="AE714" s="75"/>
      <c r="AG714" s="344"/>
      <c r="AH714" s="344"/>
      <c r="AI714" s="344"/>
      <c r="AJ714" s="97"/>
      <c r="AK714" s="4"/>
    </row>
    <row r="715" spans="2:37" s="113" customFormat="1" x14ac:dyDescent="0.4">
      <c r="B715" s="80"/>
      <c r="C715" s="563">
        <v>302</v>
      </c>
      <c r="D715" s="907"/>
      <c r="E715" s="906"/>
      <c r="F715" s="921" t="str">
        <f t="shared" si="36"/>
        <v/>
      </c>
      <c r="G715" s="882" t="str">
        <f t="shared" si="39"/>
        <v/>
      </c>
      <c r="H715" s="919"/>
      <c r="I715" s="922">
        <v>1743</v>
      </c>
      <c r="J715" s="907"/>
      <c r="K715" s="906"/>
      <c r="L715" s="921" t="str">
        <f t="shared" si="37"/>
        <v/>
      </c>
      <c r="M715" s="155" t="str">
        <f t="shared" si="38"/>
        <v/>
      </c>
      <c r="T715" s="75"/>
      <c r="U715" s="75"/>
      <c r="V715" s="75"/>
      <c r="W715" s="75"/>
      <c r="X715" s="75"/>
      <c r="Y715" s="340"/>
      <c r="Z715" s="341"/>
      <c r="AA715" s="341"/>
      <c r="AB715" s="341"/>
      <c r="AC715" s="340"/>
      <c r="AD715" s="75"/>
      <c r="AE715" s="75"/>
      <c r="AG715" s="344"/>
      <c r="AH715" s="344"/>
      <c r="AI715" s="344"/>
      <c r="AJ715" s="97"/>
      <c r="AK715" s="4"/>
    </row>
    <row r="716" spans="2:37" s="113" customFormat="1" x14ac:dyDescent="0.4">
      <c r="B716" s="80"/>
      <c r="C716" s="563">
        <v>303</v>
      </c>
      <c r="D716" s="907"/>
      <c r="E716" s="906"/>
      <c r="F716" s="921" t="str">
        <f t="shared" si="36"/>
        <v/>
      </c>
      <c r="G716" s="882" t="str">
        <f t="shared" si="39"/>
        <v/>
      </c>
      <c r="H716" s="919"/>
      <c r="I716" s="922">
        <v>1744</v>
      </c>
      <c r="J716" s="907"/>
      <c r="K716" s="906"/>
      <c r="L716" s="921" t="str">
        <f t="shared" si="37"/>
        <v/>
      </c>
      <c r="M716" s="155" t="str">
        <f t="shared" si="38"/>
        <v/>
      </c>
      <c r="T716" s="75"/>
      <c r="U716" s="75"/>
      <c r="V716" s="75"/>
      <c r="W716" s="75"/>
      <c r="X716" s="75"/>
      <c r="Y716" s="340"/>
      <c r="Z716" s="341"/>
      <c r="AA716" s="341"/>
      <c r="AB716" s="341"/>
      <c r="AC716" s="340"/>
      <c r="AD716" s="75"/>
      <c r="AE716" s="75"/>
      <c r="AG716" s="344"/>
      <c r="AH716" s="344"/>
      <c r="AI716" s="344"/>
      <c r="AJ716" s="97"/>
      <c r="AK716" s="4"/>
    </row>
    <row r="717" spans="2:37" s="113" customFormat="1" x14ac:dyDescent="0.4">
      <c r="B717" s="80"/>
      <c r="C717" s="563">
        <v>304</v>
      </c>
      <c r="D717" s="907"/>
      <c r="E717" s="906"/>
      <c r="F717" s="921" t="str">
        <f t="shared" si="36"/>
        <v/>
      </c>
      <c r="G717" s="882" t="str">
        <f t="shared" si="39"/>
        <v/>
      </c>
      <c r="H717" s="919"/>
      <c r="I717" s="922">
        <v>1745</v>
      </c>
      <c r="J717" s="907"/>
      <c r="K717" s="906"/>
      <c r="L717" s="921" t="str">
        <f t="shared" si="37"/>
        <v/>
      </c>
      <c r="M717" s="155" t="str">
        <f t="shared" si="38"/>
        <v/>
      </c>
      <c r="T717" s="75"/>
      <c r="U717" s="75"/>
      <c r="V717" s="75"/>
      <c r="W717" s="75"/>
      <c r="X717" s="75"/>
      <c r="Y717" s="340"/>
      <c r="Z717" s="341"/>
      <c r="AA717" s="341"/>
      <c r="AB717" s="341"/>
      <c r="AC717" s="340"/>
      <c r="AD717" s="75"/>
      <c r="AE717" s="75"/>
      <c r="AG717" s="344"/>
      <c r="AH717" s="344"/>
      <c r="AI717" s="344"/>
      <c r="AJ717" s="97"/>
      <c r="AK717" s="4"/>
    </row>
    <row r="718" spans="2:37" s="113" customFormat="1" x14ac:dyDescent="0.4">
      <c r="B718" s="80"/>
      <c r="C718" s="563">
        <v>305</v>
      </c>
      <c r="D718" s="907"/>
      <c r="E718" s="906"/>
      <c r="F718" s="921" t="str">
        <f t="shared" si="36"/>
        <v/>
      </c>
      <c r="G718" s="882" t="str">
        <f t="shared" si="39"/>
        <v/>
      </c>
      <c r="H718" s="919"/>
      <c r="I718" s="922">
        <v>1746</v>
      </c>
      <c r="J718" s="907"/>
      <c r="K718" s="906"/>
      <c r="L718" s="921" t="str">
        <f t="shared" si="37"/>
        <v/>
      </c>
      <c r="M718" s="155" t="str">
        <f t="shared" si="38"/>
        <v/>
      </c>
      <c r="T718" s="75"/>
      <c r="U718" s="75"/>
      <c r="V718" s="75"/>
      <c r="W718" s="75"/>
      <c r="X718" s="75"/>
      <c r="Y718" s="340"/>
      <c r="Z718" s="341"/>
      <c r="AA718" s="341"/>
      <c r="AB718" s="341"/>
      <c r="AC718" s="340"/>
      <c r="AD718" s="75"/>
      <c r="AE718" s="75"/>
      <c r="AG718" s="344"/>
      <c r="AH718" s="344"/>
      <c r="AI718" s="344"/>
      <c r="AJ718" s="97"/>
      <c r="AK718" s="4"/>
    </row>
    <row r="719" spans="2:37" s="113" customFormat="1" x14ac:dyDescent="0.4">
      <c r="B719" s="80"/>
      <c r="C719" s="563">
        <v>306</v>
      </c>
      <c r="D719" s="907"/>
      <c r="E719" s="906"/>
      <c r="F719" s="921" t="str">
        <f t="shared" si="36"/>
        <v/>
      </c>
      <c r="G719" s="882" t="str">
        <f t="shared" si="39"/>
        <v/>
      </c>
      <c r="H719" s="919"/>
      <c r="I719" s="922">
        <v>1747</v>
      </c>
      <c r="J719" s="907"/>
      <c r="K719" s="906"/>
      <c r="L719" s="921" t="str">
        <f t="shared" si="37"/>
        <v/>
      </c>
      <c r="M719" s="155" t="str">
        <f t="shared" si="38"/>
        <v/>
      </c>
      <c r="T719" s="75"/>
      <c r="U719" s="75"/>
      <c r="V719" s="75"/>
      <c r="W719" s="75"/>
      <c r="X719" s="75"/>
      <c r="Y719" s="340"/>
      <c r="Z719" s="341"/>
      <c r="AA719" s="341"/>
      <c r="AB719" s="341"/>
      <c r="AC719" s="340"/>
      <c r="AD719" s="75"/>
      <c r="AE719" s="75"/>
      <c r="AG719" s="344"/>
      <c r="AH719" s="344"/>
      <c r="AI719" s="344"/>
      <c r="AJ719" s="97"/>
      <c r="AK719" s="4"/>
    </row>
    <row r="720" spans="2:37" s="113" customFormat="1" x14ac:dyDescent="0.4">
      <c r="B720" s="80"/>
      <c r="C720" s="563">
        <v>307</v>
      </c>
      <c r="D720" s="907"/>
      <c r="E720" s="906"/>
      <c r="F720" s="921" t="str">
        <f t="shared" si="36"/>
        <v/>
      </c>
      <c r="G720" s="882" t="str">
        <f t="shared" si="39"/>
        <v/>
      </c>
      <c r="H720" s="919"/>
      <c r="I720" s="922">
        <v>1748</v>
      </c>
      <c r="J720" s="907"/>
      <c r="K720" s="906"/>
      <c r="L720" s="921" t="str">
        <f t="shared" si="37"/>
        <v/>
      </c>
      <c r="M720" s="155" t="str">
        <f t="shared" si="38"/>
        <v/>
      </c>
      <c r="T720" s="75"/>
      <c r="U720" s="75"/>
      <c r="V720" s="75"/>
      <c r="W720" s="75"/>
      <c r="X720" s="75"/>
      <c r="Y720" s="340"/>
      <c r="Z720" s="341"/>
      <c r="AA720" s="341"/>
      <c r="AB720" s="341"/>
      <c r="AC720" s="340"/>
      <c r="AD720" s="75"/>
      <c r="AE720" s="75"/>
      <c r="AG720" s="344"/>
      <c r="AH720" s="344"/>
      <c r="AI720" s="344"/>
      <c r="AJ720" s="97"/>
      <c r="AK720" s="4"/>
    </row>
    <row r="721" spans="2:37" s="113" customFormat="1" x14ac:dyDescent="0.4">
      <c r="B721" s="80"/>
      <c r="C721" s="563">
        <v>308</v>
      </c>
      <c r="D721" s="907"/>
      <c r="E721" s="906"/>
      <c r="F721" s="921" t="str">
        <f t="shared" si="36"/>
        <v/>
      </c>
      <c r="G721" s="882" t="str">
        <f t="shared" si="39"/>
        <v/>
      </c>
      <c r="H721" s="919"/>
      <c r="I721" s="922">
        <v>1749</v>
      </c>
      <c r="J721" s="907"/>
      <c r="K721" s="906"/>
      <c r="L721" s="921" t="str">
        <f t="shared" si="37"/>
        <v/>
      </c>
      <c r="M721" s="155" t="str">
        <f t="shared" si="38"/>
        <v/>
      </c>
      <c r="T721" s="75"/>
      <c r="U721" s="75"/>
      <c r="V721" s="75"/>
      <c r="W721" s="75"/>
      <c r="X721" s="75"/>
      <c r="Y721" s="340"/>
      <c r="Z721" s="341"/>
      <c r="AA721" s="341"/>
      <c r="AB721" s="341"/>
      <c r="AC721" s="340"/>
      <c r="AD721" s="75"/>
      <c r="AE721" s="75"/>
      <c r="AG721" s="344"/>
      <c r="AH721" s="344"/>
      <c r="AI721" s="344"/>
      <c r="AJ721" s="97"/>
      <c r="AK721" s="4"/>
    </row>
    <row r="722" spans="2:37" s="113" customFormat="1" x14ac:dyDescent="0.4">
      <c r="B722" s="80"/>
      <c r="C722" s="563">
        <v>309</v>
      </c>
      <c r="D722" s="907"/>
      <c r="E722" s="906"/>
      <c r="F722" s="921" t="str">
        <f t="shared" si="36"/>
        <v/>
      </c>
      <c r="G722" s="882" t="str">
        <f t="shared" si="39"/>
        <v/>
      </c>
      <c r="H722" s="919"/>
      <c r="I722" s="922">
        <v>1750</v>
      </c>
      <c r="J722" s="907"/>
      <c r="K722" s="906"/>
      <c r="L722" s="921" t="str">
        <f t="shared" si="37"/>
        <v/>
      </c>
      <c r="M722" s="155" t="str">
        <f t="shared" si="38"/>
        <v/>
      </c>
      <c r="T722" s="75"/>
      <c r="U722" s="75"/>
      <c r="V722" s="75"/>
      <c r="W722" s="75"/>
      <c r="X722" s="75"/>
      <c r="Y722" s="340"/>
      <c r="Z722" s="341"/>
      <c r="AA722" s="341"/>
      <c r="AB722" s="341"/>
      <c r="AC722" s="340"/>
      <c r="AD722" s="75"/>
      <c r="AE722" s="75"/>
      <c r="AG722" s="344"/>
      <c r="AH722" s="344"/>
      <c r="AI722" s="344"/>
      <c r="AJ722" s="97"/>
      <c r="AK722" s="4"/>
    </row>
    <row r="723" spans="2:37" s="113" customFormat="1" x14ac:dyDescent="0.4">
      <c r="B723" s="80"/>
      <c r="C723" s="563">
        <v>310</v>
      </c>
      <c r="D723" s="907"/>
      <c r="E723" s="906"/>
      <c r="F723" s="921" t="str">
        <f t="shared" si="36"/>
        <v/>
      </c>
      <c r="G723" s="882" t="str">
        <f t="shared" si="39"/>
        <v/>
      </c>
      <c r="H723" s="919"/>
      <c r="I723" s="922">
        <v>1751</v>
      </c>
      <c r="J723" s="907"/>
      <c r="K723" s="906"/>
      <c r="L723" s="921" t="str">
        <f t="shared" si="37"/>
        <v/>
      </c>
      <c r="M723" s="155" t="str">
        <f t="shared" si="38"/>
        <v/>
      </c>
      <c r="T723" s="75"/>
      <c r="U723" s="75"/>
      <c r="V723" s="75"/>
      <c r="W723" s="75"/>
      <c r="X723" s="75"/>
      <c r="Y723" s="340"/>
      <c r="Z723" s="341"/>
      <c r="AA723" s="341"/>
      <c r="AB723" s="341"/>
      <c r="AC723" s="340"/>
      <c r="AD723" s="75"/>
      <c r="AE723" s="75"/>
      <c r="AG723" s="344"/>
      <c r="AH723" s="344"/>
      <c r="AI723" s="344"/>
      <c r="AJ723" s="97"/>
      <c r="AK723" s="4"/>
    </row>
    <row r="724" spans="2:37" s="113" customFormat="1" x14ac:dyDescent="0.4">
      <c r="B724" s="80"/>
      <c r="C724" s="563">
        <v>311</v>
      </c>
      <c r="D724" s="907"/>
      <c r="E724" s="906"/>
      <c r="F724" s="921" t="str">
        <f t="shared" si="36"/>
        <v/>
      </c>
      <c r="G724" s="882" t="str">
        <f t="shared" si="39"/>
        <v/>
      </c>
      <c r="H724" s="919"/>
      <c r="I724" s="922">
        <v>1752</v>
      </c>
      <c r="J724" s="907"/>
      <c r="K724" s="906"/>
      <c r="L724" s="921" t="str">
        <f t="shared" si="37"/>
        <v/>
      </c>
      <c r="M724" s="155" t="str">
        <f t="shared" si="38"/>
        <v/>
      </c>
      <c r="T724" s="75"/>
      <c r="U724" s="75"/>
      <c r="V724" s="75"/>
      <c r="W724" s="75"/>
      <c r="X724" s="75"/>
      <c r="Y724" s="340"/>
      <c r="Z724" s="341"/>
      <c r="AA724" s="341"/>
      <c r="AB724" s="341"/>
      <c r="AC724" s="340"/>
      <c r="AD724" s="75"/>
      <c r="AE724" s="75"/>
      <c r="AG724" s="344"/>
      <c r="AH724" s="344"/>
      <c r="AI724" s="344"/>
      <c r="AJ724" s="97"/>
      <c r="AK724" s="4"/>
    </row>
    <row r="725" spans="2:37" s="113" customFormat="1" x14ac:dyDescent="0.4">
      <c r="B725" s="80"/>
      <c r="C725" s="563">
        <v>312</v>
      </c>
      <c r="D725" s="907"/>
      <c r="E725" s="906"/>
      <c r="F725" s="921" t="str">
        <f t="shared" si="36"/>
        <v/>
      </c>
      <c r="G725" s="882" t="str">
        <f t="shared" si="39"/>
        <v/>
      </c>
      <c r="H725" s="919"/>
      <c r="I725" s="922">
        <v>1753</v>
      </c>
      <c r="J725" s="907"/>
      <c r="K725" s="906"/>
      <c r="L725" s="921" t="str">
        <f t="shared" si="37"/>
        <v/>
      </c>
      <c r="M725" s="155" t="str">
        <f t="shared" si="38"/>
        <v/>
      </c>
      <c r="T725" s="75"/>
      <c r="U725" s="75"/>
      <c r="V725" s="75"/>
      <c r="W725" s="75"/>
      <c r="X725" s="75"/>
      <c r="Y725" s="340"/>
      <c r="Z725" s="341"/>
      <c r="AA725" s="341"/>
      <c r="AB725" s="341"/>
      <c r="AC725" s="340"/>
      <c r="AD725" s="75"/>
      <c r="AE725" s="75"/>
      <c r="AG725" s="344"/>
      <c r="AH725" s="344"/>
      <c r="AI725" s="344"/>
      <c r="AJ725" s="97"/>
      <c r="AK725" s="4"/>
    </row>
    <row r="726" spans="2:37" s="113" customFormat="1" x14ac:dyDescent="0.4">
      <c r="B726" s="80"/>
      <c r="C726" s="563">
        <v>313</v>
      </c>
      <c r="D726" s="907"/>
      <c r="E726" s="906"/>
      <c r="F726" s="921" t="str">
        <f t="shared" si="36"/>
        <v/>
      </c>
      <c r="G726" s="882" t="str">
        <f t="shared" si="39"/>
        <v/>
      </c>
      <c r="H726" s="919"/>
      <c r="I726" s="922">
        <v>1754</v>
      </c>
      <c r="J726" s="907"/>
      <c r="K726" s="906"/>
      <c r="L726" s="921" t="str">
        <f t="shared" si="37"/>
        <v/>
      </c>
      <c r="M726" s="155" t="str">
        <f t="shared" si="38"/>
        <v/>
      </c>
      <c r="T726" s="75"/>
      <c r="U726" s="75"/>
      <c r="V726" s="75"/>
      <c r="W726" s="75"/>
      <c r="X726" s="75"/>
      <c r="Y726" s="340"/>
      <c r="Z726" s="341"/>
      <c r="AA726" s="341"/>
      <c r="AB726" s="341"/>
      <c r="AC726" s="340"/>
      <c r="AD726" s="75"/>
      <c r="AE726" s="75"/>
      <c r="AG726" s="344"/>
      <c r="AH726" s="344"/>
      <c r="AI726" s="344"/>
      <c r="AJ726" s="97"/>
      <c r="AK726" s="4"/>
    </row>
    <row r="727" spans="2:37" s="113" customFormat="1" x14ac:dyDescent="0.4">
      <c r="B727" s="80"/>
      <c r="C727" s="563">
        <v>314</v>
      </c>
      <c r="D727" s="907"/>
      <c r="E727" s="906"/>
      <c r="F727" s="921" t="str">
        <f t="shared" si="36"/>
        <v/>
      </c>
      <c r="G727" s="882" t="str">
        <f t="shared" si="39"/>
        <v/>
      </c>
      <c r="H727" s="919"/>
      <c r="I727" s="922">
        <v>1755</v>
      </c>
      <c r="J727" s="907"/>
      <c r="K727" s="906"/>
      <c r="L727" s="921" t="str">
        <f t="shared" si="37"/>
        <v/>
      </c>
      <c r="M727" s="155" t="str">
        <f t="shared" si="38"/>
        <v/>
      </c>
      <c r="T727" s="75"/>
      <c r="U727" s="75"/>
      <c r="V727" s="75"/>
      <c r="W727" s="75"/>
      <c r="X727" s="75"/>
      <c r="Y727" s="340"/>
      <c r="Z727" s="341"/>
      <c r="AA727" s="341"/>
      <c r="AB727" s="341"/>
      <c r="AC727" s="340"/>
      <c r="AD727" s="75"/>
      <c r="AE727" s="75"/>
      <c r="AG727" s="344"/>
      <c r="AH727" s="344"/>
      <c r="AI727" s="344"/>
      <c r="AJ727" s="97"/>
      <c r="AK727" s="4"/>
    </row>
    <row r="728" spans="2:37" s="113" customFormat="1" x14ac:dyDescent="0.4">
      <c r="B728" s="80"/>
      <c r="C728" s="563">
        <v>315</v>
      </c>
      <c r="D728" s="907"/>
      <c r="E728" s="906"/>
      <c r="F728" s="921" t="str">
        <f t="shared" si="36"/>
        <v/>
      </c>
      <c r="G728" s="882" t="str">
        <f t="shared" si="39"/>
        <v/>
      </c>
      <c r="H728" s="919"/>
      <c r="I728" s="922">
        <v>1756</v>
      </c>
      <c r="J728" s="907"/>
      <c r="K728" s="906"/>
      <c r="L728" s="921" t="str">
        <f t="shared" si="37"/>
        <v/>
      </c>
      <c r="M728" s="155" t="str">
        <f t="shared" si="38"/>
        <v/>
      </c>
      <c r="T728" s="75"/>
      <c r="U728" s="75"/>
      <c r="V728" s="75"/>
      <c r="W728" s="75"/>
      <c r="X728" s="75"/>
      <c r="Y728" s="340"/>
      <c r="Z728" s="341"/>
      <c r="AA728" s="341"/>
      <c r="AB728" s="341"/>
      <c r="AC728" s="340"/>
      <c r="AD728" s="75"/>
      <c r="AE728" s="75"/>
      <c r="AG728" s="344"/>
      <c r="AH728" s="344"/>
      <c r="AI728" s="344"/>
      <c r="AJ728" s="97"/>
      <c r="AK728" s="4"/>
    </row>
    <row r="729" spans="2:37" s="113" customFormat="1" x14ac:dyDescent="0.4">
      <c r="B729" s="80"/>
      <c r="C729" s="563">
        <v>316</v>
      </c>
      <c r="D729" s="907"/>
      <c r="E729" s="906"/>
      <c r="F729" s="921" t="str">
        <f t="shared" si="36"/>
        <v/>
      </c>
      <c r="G729" s="882" t="str">
        <f t="shared" si="39"/>
        <v/>
      </c>
      <c r="H729" s="919"/>
      <c r="I729" s="922">
        <v>1757</v>
      </c>
      <c r="J729" s="907"/>
      <c r="K729" s="906"/>
      <c r="L729" s="921" t="str">
        <f t="shared" si="37"/>
        <v/>
      </c>
      <c r="M729" s="155" t="str">
        <f t="shared" si="38"/>
        <v/>
      </c>
      <c r="T729" s="75"/>
      <c r="U729" s="75"/>
      <c r="V729" s="75"/>
      <c r="W729" s="75"/>
      <c r="X729" s="75"/>
      <c r="Y729" s="340"/>
      <c r="Z729" s="341"/>
      <c r="AA729" s="341"/>
      <c r="AB729" s="341"/>
      <c r="AC729" s="340"/>
      <c r="AD729" s="75"/>
      <c r="AE729" s="75"/>
      <c r="AG729" s="344"/>
      <c r="AH729" s="344"/>
      <c r="AI729" s="344"/>
      <c r="AJ729" s="97"/>
      <c r="AK729" s="4"/>
    </row>
    <row r="730" spans="2:37" s="113" customFormat="1" x14ac:dyDescent="0.4">
      <c r="B730" s="80"/>
      <c r="C730" s="563">
        <v>317</v>
      </c>
      <c r="D730" s="907"/>
      <c r="E730" s="906"/>
      <c r="F730" s="921" t="str">
        <f t="shared" si="36"/>
        <v/>
      </c>
      <c r="G730" s="882" t="str">
        <f t="shared" si="39"/>
        <v/>
      </c>
      <c r="H730" s="919"/>
      <c r="I730" s="922">
        <v>1758</v>
      </c>
      <c r="J730" s="907"/>
      <c r="K730" s="906"/>
      <c r="L730" s="921" t="str">
        <f t="shared" si="37"/>
        <v/>
      </c>
      <c r="M730" s="155" t="str">
        <f t="shared" si="38"/>
        <v/>
      </c>
      <c r="T730" s="75"/>
      <c r="U730" s="75"/>
      <c r="V730" s="75"/>
      <c r="W730" s="75"/>
      <c r="X730" s="75"/>
      <c r="Y730" s="340"/>
      <c r="Z730" s="341"/>
      <c r="AA730" s="341"/>
      <c r="AB730" s="341"/>
      <c r="AC730" s="340"/>
      <c r="AD730" s="75"/>
      <c r="AE730" s="75"/>
      <c r="AG730" s="344"/>
      <c r="AH730" s="344"/>
      <c r="AI730" s="344"/>
      <c r="AJ730" s="97"/>
      <c r="AK730" s="4"/>
    </row>
    <row r="731" spans="2:37" s="113" customFormat="1" x14ac:dyDescent="0.4">
      <c r="B731" s="80"/>
      <c r="C731" s="563">
        <v>318</v>
      </c>
      <c r="D731" s="907"/>
      <c r="E731" s="906"/>
      <c r="F731" s="921" t="str">
        <f t="shared" si="36"/>
        <v/>
      </c>
      <c r="G731" s="882" t="str">
        <f t="shared" si="39"/>
        <v/>
      </c>
      <c r="H731" s="919"/>
      <c r="I731" s="922">
        <v>1759</v>
      </c>
      <c r="J731" s="907"/>
      <c r="K731" s="906"/>
      <c r="L731" s="921" t="str">
        <f t="shared" si="37"/>
        <v/>
      </c>
      <c r="M731" s="155" t="str">
        <f t="shared" si="38"/>
        <v/>
      </c>
      <c r="T731" s="75"/>
      <c r="U731" s="75"/>
      <c r="V731" s="75"/>
      <c r="W731" s="75"/>
      <c r="X731" s="75"/>
      <c r="Y731" s="340"/>
      <c r="Z731" s="341"/>
      <c r="AA731" s="341"/>
      <c r="AB731" s="341"/>
      <c r="AC731" s="340"/>
      <c r="AD731" s="75"/>
      <c r="AE731" s="75"/>
      <c r="AG731" s="344"/>
      <c r="AH731" s="344"/>
      <c r="AI731" s="344"/>
      <c r="AJ731" s="97"/>
      <c r="AK731" s="4"/>
    </row>
    <row r="732" spans="2:37" s="113" customFormat="1" x14ac:dyDescent="0.4">
      <c r="B732" s="80"/>
      <c r="C732" s="563">
        <v>319</v>
      </c>
      <c r="D732" s="907"/>
      <c r="E732" s="906"/>
      <c r="F732" s="921" t="str">
        <f t="shared" si="36"/>
        <v/>
      </c>
      <c r="G732" s="882" t="str">
        <f t="shared" si="39"/>
        <v/>
      </c>
      <c r="H732" s="919"/>
      <c r="I732" s="922">
        <v>1760</v>
      </c>
      <c r="J732" s="907"/>
      <c r="K732" s="906"/>
      <c r="L732" s="921" t="str">
        <f t="shared" si="37"/>
        <v/>
      </c>
      <c r="M732" s="155" t="str">
        <f t="shared" si="38"/>
        <v/>
      </c>
      <c r="T732" s="75"/>
      <c r="U732" s="75"/>
      <c r="V732" s="75"/>
      <c r="W732" s="75"/>
      <c r="X732" s="75"/>
      <c r="Y732" s="340"/>
      <c r="Z732" s="341"/>
      <c r="AA732" s="341"/>
      <c r="AB732" s="341"/>
      <c r="AC732" s="340"/>
      <c r="AD732" s="75"/>
      <c r="AE732" s="75"/>
      <c r="AG732" s="344"/>
      <c r="AH732" s="344"/>
      <c r="AI732" s="344"/>
      <c r="AJ732" s="97"/>
      <c r="AK732" s="4"/>
    </row>
    <row r="733" spans="2:37" s="113" customFormat="1" x14ac:dyDescent="0.4">
      <c r="B733" s="80"/>
      <c r="C733" s="563">
        <v>320</v>
      </c>
      <c r="D733" s="907"/>
      <c r="E733" s="906"/>
      <c r="F733" s="921" t="str">
        <f t="shared" si="36"/>
        <v/>
      </c>
      <c r="G733" s="882" t="str">
        <f t="shared" si="39"/>
        <v/>
      </c>
      <c r="H733" s="919"/>
      <c r="I733" s="922">
        <v>1761</v>
      </c>
      <c r="J733" s="907"/>
      <c r="K733" s="906"/>
      <c r="L733" s="921" t="str">
        <f t="shared" si="37"/>
        <v/>
      </c>
      <c r="M733" s="155" t="str">
        <f t="shared" si="38"/>
        <v/>
      </c>
      <c r="T733" s="75"/>
      <c r="U733" s="75"/>
      <c r="V733" s="75"/>
      <c r="W733" s="75"/>
      <c r="X733" s="75"/>
      <c r="Y733" s="340"/>
      <c r="Z733" s="341"/>
      <c r="AA733" s="341"/>
      <c r="AB733" s="341"/>
      <c r="AC733" s="340"/>
      <c r="AD733" s="75"/>
      <c r="AE733" s="75"/>
      <c r="AG733" s="344"/>
      <c r="AH733" s="344"/>
      <c r="AI733" s="344"/>
      <c r="AJ733" s="97"/>
      <c r="AK733" s="4"/>
    </row>
    <row r="734" spans="2:37" s="113" customFormat="1" x14ac:dyDescent="0.4">
      <c r="B734" s="80"/>
      <c r="C734" s="563">
        <v>321</v>
      </c>
      <c r="D734" s="907"/>
      <c r="E734" s="906"/>
      <c r="F734" s="921" t="str">
        <f t="shared" ref="F734:F797" si="40">IF($D$30="","",IF(OR(
AND(C734&gt;=0,C734&lt;=$D$32),
AND(C734&gt;=$E$30,C734&lt;=$E$32),
AND(C734&gt;=$F$30,C734&lt;=$F$32),
AND(C734&gt;=$G$30,C734&lt;=$G$32),
AND(C734&gt;=$H$30,C734&lt;=$H$32),
AND(C734&gt;=$I$30,C734&lt;=$I$32),
AND(C734&gt;=$J$30,C734&lt;=$J$32),
AND(C734&gt;=$K$30,C734&lt;=$K$32),
AND(C734&gt;=$L$30,C734&lt;=$L$32),
AND(C734&gt;=$M$30,C734&lt;=$M$32,$M$32&lt;&gt;""),
AND(C734&gt;=$N$30,C734&lt;=$N$32,$N$32&lt;&gt;""),
AND(C734&gt;=$O$30,C734&lt;=$O$32,$O$32&lt;&gt;""),
AND(C734&gt;=$P$30,C734&lt;=$P$32,$P$32&lt;&gt;""),
AND(C734&gt;=$Q$30,C734&lt;=$Q$32,$Q$32&lt;&gt;"")
),"ON","OFF"))</f>
        <v/>
      </c>
      <c r="G734" s="882" t="str">
        <f t="shared" si="39"/>
        <v/>
      </c>
      <c r="H734" s="919"/>
      <c r="I734" s="922">
        <v>1762</v>
      </c>
      <c r="J734" s="907"/>
      <c r="K734" s="906"/>
      <c r="L734" s="921" t="str">
        <f t="shared" ref="L734:L797" si="41">IF($D$30="","",IF(OR(
AND(I734&gt;=0,I734&lt;=$D$32),
AND(I734&gt;=$E$30,I734&lt;=$E$32),
AND(I734&gt;=$F$30,I734&lt;=$F$32),
AND(I734&gt;=$G$30,I734&lt;=$G$32),
AND(I734&gt;=$H$30,I734&lt;=$H$32),
AND(I734&gt;=$I$30,I734&lt;=$I$32),
AND(I734&gt;=$J$30,I734&lt;=$J$32),
AND(I734&gt;=$K$30,I734&lt;=$K$32),
AND(I734&gt;=$L$30,I734&lt;=$L$32),
AND(I734&gt;=$M$30,I734&lt;=$M$32,$M$32&lt;&gt;""),
AND(I734&gt;=$N$30,I734&lt;=$N$32,$N$32&lt;&gt;""),
AND(I734&gt;=$O$30,I734&lt;=$O$32,$O$32&lt;&gt;""),
AND(I734&gt;=$P$30,I734&lt;=$P$32,$P$32&lt;&gt;""),
AND(I734&gt;=$Q$30,I734&lt;=$Q$32,$Q$32&lt;&gt;"")
),"ON","OFF"))</f>
        <v/>
      </c>
      <c r="M734" s="155" t="str">
        <f t="shared" ref="M734:M797" si="42">IF(OR($D$47="",$D$48=""),"",IF(OR(
AND(I734&gt;=$D$47,I734&lt;=$D$48),
AND(I734&gt;=$E$47,I734&lt;=$E$48),
AND(I734&gt;=$F$47,I734&lt;=$F$48),
AND(I734&gt;=$G$47,I734&lt;=$G$48),
AND(I734&gt;=$H$47,I734&lt;=$H$48),
AND(I734&gt;=$I$47,I734&lt;=$I$48),
AND(I734&gt;=$J$47,I734&lt;=$J$48),
AND(I734&gt;=$K$47,I734&lt;=$K$48),
AND(I734&gt;=$L$47,I734&lt;=$L$48),
AND(I734&gt;=$M$47,I734&lt;=$M$48),
AND(I734&gt;=$N$47,I734&lt;=$N$48),
AND(I734&gt;=$O$47,I734&lt;=$O$48),
AND(I734&gt;=$P$47,I734&lt;=$P$48),
AND(I734&gt;=$Q$47,I734&lt;=$Q$48),
AND(I734&gt;=$R$47,I734&lt;=$R$48),
AND(I734&gt;=$S$47,I734&lt;=$S$48),
AND(I734&gt;=$T$47,I734&lt;=$T$48),
AND(I734&gt;=$U$47,I734&lt;=$U$48),
AND(I734&gt;=$V$47,I734&lt;=$V$48),
AND(I734&gt;=$W$47,I734&lt;=$W$48),
AND(I734&gt;=$X$47,I734&lt;=$X$48),
AND(I734&gt;=$Y$47,I734&lt;=$Y$48),
AND(I734&gt;=$Z$47,I734&lt;=$Z$48),
AND(I734&gt;=$AA$47,I734&lt;=$AA$48),
AND(I734&gt;=$AB$47,I734&lt;=$AB$48),
AND(I734&gt;=$AC$47,I734&lt;=$AC$48),
AND(I734&gt;=$AD$47,I734&lt;=$AD$48),
AND(I734&gt;=$AE$47,I734&lt;=$AE$48),
AND(I734&gt;=$AF$47,I734&lt;=$AF$48),
AND(I734&gt;=$AG$47,I734&lt;=$AG$48)
),"ON","OFF"))</f>
        <v/>
      </c>
      <c r="T734" s="75"/>
      <c r="U734" s="75"/>
      <c r="V734" s="75"/>
      <c r="W734" s="75"/>
      <c r="X734" s="75"/>
      <c r="Y734" s="340"/>
      <c r="Z734" s="341"/>
      <c r="AA734" s="341"/>
      <c r="AB734" s="341"/>
      <c r="AC734" s="340"/>
      <c r="AD734" s="75"/>
      <c r="AE734" s="75"/>
      <c r="AG734" s="344"/>
      <c r="AH734" s="344"/>
      <c r="AI734" s="344"/>
      <c r="AJ734" s="97"/>
      <c r="AK734" s="4"/>
    </row>
    <row r="735" spans="2:37" s="113" customFormat="1" x14ac:dyDescent="0.4">
      <c r="B735" s="80"/>
      <c r="C735" s="563">
        <v>322</v>
      </c>
      <c r="D735" s="907"/>
      <c r="E735" s="906"/>
      <c r="F735" s="921" t="str">
        <f t="shared" si="40"/>
        <v/>
      </c>
      <c r="G735" s="882" t="str">
        <f t="shared" ref="G735:G798" si="43">IF(OR($D$47="",$D$48=""),"",IF(OR(
AND(C735&gt;=$D$47,C735&lt;=$D$48),
AND(C735&gt;=$E$47,C735&lt;=$E$48),
AND(C735&gt;=$F$47,C735&lt;=$F$48),
AND(C735&gt;=$G$47,C735&lt;=$G$48),
AND(C735&gt;=$H$47,C735&lt;=$H$48),
AND(C735&gt;=$I$47,C735&lt;=$I$48),
AND(C735&gt;=$J$47,C735&lt;=$J$48),
AND(C735&gt;=$K$47,C735&lt;=$K$48),
AND(C735&gt;=$L$47,C735&lt;=$L$48),
AND(C735&gt;=$M$47,C735&lt;=$M$48),
AND(C735&gt;=$N$47,C735&lt;=$N$48),
AND(C735&gt;=$O$47,C735&lt;=$O$48),
AND(C735&gt;=$P$47,C735&lt;=$P$48),
AND(C735&gt;=$Q$47,C735&lt;=$Q$48),
AND(C735&gt;=$R$47,C735&lt;=$R$48),
AND(C735&gt;=$S$47,C735&lt;=$S$48),
AND(C735&gt;=$T$47,C735&lt;=$T$48),
AND(C735&gt;=$U$47,C735&lt;=$U$48),
AND(C735&gt;=$V$47,C735&lt;=$V$48),
AND(C735&gt;=$W$47,C735&lt;=$W$48),
AND(C735&gt;=$X$47,C735&lt;=$X$48),
AND(C735&gt;=$Y$47,C735&lt;=$Y$48),
AND(C735&gt;=$Z$47,C735&lt;=$Z$48),
AND(C735&gt;=$AA$47,C735&lt;=$AA$48),
AND(C735&gt;=$AB$47,C735&lt;=$AB$48),
AND(C735&gt;=$AC$47,C735&lt;=$AC$48),
AND(C735&gt;=$AD$47,C735&lt;=$AD$48),
AND(C735&gt;=$AE$47,C735&lt;=$AE$48),
AND(C735&gt;=$AF$47,C735&lt;=$AF$48),
AND(C735&gt;=$AG$47,C735&lt;=$AG$48)
),"ON","OFF"))</f>
        <v/>
      </c>
      <c r="H735" s="919"/>
      <c r="I735" s="922">
        <v>1763</v>
      </c>
      <c r="J735" s="907"/>
      <c r="K735" s="906"/>
      <c r="L735" s="921" t="str">
        <f t="shared" si="41"/>
        <v/>
      </c>
      <c r="M735" s="155" t="str">
        <f t="shared" si="42"/>
        <v/>
      </c>
      <c r="T735" s="75"/>
      <c r="U735" s="75"/>
      <c r="V735" s="75"/>
      <c r="W735" s="75"/>
      <c r="X735" s="75"/>
      <c r="Y735" s="340"/>
      <c r="Z735" s="341"/>
      <c r="AA735" s="341"/>
      <c r="AB735" s="341"/>
      <c r="AC735" s="340"/>
      <c r="AD735" s="75"/>
      <c r="AE735" s="75"/>
      <c r="AG735" s="344"/>
      <c r="AH735" s="344"/>
      <c r="AI735" s="344"/>
      <c r="AJ735" s="97"/>
      <c r="AK735" s="4"/>
    </row>
    <row r="736" spans="2:37" s="113" customFormat="1" x14ac:dyDescent="0.4">
      <c r="B736" s="80"/>
      <c r="C736" s="563">
        <v>323</v>
      </c>
      <c r="D736" s="907"/>
      <c r="E736" s="906"/>
      <c r="F736" s="921" t="str">
        <f t="shared" si="40"/>
        <v/>
      </c>
      <c r="G736" s="882" t="str">
        <f t="shared" si="43"/>
        <v/>
      </c>
      <c r="H736" s="919"/>
      <c r="I736" s="922">
        <v>1764</v>
      </c>
      <c r="J736" s="907"/>
      <c r="K736" s="906"/>
      <c r="L736" s="921" t="str">
        <f t="shared" si="41"/>
        <v/>
      </c>
      <c r="M736" s="155" t="str">
        <f t="shared" si="42"/>
        <v/>
      </c>
      <c r="T736" s="75"/>
      <c r="U736" s="75"/>
      <c r="V736" s="75"/>
      <c r="W736" s="75"/>
      <c r="X736" s="75"/>
      <c r="Y736" s="340"/>
      <c r="Z736" s="341"/>
      <c r="AA736" s="341"/>
      <c r="AB736" s="341"/>
      <c r="AC736" s="340"/>
      <c r="AD736" s="75"/>
      <c r="AE736" s="75"/>
      <c r="AG736" s="344"/>
      <c r="AH736" s="344"/>
      <c r="AI736" s="344"/>
      <c r="AJ736" s="97"/>
      <c r="AK736" s="4"/>
    </row>
    <row r="737" spans="2:37" s="113" customFormat="1" x14ac:dyDescent="0.4">
      <c r="B737" s="80"/>
      <c r="C737" s="563">
        <v>324</v>
      </c>
      <c r="D737" s="907"/>
      <c r="E737" s="906"/>
      <c r="F737" s="921" t="str">
        <f t="shared" si="40"/>
        <v/>
      </c>
      <c r="G737" s="882" t="str">
        <f t="shared" si="43"/>
        <v/>
      </c>
      <c r="H737" s="919"/>
      <c r="I737" s="922">
        <v>1765</v>
      </c>
      <c r="J737" s="907"/>
      <c r="K737" s="906"/>
      <c r="L737" s="921" t="str">
        <f t="shared" si="41"/>
        <v/>
      </c>
      <c r="M737" s="155" t="str">
        <f t="shared" si="42"/>
        <v/>
      </c>
      <c r="T737" s="75"/>
      <c r="U737" s="75"/>
      <c r="V737" s="75"/>
      <c r="W737" s="75"/>
      <c r="X737" s="75"/>
      <c r="Y737" s="340"/>
      <c r="Z737" s="341"/>
      <c r="AA737" s="341"/>
      <c r="AB737" s="341"/>
      <c r="AC737" s="340"/>
      <c r="AD737" s="75"/>
      <c r="AE737" s="75"/>
      <c r="AG737" s="344"/>
      <c r="AH737" s="344"/>
      <c r="AI737" s="344"/>
      <c r="AJ737" s="97"/>
      <c r="AK737" s="4"/>
    </row>
    <row r="738" spans="2:37" s="113" customFormat="1" x14ac:dyDescent="0.4">
      <c r="B738" s="80"/>
      <c r="C738" s="563">
        <v>325</v>
      </c>
      <c r="D738" s="907"/>
      <c r="E738" s="906"/>
      <c r="F738" s="921" t="str">
        <f t="shared" si="40"/>
        <v/>
      </c>
      <c r="G738" s="882" t="str">
        <f t="shared" si="43"/>
        <v/>
      </c>
      <c r="H738" s="919"/>
      <c r="I738" s="922">
        <v>1766</v>
      </c>
      <c r="J738" s="907"/>
      <c r="K738" s="906"/>
      <c r="L738" s="921" t="str">
        <f t="shared" si="41"/>
        <v/>
      </c>
      <c r="M738" s="155" t="str">
        <f t="shared" si="42"/>
        <v/>
      </c>
      <c r="T738" s="75"/>
      <c r="U738" s="75"/>
      <c r="V738" s="75"/>
      <c r="W738" s="75"/>
      <c r="X738" s="75"/>
      <c r="Y738" s="340"/>
      <c r="Z738" s="341"/>
      <c r="AA738" s="341"/>
      <c r="AB738" s="341"/>
      <c r="AC738" s="340"/>
      <c r="AD738" s="75"/>
      <c r="AE738" s="75"/>
      <c r="AG738" s="344"/>
      <c r="AH738" s="344"/>
      <c r="AI738" s="344"/>
      <c r="AJ738" s="97"/>
      <c r="AK738" s="4"/>
    </row>
    <row r="739" spans="2:37" s="113" customFormat="1" x14ac:dyDescent="0.4">
      <c r="B739" s="80"/>
      <c r="C739" s="563">
        <v>326</v>
      </c>
      <c r="D739" s="907"/>
      <c r="E739" s="906"/>
      <c r="F739" s="921" t="str">
        <f t="shared" si="40"/>
        <v/>
      </c>
      <c r="G739" s="882" t="str">
        <f t="shared" si="43"/>
        <v/>
      </c>
      <c r="H739" s="919"/>
      <c r="I739" s="922">
        <v>1767</v>
      </c>
      <c r="J739" s="907"/>
      <c r="K739" s="906"/>
      <c r="L739" s="921" t="str">
        <f t="shared" si="41"/>
        <v/>
      </c>
      <c r="M739" s="155" t="str">
        <f t="shared" si="42"/>
        <v/>
      </c>
      <c r="T739" s="75"/>
      <c r="U739" s="75"/>
      <c r="V739" s="75"/>
      <c r="W739" s="75"/>
      <c r="X739" s="75"/>
      <c r="Y739" s="340"/>
      <c r="Z739" s="341"/>
      <c r="AA739" s="341"/>
      <c r="AB739" s="341"/>
      <c r="AC739" s="340"/>
      <c r="AD739" s="75"/>
      <c r="AE739" s="75"/>
      <c r="AG739" s="344"/>
      <c r="AH739" s="344"/>
      <c r="AI739" s="344"/>
      <c r="AJ739" s="97"/>
      <c r="AK739" s="4"/>
    </row>
    <row r="740" spans="2:37" s="113" customFormat="1" x14ac:dyDescent="0.4">
      <c r="B740" s="80"/>
      <c r="C740" s="563">
        <v>327</v>
      </c>
      <c r="D740" s="907"/>
      <c r="E740" s="906"/>
      <c r="F740" s="921" t="str">
        <f t="shared" si="40"/>
        <v/>
      </c>
      <c r="G740" s="882" t="str">
        <f t="shared" si="43"/>
        <v/>
      </c>
      <c r="H740" s="919"/>
      <c r="I740" s="922">
        <v>1768</v>
      </c>
      <c r="J740" s="907"/>
      <c r="K740" s="906"/>
      <c r="L740" s="921" t="str">
        <f t="shared" si="41"/>
        <v/>
      </c>
      <c r="M740" s="155" t="str">
        <f t="shared" si="42"/>
        <v/>
      </c>
      <c r="T740" s="75"/>
      <c r="U740" s="75"/>
      <c r="V740" s="75"/>
      <c r="W740" s="75"/>
      <c r="X740" s="75"/>
      <c r="Y740" s="340"/>
      <c r="Z740" s="341"/>
      <c r="AA740" s="341"/>
      <c r="AB740" s="341"/>
      <c r="AC740" s="340"/>
      <c r="AD740" s="75"/>
      <c r="AE740" s="75"/>
      <c r="AG740" s="344"/>
      <c r="AH740" s="344"/>
      <c r="AI740" s="344"/>
      <c r="AJ740" s="97"/>
      <c r="AK740" s="4"/>
    </row>
    <row r="741" spans="2:37" s="113" customFormat="1" x14ac:dyDescent="0.4">
      <c r="B741" s="80"/>
      <c r="C741" s="563">
        <v>328</v>
      </c>
      <c r="D741" s="907"/>
      <c r="E741" s="906"/>
      <c r="F741" s="921" t="str">
        <f t="shared" si="40"/>
        <v/>
      </c>
      <c r="G741" s="882" t="str">
        <f t="shared" si="43"/>
        <v/>
      </c>
      <c r="H741" s="919"/>
      <c r="I741" s="922">
        <v>1769</v>
      </c>
      <c r="J741" s="907"/>
      <c r="K741" s="906"/>
      <c r="L741" s="921" t="str">
        <f t="shared" si="41"/>
        <v/>
      </c>
      <c r="M741" s="155" t="str">
        <f t="shared" si="42"/>
        <v/>
      </c>
      <c r="T741" s="75"/>
      <c r="U741" s="75"/>
      <c r="V741" s="75"/>
      <c r="W741" s="75"/>
      <c r="X741" s="75"/>
      <c r="Y741" s="340"/>
      <c r="Z741" s="341"/>
      <c r="AA741" s="341"/>
      <c r="AB741" s="341"/>
      <c r="AC741" s="340"/>
      <c r="AD741" s="75"/>
      <c r="AE741" s="75"/>
      <c r="AG741" s="344"/>
      <c r="AH741" s="344"/>
      <c r="AI741" s="344"/>
      <c r="AJ741" s="97"/>
      <c r="AK741" s="4"/>
    </row>
    <row r="742" spans="2:37" s="113" customFormat="1" x14ac:dyDescent="0.4">
      <c r="B742" s="80"/>
      <c r="C742" s="563">
        <v>329</v>
      </c>
      <c r="D742" s="907"/>
      <c r="E742" s="906"/>
      <c r="F742" s="921" t="str">
        <f t="shared" si="40"/>
        <v/>
      </c>
      <c r="G742" s="882" t="str">
        <f t="shared" si="43"/>
        <v/>
      </c>
      <c r="H742" s="919"/>
      <c r="I742" s="922">
        <v>1770</v>
      </c>
      <c r="J742" s="907"/>
      <c r="K742" s="906"/>
      <c r="L742" s="921" t="str">
        <f t="shared" si="41"/>
        <v/>
      </c>
      <c r="M742" s="155" t="str">
        <f t="shared" si="42"/>
        <v/>
      </c>
      <c r="T742" s="75"/>
      <c r="U742" s="75"/>
      <c r="V742" s="75"/>
      <c r="W742" s="75"/>
      <c r="X742" s="75"/>
      <c r="Y742" s="340"/>
      <c r="Z742" s="341"/>
      <c r="AA742" s="341"/>
      <c r="AB742" s="341"/>
      <c r="AC742" s="340"/>
      <c r="AD742" s="75"/>
      <c r="AE742" s="75"/>
      <c r="AG742" s="344"/>
      <c r="AH742" s="344"/>
      <c r="AI742" s="344"/>
      <c r="AJ742" s="97"/>
      <c r="AK742" s="4"/>
    </row>
    <row r="743" spans="2:37" s="113" customFormat="1" x14ac:dyDescent="0.4">
      <c r="B743" s="80"/>
      <c r="C743" s="563">
        <v>330</v>
      </c>
      <c r="D743" s="907"/>
      <c r="E743" s="906"/>
      <c r="F743" s="921" t="str">
        <f t="shared" si="40"/>
        <v/>
      </c>
      <c r="G743" s="882" t="str">
        <f t="shared" si="43"/>
        <v/>
      </c>
      <c r="H743" s="919"/>
      <c r="I743" s="922">
        <v>1771</v>
      </c>
      <c r="J743" s="907"/>
      <c r="K743" s="906"/>
      <c r="L743" s="921" t="str">
        <f t="shared" si="41"/>
        <v/>
      </c>
      <c r="M743" s="155" t="str">
        <f t="shared" si="42"/>
        <v/>
      </c>
      <c r="T743" s="75"/>
      <c r="U743" s="75"/>
      <c r="V743" s="75"/>
      <c r="W743" s="75"/>
      <c r="X743" s="75"/>
      <c r="Y743" s="340"/>
      <c r="Z743" s="341"/>
      <c r="AA743" s="341"/>
      <c r="AB743" s="341"/>
      <c r="AC743" s="340"/>
      <c r="AD743" s="75"/>
      <c r="AE743" s="75"/>
      <c r="AG743" s="344"/>
      <c r="AH743" s="344"/>
      <c r="AI743" s="344"/>
      <c r="AJ743" s="97"/>
      <c r="AK743" s="4"/>
    </row>
    <row r="744" spans="2:37" s="113" customFormat="1" x14ac:dyDescent="0.4">
      <c r="B744" s="80"/>
      <c r="C744" s="563">
        <v>331</v>
      </c>
      <c r="D744" s="907"/>
      <c r="E744" s="906"/>
      <c r="F744" s="921" t="str">
        <f t="shared" si="40"/>
        <v/>
      </c>
      <c r="G744" s="882" t="str">
        <f t="shared" si="43"/>
        <v/>
      </c>
      <c r="H744" s="919"/>
      <c r="I744" s="922">
        <v>1772</v>
      </c>
      <c r="J744" s="907"/>
      <c r="K744" s="906"/>
      <c r="L744" s="921" t="str">
        <f t="shared" si="41"/>
        <v/>
      </c>
      <c r="M744" s="155" t="str">
        <f t="shared" si="42"/>
        <v/>
      </c>
      <c r="T744" s="75"/>
      <c r="U744" s="75"/>
      <c r="V744" s="75"/>
      <c r="W744" s="75"/>
      <c r="X744" s="75"/>
      <c r="Y744" s="340"/>
      <c r="Z744" s="341"/>
      <c r="AA744" s="341"/>
      <c r="AB744" s="341"/>
      <c r="AC744" s="340"/>
      <c r="AD744" s="75"/>
      <c r="AE744" s="75"/>
      <c r="AG744" s="344"/>
      <c r="AH744" s="344"/>
      <c r="AI744" s="344"/>
      <c r="AJ744" s="97"/>
      <c r="AK744" s="4"/>
    </row>
    <row r="745" spans="2:37" s="113" customFormat="1" x14ac:dyDescent="0.4">
      <c r="B745" s="80"/>
      <c r="C745" s="563">
        <v>332</v>
      </c>
      <c r="D745" s="907"/>
      <c r="E745" s="906"/>
      <c r="F745" s="921" t="str">
        <f t="shared" si="40"/>
        <v/>
      </c>
      <c r="G745" s="882" t="str">
        <f t="shared" si="43"/>
        <v/>
      </c>
      <c r="H745" s="919"/>
      <c r="I745" s="922">
        <v>1773</v>
      </c>
      <c r="J745" s="907"/>
      <c r="K745" s="906"/>
      <c r="L745" s="921" t="str">
        <f t="shared" si="41"/>
        <v/>
      </c>
      <c r="M745" s="155" t="str">
        <f t="shared" si="42"/>
        <v/>
      </c>
      <c r="T745" s="75"/>
      <c r="U745" s="75"/>
      <c r="V745" s="75"/>
      <c r="W745" s="75"/>
      <c r="X745" s="75"/>
      <c r="Y745" s="340"/>
      <c r="Z745" s="341"/>
      <c r="AA745" s="341"/>
      <c r="AB745" s="341"/>
      <c r="AC745" s="340"/>
      <c r="AD745" s="75"/>
      <c r="AE745" s="75"/>
      <c r="AG745" s="344"/>
      <c r="AH745" s="344"/>
      <c r="AI745" s="344"/>
      <c r="AJ745" s="97"/>
      <c r="AK745" s="4"/>
    </row>
    <row r="746" spans="2:37" s="113" customFormat="1" x14ac:dyDescent="0.4">
      <c r="B746" s="80"/>
      <c r="C746" s="563">
        <v>333</v>
      </c>
      <c r="D746" s="907"/>
      <c r="E746" s="906"/>
      <c r="F746" s="921" t="str">
        <f t="shared" si="40"/>
        <v/>
      </c>
      <c r="G746" s="882" t="str">
        <f t="shared" si="43"/>
        <v/>
      </c>
      <c r="H746" s="919"/>
      <c r="I746" s="922">
        <v>1774</v>
      </c>
      <c r="J746" s="907"/>
      <c r="K746" s="906"/>
      <c r="L746" s="921" t="str">
        <f t="shared" si="41"/>
        <v/>
      </c>
      <c r="M746" s="155" t="str">
        <f t="shared" si="42"/>
        <v/>
      </c>
      <c r="T746" s="75"/>
      <c r="U746" s="75"/>
      <c r="V746" s="75"/>
      <c r="W746" s="75"/>
      <c r="X746" s="75"/>
      <c r="Y746" s="340"/>
      <c r="Z746" s="341"/>
      <c r="AA746" s="341"/>
      <c r="AB746" s="341"/>
      <c r="AC746" s="340"/>
      <c r="AD746" s="75"/>
      <c r="AE746" s="75"/>
      <c r="AG746" s="344"/>
      <c r="AH746" s="344"/>
      <c r="AI746" s="344"/>
      <c r="AJ746" s="97"/>
      <c r="AK746" s="4"/>
    </row>
    <row r="747" spans="2:37" s="113" customFormat="1" x14ac:dyDescent="0.4">
      <c r="B747" s="80"/>
      <c r="C747" s="563">
        <v>334</v>
      </c>
      <c r="D747" s="907"/>
      <c r="E747" s="906"/>
      <c r="F747" s="921" t="str">
        <f t="shared" si="40"/>
        <v/>
      </c>
      <c r="G747" s="882" t="str">
        <f t="shared" si="43"/>
        <v/>
      </c>
      <c r="H747" s="919"/>
      <c r="I747" s="922">
        <v>1775</v>
      </c>
      <c r="J747" s="907"/>
      <c r="K747" s="906"/>
      <c r="L747" s="921" t="str">
        <f t="shared" si="41"/>
        <v/>
      </c>
      <c r="M747" s="155" t="str">
        <f t="shared" si="42"/>
        <v/>
      </c>
      <c r="T747" s="75"/>
      <c r="U747" s="75"/>
      <c r="V747" s="75"/>
      <c r="W747" s="75"/>
      <c r="X747" s="75"/>
      <c r="Y747" s="340"/>
      <c r="Z747" s="341"/>
      <c r="AA747" s="341"/>
      <c r="AB747" s="341"/>
      <c r="AC747" s="340"/>
      <c r="AD747" s="75"/>
      <c r="AE747" s="75"/>
      <c r="AG747" s="344"/>
      <c r="AH747" s="344"/>
      <c r="AI747" s="344"/>
      <c r="AJ747" s="97"/>
      <c r="AK747" s="4"/>
    </row>
    <row r="748" spans="2:37" s="113" customFormat="1" x14ac:dyDescent="0.4">
      <c r="B748" s="80"/>
      <c r="C748" s="563">
        <v>335</v>
      </c>
      <c r="D748" s="907"/>
      <c r="E748" s="906"/>
      <c r="F748" s="921" t="str">
        <f t="shared" si="40"/>
        <v/>
      </c>
      <c r="G748" s="882" t="str">
        <f t="shared" si="43"/>
        <v/>
      </c>
      <c r="H748" s="919"/>
      <c r="I748" s="922">
        <v>1776</v>
      </c>
      <c r="J748" s="907"/>
      <c r="K748" s="906"/>
      <c r="L748" s="921" t="str">
        <f t="shared" si="41"/>
        <v/>
      </c>
      <c r="M748" s="155" t="str">
        <f t="shared" si="42"/>
        <v/>
      </c>
      <c r="T748" s="75"/>
      <c r="U748" s="75"/>
      <c r="V748" s="75"/>
      <c r="W748" s="75"/>
      <c r="X748" s="75"/>
      <c r="Y748" s="340"/>
      <c r="Z748" s="341"/>
      <c r="AA748" s="341"/>
      <c r="AB748" s="341"/>
      <c r="AC748" s="340"/>
      <c r="AD748" s="75"/>
      <c r="AE748" s="75"/>
      <c r="AG748" s="344"/>
      <c r="AH748" s="344"/>
      <c r="AI748" s="344"/>
      <c r="AJ748" s="97"/>
      <c r="AK748" s="4"/>
    </row>
    <row r="749" spans="2:37" s="113" customFormat="1" x14ac:dyDescent="0.4">
      <c r="B749" s="80"/>
      <c r="C749" s="563">
        <v>336</v>
      </c>
      <c r="D749" s="907"/>
      <c r="E749" s="906"/>
      <c r="F749" s="921" t="str">
        <f t="shared" si="40"/>
        <v/>
      </c>
      <c r="G749" s="882" t="str">
        <f t="shared" si="43"/>
        <v/>
      </c>
      <c r="H749" s="919"/>
      <c r="I749" s="922">
        <v>1777</v>
      </c>
      <c r="J749" s="907"/>
      <c r="K749" s="906"/>
      <c r="L749" s="921" t="str">
        <f t="shared" si="41"/>
        <v/>
      </c>
      <c r="M749" s="155" t="str">
        <f t="shared" si="42"/>
        <v/>
      </c>
      <c r="T749" s="75"/>
      <c r="U749" s="75"/>
      <c r="V749" s="75"/>
      <c r="W749" s="75"/>
      <c r="X749" s="75"/>
      <c r="Y749" s="340"/>
      <c r="Z749" s="341"/>
      <c r="AA749" s="341"/>
      <c r="AB749" s="341"/>
      <c r="AC749" s="340"/>
      <c r="AD749" s="75"/>
      <c r="AE749" s="75"/>
      <c r="AG749" s="344"/>
      <c r="AH749" s="344"/>
      <c r="AI749" s="344"/>
      <c r="AJ749" s="97"/>
      <c r="AK749" s="4"/>
    </row>
    <row r="750" spans="2:37" s="113" customFormat="1" x14ac:dyDescent="0.4">
      <c r="B750" s="80"/>
      <c r="C750" s="563">
        <v>337</v>
      </c>
      <c r="D750" s="907"/>
      <c r="E750" s="906"/>
      <c r="F750" s="921" t="str">
        <f t="shared" si="40"/>
        <v/>
      </c>
      <c r="G750" s="882" t="str">
        <f t="shared" si="43"/>
        <v/>
      </c>
      <c r="H750" s="919"/>
      <c r="I750" s="922">
        <v>1778</v>
      </c>
      <c r="J750" s="907"/>
      <c r="K750" s="906"/>
      <c r="L750" s="921" t="str">
        <f t="shared" si="41"/>
        <v/>
      </c>
      <c r="M750" s="155" t="str">
        <f t="shared" si="42"/>
        <v/>
      </c>
      <c r="T750" s="75"/>
      <c r="U750" s="75"/>
      <c r="V750" s="75"/>
      <c r="W750" s="75"/>
      <c r="X750" s="75"/>
      <c r="Y750" s="340"/>
      <c r="Z750" s="341"/>
      <c r="AA750" s="341"/>
      <c r="AB750" s="341"/>
      <c r="AC750" s="340"/>
      <c r="AD750" s="75"/>
      <c r="AE750" s="75"/>
      <c r="AG750" s="344"/>
      <c r="AH750" s="344"/>
      <c r="AI750" s="344"/>
      <c r="AJ750" s="97"/>
      <c r="AK750" s="4"/>
    </row>
    <row r="751" spans="2:37" s="113" customFormat="1" x14ac:dyDescent="0.4">
      <c r="B751" s="80"/>
      <c r="C751" s="563">
        <v>338</v>
      </c>
      <c r="D751" s="907"/>
      <c r="E751" s="906"/>
      <c r="F751" s="921" t="str">
        <f t="shared" si="40"/>
        <v/>
      </c>
      <c r="G751" s="882" t="str">
        <f t="shared" si="43"/>
        <v/>
      </c>
      <c r="H751" s="919"/>
      <c r="I751" s="922">
        <v>1779</v>
      </c>
      <c r="J751" s="907"/>
      <c r="K751" s="906"/>
      <c r="L751" s="921" t="str">
        <f t="shared" si="41"/>
        <v/>
      </c>
      <c r="M751" s="155" t="str">
        <f t="shared" si="42"/>
        <v/>
      </c>
      <c r="T751" s="75"/>
      <c r="U751" s="75"/>
      <c r="V751" s="75"/>
      <c r="W751" s="75"/>
      <c r="X751" s="75"/>
      <c r="Y751" s="340"/>
      <c r="Z751" s="341"/>
      <c r="AA751" s="341"/>
      <c r="AB751" s="341"/>
      <c r="AC751" s="340"/>
      <c r="AD751" s="75"/>
      <c r="AE751" s="75"/>
      <c r="AG751" s="344"/>
      <c r="AH751" s="344"/>
      <c r="AI751" s="344"/>
      <c r="AJ751" s="97"/>
      <c r="AK751" s="4"/>
    </row>
    <row r="752" spans="2:37" s="113" customFormat="1" x14ac:dyDescent="0.4">
      <c r="B752" s="80"/>
      <c r="C752" s="563">
        <v>339</v>
      </c>
      <c r="D752" s="907"/>
      <c r="E752" s="906"/>
      <c r="F752" s="921" t="str">
        <f t="shared" si="40"/>
        <v/>
      </c>
      <c r="G752" s="882" t="str">
        <f t="shared" si="43"/>
        <v/>
      </c>
      <c r="H752" s="919"/>
      <c r="I752" s="922">
        <v>1780</v>
      </c>
      <c r="J752" s="907"/>
      <c r="K752" s="906"/>
      <c r="L752" s="921" t="str">
        <f t="shared" si="41"/>
        <v/>
      </c>
      <c r="M752" s="155" t="str">
        <f t="shared" si="42"/>
        <v/>
      </c>
      <c r="T752" s="75"/>
      <c r="U752" s="75"/>
      <c r="V752" s="75"/>
      <c r="W752" s="75"/>
      <c r="X752" s="75"/>
      <c r="Y752" s="340"/>
      <c r="Z752" s="341"/>
      <c r="AA752" s="341"/>
      <c r="AB752" s="341"/>
      <c r="AC752" s="340"/>
      <c r="AD752" s="75"/>
      <c r="AE752" s="75"/>
      <c r="AG752" s="344"/>
      <c r="AH752" s="344"/>
      <c r="AI752" s="344"/>
      <c r="AJ752" s="97"/>
      <c r="AK752" s="4"/>
    </row>
    <row r="753" spans="2:37" s="113" customFormat="1" x14ac:dyDescent="0.4">
      <c r="B753" s="80"/>
      <c r="C753" s="563">
        <v>340</v>
      </c>
      <c r="D753" s="907"/>
      <c r="E753" s="906"/>
      <c r="F753" s="921" t="str">
        <f t="shared" si="40"/>
        <v/>
      </c>
      <c r="G753" s="882" t="str">
        <f t="shared" si="43"/>
        <v/>
      </c>
      <c r="H753" s="919"/>
      <c r="I753" s="922">
        <v>1781</v>
      </c>
      <c r="J753" s="907"/>
      <c r="K753" s="906"/>
      <c r="L753" s="921" t="str">
        <f t="shared" si="41"/>
        <v/>
      </c>
      <c r="M753" s="155" t="str">
        <f t="shared" si="42"/>
        <v/>
      </c>
      <c r="T753" s="75"/>
      <c r="U753" s="75"/>
      <c r="V753" s="75"/>
      <c r="W753" s="75"/>
      <c r="X753" s="75"/>
      <c r="Y753" s="340"/>
      <c r="Z753" s="341"/>
      <c r="AA753" s="341"/>
      <c r="AB753" s="341"/>
      <c r="AC753" s="340"/>
      <c r="AD753" s="75"/>
      <c r="AE753" s="75"/>
      <c r="AG753" s="344"/>
      <c r="AH753" s="344"/>
      <c r="AI753" s="344"/>
      <c r="AJ753" s="97"/>
      <c r="AK753" s="4"/>
    </row>
    <row r="754" spans="2:37" s="113" customFormat="1" x14ac:dyDescent="0.4">
      <c r="B754" s="80"/>
      <c r="C754" s="563">
        <v>341</v>
      </c>
      <c r="D754" s="907"/>
      <c r="E754" s="906"/>
      <c r="F754" s="921" t="str">
        <f t="shared" si="40"/>
        <v/>
      </c>
      <c r="G754" s="882" t="str">
        <f t="shared" si="43"/>
        <v/>
      </c>
      <c r="H754" s="919"/>
      <c r="I754" s="922">
        <v>1782</v>
      </c>
      <c r="J754" s="907"/>
      <c r="K754" s="906"/>
      <c r="L754" s="921" t="str">
        <f t="shared" si="41"/>
        <v/>
      </c>
      <c r="M754" s="155" t="str">
        <f t="shared" si="42"/>
        <v/>
      </c>
      <c r="T754" s="75"/>
      <c r="U754" s="75"/>
      <c r="V754" s="75"/>
      <c r="W754" s="75"/>
      <c r="X754" s="75"/>
      <c r="Y754" s="340"/>
      <c r="Z754" s="341"/>
      <c r="AA754" s="341"/>
      <c r="AB754" s="341"/>
      <c r="AC754" s="340"/>
      <c r="AD754" s="75"/>
      <c r="AE754" s="75"/>
      <c r="AG754" s="344"/>
      <c r="AH754" s="344"/>
      <c r="AI754" s="344"/>
      <c r="AJ754" s="97"/>
      <c r="AK754" s="4"/>
    </row>
    <row r="755" spans="2:37" s="113" customFormat="1" x14ac:dyDescent="0.4">
      <c r="B755" s="80"/>
      <c r="C755" s="563">
        <v>342</v>
      </c>
      <c r="D755" s="907"/>
      <c r="E755" s="906"/>
      <c r="F755" s="921" t="str">
        <f t="shared" si="40"/>
        <v/>
      </c>
      <c r="G755" s="882" t="str">
        <f t="shared" si="43"/>
        <v/>
      </c>
      <c r="H755" s="919"/>
      <c r="I755" s="922">
        <v>1783</v>
      </c>
      <c r="J755" s="907"/>
      <c r="K755" s="906"/>
      <c r="L755" s="921" t="str">
        <f t="shared" si="41"/>
        <v/>
      </c>
      <c r="M755" s="155" t="str">
        <f t="shared" si="42"/>
        <v/>
      </c>
      <c r="T755" s="75"/>
      <c r="U755" s="75"/>
      <c r="V755" s="75"/>
      <c r="W755" s="75"/>
      <c r="X755" s="75"/>
      <c r="Y755" s="340"/>
      <c r="Z755" s="341"/>
      <c r="AA755" s="341"/>
      <c r="AB755" s="341"/>
      <c r="AC755" s="340"/>
      <c r="AD755" s="75"/>
      <c r="AE755" s="75"/>
      <c r="AG755" s="344"/>
      <c r="AH755" s="344"/>
      <c r="AI755" s="344"/>
      <c r="AJ755" s="97"/>
      <c r="AK755" s="4"/>
    </row>
    <row r="756" spans="2:37" s="113" customFormat="1" x14ac:dyDescent="0.4">
      <c r="B756" s="80"/>
      <c r="C756" s="563">
        <v>343</v>
      </c>
      <c r="D756" s="907"/>
      <c r="E756" s="906"/>
      <c r="F756" s="921" t="str">
        <f t="shared" si="40"/>
        <v/>
      </c>
      <c r="G756" s="882" t="str">
        <f t="shared" si="43"/>
        <v/>
      </c>
      <c r="H756" s="919"/>
      <c r="I756" s="922">
        <v>1784</v>
      </c>
      <c r="J756" s="907"/>
      <c r="K756" s="906"/>
      <c r="L756" s="921" t="str">
        <f t="shared" si="41"/>
        <v/>
      </c>
      <c r="M756" s="155" t="str">
        <f t="shared" si="42"/>
        <v/>
      </c>
      <c r="T756" s="75"/>
      <c r="U756" s="75"/>
      <c r="V756" s="75"/>
      <c r="W756" s="75"/>
      <c r="X756" s="75"/>
      <c r="Y756" s="340"/>
      <c r="Z756" s="341"/>
      <c r="AA756" s="341"/>
      <c r="AB756" s="341"/>
      <c r="AC756" s="340"/>
      <c r="AD756" s="75"/>
      <c r="AE756" s="75"/>
      <c r="AG756" s="344"/>
      <c r="AH756" s="344"/>
      <c r="AI756" s="344"/>
      <c r="AJ756" s="97"/>
      <c r="AK756" s="4"/>
    </row>
    <row r="757" spans="2:37" s="113" customFormat="1" x14ac:dyDescent="0.4">
      <c r="B757" s="80"/>
      <c r="C757" s="563">
        <v>344</v>
      </c>
      <c r="D757" s="907"/>
      <c r="E757" s="906"/>
      <c r="F757" s="921" t="str">
        <f t="shared" si="40"/>
        <v/>
      </c>
      <c r="G757" s="882" t="str">
        <f t="shared" si="43"/>
        <v/>
      </c>
      <c r="H757" s="919"/>
      <c r="I757" s="922">
        <v>1785</v>
      </c>
      <c r="J757" s="907"/>
      <c r="K757" s="906"/>
      <c r="L757" s="921" t="str">
        <f t="shared" si="41"/>
        <v/>
      </c>
      <c r="M757" s="155" t="str">
        <f t="shared" si="42"/>
        <v/>
      </c>
      <c r="T757" s="75"/>
      <c r="U757" s="75"/>
      <c r="V757" s="75"/>
      <c r="W757" s="75"/>
      <c r="X757" s="75"/>
      <c r="Y757" s="340"/>
      <c r="Z757" s="341"/>
      <c r="AA757" s="341"/>
      <c r="AB757" s="341"/>
      <c r="AC757" s="340"/>
      <c r="AD757" s="75"/>
      <c r="AE757" s="75"/>
      <c r="AG757" s="344"/>
      <c r="AH757" s="344"/>
      <c r="AI757" s="344"/>
      <c r="AJ757" s="97"/>
      <c r="AK757" s="4"/>
    </row>
    <row r="758" spans="2:37" s="113" customFormat="1" x14ac:dyDescent="0.4">
      <c r="B758" s="80"/>
      <c r="C758" s="563">
        <v>345</v>
      </c>
      <c r="D758" s="907"/>
      <c r="E758" s="906"/>
      <c r="F758" s="921" t="str">
        <f t="shared" si="40"/>
        <v/>
      </c>
      <c r="G758" s="882" t="str">
        <f t="shared" si="43"/>
        <v/>
      </c>
      <c r="H758" s="919"/>
      <c r="I758" s="922">
        <v>1786</v>
      </c>
      <c r="J758" s="907"/>
      <c r="K758" s="906"/>
      <c r="L758" s="921" t="str">
        <f t="shared" si="41"/>
        <v/>
      </c>
      <c r="M758" s="155" t="str">
        <f t="shared" si="42"/>
        <v/>
      </c>
      <c r="T758" s="75"/>
      <c r="U758" s="75"/>
      <c r="V758" s="75"/>
      <c r="W758" s="75"/>
      <c r="X758" s="75"/>
      <c r="Y758" s="340"/>
      <c r="Z758" s="341"/>
      <c r="AA758" s="341"/>
      <c r="AB758" s="341"/>
      <c r="AC758" s="340"/>
      <c r="AD758" s="75"/>
      <c r="AE758" s="75"/>
      <c r="AG758" s="344"/>
      <c r="AH758" s="344"/>
      <c r="AI758" s="344"/>
      <c r="AJ758" s="97"/>
      <c r="AK758" s="4"/>
    </row>
    <row r="759" spans="2:37" s="113" customFormat="1" x14ac:dyDescent="0.4">
      <c r="B759" s="80"/>
      <c r="C759" s="563">
        <v>346</v>
      </c>
      <c r="D759" s="907"/>
      <c r="E759" s="906"/>
      <c r="F759" s="921" t="str">
        <f t="shared" si="40"/>
        <v/>
      </c>
      <c r="G759" s="882" t="str">
        <f t="shared" si="43"/>
        <v/>
      </c>
      <c r="H759" s="919"/>
      <c r="I759" s="922">
        <v>1787</v>
      </c>
      <c r="J759" s="907"/>
      <c r="K759" s="906"/>
      <c r="L759" s="921" t="str">
        <f t="shared" si="41"/>
        <v/>
      </c>
      <c r="M759" s="155" t="str">
        <f t="shared" si="42"/>
        <v/>
      </c>
      <c r="T759" s="75"/>
      <c r="U759" s="75"/>
      <c r="V759" s="75"/>
      <c r="W759" s="75"/>
      <c r="X759" s="75"/>
      <c r="Y759" s="340"/>
      <c r="Z759" s="341"/>
      <c r="AA759" s="341"/>
      <c r="AB759" s="341"/>
      <c r="AC759" s="340"/>
      <c r="AD759" s="75"/>
      <c r="AE759" s="75"/>
      <c r="AG759" s="344"/>
      <c r="AH759" s="344"/>
      <c r="AI759" s="344"/>
      <c r="AJ759" s="97"/>
      <c r="AK759" s="4"/>
    </row>
    <row r="760" spans="2:37" s="113" customFormat="1" x14ac:dyDescent="0.4">
      <c r="B760" s="80"/>
      <c r="C760" s="563">
        <v>347</v>
      </c>
      <c r="D760" s="907"/>
      <c r="E760" s="906"/>
      <c r="F760" s="921" t="str">
        <f t="shared" si="40"/>
        <v/>
      </c>
      <c r="G760" s="882" t="str">
        <f t="shared" si="43"/>
        <v/>
      </c>
      <c r="H760" s="919"/>
      <c r="I760" s="922">
        <v>1788</v>
      </c>
      <c r="J760" s="907"/>
      <c r="K760" s="906"/>
      <c r="L760" s="921" t="str">
        <f t="shared" si="41"/>
        <v/>
      </c>
      <c r="M760" s="155" t="str">
        <f t="shared" si="42"/>
        <v/>
      </c>
      <c r="T760" s="75"/>
      <c r="U760" s="75"/>
      <c r="V760" s="75"/>
      <c r="W760" s="75"/>
      <c r="X760" s="75"/>
      <c r="Y760" s="340"/>
      <c r="Z760" s="341"/>
      <c r="AA760" s="341"/>
      <c r="AB760" s="341"/>
      <c r="AC760" s="340"/>
      <c r="AD760" s="75"/>
      <c r="AE760" s="75"/>
      <c r="AG760" s="344"/>
      <c r="AH760" s="344"/>
      <c r="AI760" s="344"/>
      <c r="AJ760" s="97"/>
      <c r="AK760" s="4"/>
    </row>
    <row r="761" spans="2:37" s="113" customFormat="1" x14ac:dyDescent="0.4">
      <c r="B761" s="80"/>
      <c r="C761" s="563">
        <v>348</v>
      </c>
      <c r="D761" s="907"/>
      <c r="E761" s="906"/>
      <c r="F761" s="921" t="str">
        <f t="shared" si="40"/>
        <v/>
      </c>
      <c r="G761" s="882" t="str">
        <f t="shared" si="43"/>
        <v/>
      </c>
      <c r="H761" s="919"/>
      <c r="I761" s="922">
        <v>1789</v>
      </c>
      <c r="J761" s="907"/>
      <c r="K761" s="906"/>
      <c r="L761" s="921" t="str">
        <f t="shared" si="41"/>
        <v/>
      </c>
      <c r="M761" s="155" t="str">
        <f t="shared" si="42"/>
        <v/>
      </c>
      <c r="T761" s="75"/>
      <c r="U761" s="75"/>
      <c r="V761" s="75"/>
      <c r="W761" s="75"/>
      <c r="X761" s="75"/>
      <c r="Y761" s="340"/>
      <c r="Z761" s="341"/>
      <c r="AA761" s="341"/>
      <c r="AB761" s="341"/>
      <c r="AC761" s="340"/>
      <c r="AD761" s="75"/>
      <c r="AE761" s="75"/>
      <c r="AG761" s="344"/>
      <c r="AH761" s="344"/>
      <c r="AI761" s="344"/>
      <c r="AJ761" s="97"/>
      <c r="AK761" s="4"/>
    </row>
    <row r="762" spans="2:37" s="113" customFormat="1" x14ac:dyDescent="0.4">
      <c r="B762" s="80"/>
      <c r="C762" s="563">
        <v>349</v>
      </c>
      <c r="D762" s="907"/>
      <c r="E762" s="906"/>
      <c r="F762" s="921" t="str">
        <f t="shared" si="40"/>
        <v/>
      </c>
      <c r="G762" s="882" t="str">
        <f t="shared" si="43"/>
        <v/>
      </c>
      <c r="H762" s="919"/>
      <c r="I762" s="922">
        <v>1790</v>
      </c>
      <c r="J762" s="907"/>
      <c r="K762" s="906"/>
      <c r="L762" s="921" t="str">
        <f t="shared" si="41"/>
        <v/>
      </c>
      <c r="M762" s="155" t="str">
        <f t="shared" si="42"/>
        <v/>
      </c>
      <c r="T762" s="75"/>
      <c r="U762" s="75"/>
      <c r="V762" s="75"/>
      <c r="W762" s="75"/>
      <c r="X762" s="75"/>
      <c r="Y762" s="340"/>
      <c r="Z762" s="341"/>
      <c r="AA762" s="341"/>
      <c r="AB762" s="341"/>
      <c r="AC762" s="340"/>
      <c r="AD762" s="75"/>
      <c r="AE762" s="75"/>
      <c r="AG762" s="344"/>
      <c r="AH762" s="344"/>
      <c r="AI762" s="344"/>
      <c r="AJ762" s="97"/>
      <c r="AK762" s="4"/>
    </row>
    <row r="763" spans="2:37" s="113" customFormat="1" x14ac:dyDescent="0.4">
      <c r="B763" s="80"/>
      <c r="C763" s="563">
        <v>350</v>
      </c>
      <c r="D763" s="907"/>
      <c r="E763" s="906"/>
      <c r="F763" s="921" t="str">
        <f t="shared" si="40"/>
        <v/>
      </c>
      <c r="G763" s="882" t="str">
        <f t="shared" si="43"/>
        <v/>
      </c>
      <c r="H763" s="919"/>
      <c r="I763" s="922">
        <v>1791</v>
      </c>
      <c r="J763" s="907"/>
      <c r="K763" s="906"/>
      <c r="L763" s="921" t="str">
        <f t="shared" si="41"/>
        <v/>
      </c>
      <c r="M763" s="155" t="str">
        <f t="shared" si="42"/>
        <v/>
      </c>
      <c r="T763" s="75"/>
      <c r="U763" s="75"/>
      <c r="V763" s="75"/>
      <c r="W763" s="75"/>
      <c r="X763" s="75"/>
      <c r="Y763" s="340"/>
      <c r="Z763" s="341"/>
      <c r="AA763" s="341"/>
      <c r="AB763" s="341"/>
      <c r="AC763" s="340"/>
      <c r="AD763" s="75"/>
      <c r="AE763" s="75"/>
      <c r="AG763" s="344"/>
      <c r="AH763" s="344"/>
      <c r="AI763" s="344"/>
      <c r="AJ763" s="97"/>
      <c r="AK763" s="4"/>
    </row>
    <row r="764" spans="2:37" s="113" customFormat="1" x14ac:dyDescent="0.4">
      <c r="B764" s="80"/>
      <c r="C764" s="563">
        <v>351</v>
      </c>
      <c r="D764" s="907"/>
      <c r="E764" s="906"/>
      <c r="F764" s="921" t="str">
        <f t="shared" si="40"/>
        <v/>
      </c>
      <c r="G764" s="882" t="str">
        <f t="shared" si="43"/>
        <v/>
      </c>
      <c r="H764" s="919"/>
      <c r="I764" s="922">
        <v>1792</v>
      </c>
      <c r="J764" s="907"/>
      <c r="K764" s="906"/>
      <c r="L764" s="921" t="str">
        <f t="shared" si="41"/>
        <v/>
      </c>
      <c r="M764" s="155" t="str">
        <f t="shared" si="42"/>
        <v/>
      </c>
      <c r="T764" s="75"/>
      <c r="U764" s="75"/>
      <c r="V764" s="75"/>
      <c r="W764" s="75"/>
      <c r="X764" s="75"/>
      <c r="Y764" s="340"/>
      <c r="Z764" s="341"/>
      <c r="AA764" s="341"/>
      <c r="AB764" s="341"/>
      <c r="AC764" s="340"/>
      <c r="AD764" s="75"/>
      <c r="AE764" s="75"/>
      <c r="AG764" s="344"/>
      <c r="AH764" s="344"/>
      <c r="AI764" s="344"/>
      <c r="AJ764" s="97"/>
      <c r="AK764" s="4"/>
    </row>
    <row r="765" spans="2:37" s="113" customFormat="1" x14ac:dyDescent="0.4">
      <c r="B765" s="80"/>
      <c r="C765" s="563">
        <v>352</v>
      </c>
      <c r="D765" s="907"/>
      <c r="E765" s="906"/>
      <c r="F765" s="921" t="str">
        <f t="shared" si="40"/>
        <v/>
      </c>
      <c r="G765" s="882" t="str">
        <f t="shared" si="43"/>
        <v/>
      </c>
      <c r="H765" s="919"/>
      <c r="I765" s="922">
        <v>1793</v>
      </c>
      <c r="J765" s="907"/>
      <c r="K765" s="906"/>
      <c r="L765" s="921" t="str">
        <f t="shared" si="41"/>
        <v/>
      </c>
      <c r="M765" s="155" t="str">
        <f t="shared" si="42"/>
        <v/>
      </c>
      <c r="T765" s="75"/>
      <c r="U765" s="75"/>
      <c r="V765" s="75"/>
      <c r="W765" s="75"/>
      <c r="X765" s="75"/>
      <c r="Y765" s="340"/>
      <c r="Z765" s="341"/>
      <c r="AA765" s="341"/>
      <c r="AB765" s="341"/>
      <c r="AC765" s="340"/>
      <c r="AD765" s="75"/>
      <c r="AE765" s="75"/>
      <c r="AG765" s="344"/>
      <c r="AH765" s="344"/>
      <c r="AI765" s="344"/>
      <c r="AJ765" s="97"/>
      <c r="AK765" s="4"/>
    </row>
    <row r="766" spans="2:37" s="113" customFormat="1" x14ac:dyDescent="0.4">
      <c r="B766" s="80"/>
      <c r="C766" s="563">
        <v>353</v>
      </c>
      <c r="D766" s="907"/>
      <c r="E766" s="906"/>
      <c r="F766" s="921" t="str">
        <f t="shared" si="40"/>
        <v/>
      </c>
      <c r="G766" s="882" t="str">
        <f t="shared" si="43"/>
        <v/>
      </c>
      <c r="H766" s="919"/>
      <c r="I766" s="922">
        <v>1794</v>
      </c>
      <c r="J766" s="907"/>
      <c r="K766" s="906"/>
      <c r="L766" s="921" t="str">
        <f t="shared" si="41"/>
        <v/>
      </c>
      <c r="M766" s="155" t="str">
        <f t="shared" si="42"/>
        <v/>
      </c>
      <c r="T766" s="75"/>
      <c r="U766" s="75"/>
      <c r="V766" s="75"/>
      <c r="W766" s="75"/>
      <c r="X766" s="75"/>
      <c r="Y766" s="340"/>
      <c r="Z766" s="341"/>
      <c r="AA766" s="341"/>
      <c r="AB766" s="341"/>
      <c r="AC766" s="340"/>
      <c r="AD766" s="75"/>
      <c r="AE766" s="75"/>
      <c r="AG766" s="344"/>
      <c r="AH766" s="344"/>
      <c r="AI766" s="344"/>
      <c r="AJ766" s="97"/>
      <c r="AK766" s="4"/>
    </row>
    <row r="767" spans="2:37" s="113" customFormat="1" x14ac:dyDescent="0.4">
      <c r="B767" s="80"/>
      <c r="C767" s="563">
        <v>354</v>
      </c>
      <c r="D767" s="907"/>
      <c r="E767" s="906"/>
      <c r="F767" s="921" t="str">
        <f t="shared" si="40"/>
        <v/>
      </c>
      <c r="G767" s="882" t="str">
        <f t="shared" si="43"/>
        <v/>
      </c>
      <c r="H767" s="919"/>
      <c r="I767" s="922">
        <v>1795</v>
      </c>
      <c r="J767" s="907"/>
      <c r="K767" s="906"/>
      <c r="L767" s="921" t="str">
        <f t="shared" si="41"/>
        <v/>
      </c>
      <c r="M767" s="155" t="str">
        <f t="shared" si="42"/>
        <v/>
      </c>
      <c r="T767" s="75"/>
      <c r="U767" s="75"/>
      <c r="V767" s="75"/>
      <c r="W767" s="75"/>
      <c r="X767" s="75"/>
      <c r="Y767" s="340"/>
      <c r="Z767" s="341"/>
      <c r="AA767" s="341"/>
      <c r="AB767" s="341"/>
      <c r="AC767" s="340"/>
      <c r="AD767" s="75"/>
      <c r="AE767" s="75"/>
      <c r="AG767" s="344"/>
      <c r="AH767" s="344"/>
      <c r="AI767" s="344"/>
      <c r="AJ767" s="97"/>
      <c r="AK767" s="4"/>
    </row>
    <row r="768" spans="2:37" s="113" customFormat="1" x14ac:dyDescent="0.4">
      <c r="B768" s="80"/>
      <c r="C768" s="563">
        <v>355</v>
      </c>
      <c r="D768" s="907"/>
      <c r="E768" s="906"/>
      <c r="F768" s="921" t="str">
        <f t="shared" si="40"/>
        <v/>
      </c>
      <c r="G768" s="882" t="str">
        <f t="shared" si="43"/>
        <v/>
      </c>
      <c r="H768" s="919"/>
      <c r="I768" s="922">
        <v>1796</v>
      </c>
      <c r="J768" s="907"/>
      <c r="K768" s="906"/>
      <c r="L768" s="921" t="str">
        <f t="shared" si="41"/>
        <v/>
      </c>
      <c r="M768" s="155" t="str">
        <f t="shared" si="42"/>
        <v/>
      </c>
      <c r="T768" s="75"/>
      <c r="U768" s="75"/>
      <c r="V768" s="75"/>
      <c r="W768" s="75"/>
      <c r="X768" s="75"/>
      <c r="Y768" s="340"/>
      <c r="Z768" s="341"/>
      <c r="AA768" s="341"/>
      <c r="AB768" s="341"/>
      <c r="AC768" s="340"/>
      <c r="AD768" s="75"/>
      <c r="AE768" s="75"/>
      <c r="AG768" s="344"/>
      <c r="AH768" s="344"/>
      <c r="AI768" s="344"/>
      <c r="AJ768" s="97"/>
      <c r="AK768" s="4"/>
    </row>
    <row r="769" spans="2:37" s="113" customFormat="1" x14ac:dyDescent="0.4">
      <c r="B769" s="80"/>
      <c r="C769" s="563">
        <v>356</v>
      </c>
      <c r="D769" s="907"/>
      <c r="E769" s="906"/>
      <c r="F769" s="921" t="str">
        <f t="shared" si="40"/>
        <v/>
      </c>
      <c r="G769" s="882" t="str">
        <f t="shared" si="43"/>
        <v/>
      </c>
      <c r="H769" s="919"/>
      <c r="I769" s="922">
        <v>1797</v>
      </c>
      <c r="J769" s="907"/>
      <c r="K769" s="906"/>
      <c r="L769" s="921" t="str">
        <f t="shared" si="41"/>
        <v/>
      </c>
      <c r="M769" s="155" t="str">
        <f t="shared" si="42"/>
        <v/>
      </c>
      <c r="T769" s="75"/>
      <c r="U769" s="75"/>
      <c r="V769" s="75"/>
      <c r="W769" s="75"/>
      <c r="X769" s="75"/>
      <c r="Y769" s="340"/>
      <c r="Z769" s="341"/>
      <c r="AA769" s="341"/>
      <c r="AB769" s="341"/>
      <c r="AC769" s="340"/>
      <c r="AD769" s="75"/>
      <c r="AE769" s="75"/>
      <c r="AG769" s="344"/>
      <c r="AH769" s="344"/>
      <c r="AI769" s="344"/>
      <c r="AJ769" s="97"/>
      <c r="AK769" s="4"/>
    </row>
    <row r="770" spans="2:37" s="113" customFormat="1" x14ac:dyDescent="0.4">
      <c r="B770" s="80"/>
      <c r="C770" s="563">
        <v>357</v>
      </c>
      <c r="D770" s="907"/>
      <c r="E770" s="906"/>
      <c r="F770" s="921" t="str">
        <f t="shared" si="40"/>
        <v/>
      </c>
      <c r="G770" s="882" t="str">
        <f t="shared" si="43"/>
        <v/>
      </c>
      <c r="H770" s="919"/>
      <c r="I770" s="922">
        <v>1798</v>
      </c>
      <c r="J770" s="907"/>
      <c r="K770" s="906"/>
      <c r="L770" s="921" t="str">
        <f t="shared" si="41"/>
        <v/>
      </c>
      <c r="M770" s="155" t="str">
        <f t="shared" si="42"/>
        <v/>
      </c>
      <c r="T770" s="75"/>
      <c r="U770" s="75"/>
      <c r="V770" s="75"/>
      <c r="W770" s="75"/>
      <c r="X770" s="75"/>
      <c r="Y770" s="340"/>
      <c r="Z770" s="341"/>
      <c r="AA770" s="341"/>
      <c r="AB770" s="341"/>
      <c r="AC770" s="340"/>
      <c r="AD770" s="75"/>
      <c r="AE770" s="75"/>
      <c r="AG770" s="344"/>
      <c r="AH770" s="344"/>
      <c r="AI770" s="344"/>
      <c r="AJ770" s="97"/>
      <c r="AK770" s="4"/>
    </row>
    <row r="771" spans="2:37" s="113" customFormat="1" x14ac:dyDescent="0.4">
      <c r="B771" s="80"/>
      <c r="C771" s="563">
        <v>358</v>
      </c>
      <c r="D771" s="907"/>
      <c r="E771" s="906"/>
      <c r="F771" s="921" t="str">
        <f t="shared" si="40"/>
        <v/>
      </c>
      <c r="G771" s="882" t="str">
        <f t="shared" si="43"/>
        <v/>
      </c>
      <c r="H771" s="919"/>
      <c r="I771" s="922">
        <v>1799</v>
      </c>
      <c r="J771" s="907"/>
      <c r="K771" s="906"/>
      <c r="L771" s="921" t="str">
        <f t="shared" si="41"/>
        <v/>
      </c>
      <c r="M771" s="155" t="str">
        <f t="shared" si="42"/>
        <v/>
      </c>
      <c r="T771" s="75"/>
      <c r="U771" s="75"/>
      <c r="V771" s="75"/>
      <c r="W771" s="75"/>
      <c r="X771" s="75"/>
      <c r="Y771" s="340"/>
      <c r="Z771" s="341"/>
      <c r="AA771" s="341"/>
      <c r="AB771" s="341"/>
      <c r="AC771" s="340"/>
      <c r="AD771" s="75"/>
      <c r="AE771" s="75"/>
      <c r="AG771" s="344"/>
      <c r="AH771" s="344"/>
      <c r="AI771" s="344"/>
      <c r="AJ771" s="97"/>
      <c r="AK771" s="4"/>
    </row>
    <row r="772" spans="2:37" s="113" customFormat="1" x14ac:dyDescent="0.4">
      <c r="B772" s="80"/>
      <c r="C772" s="563">
        <v>359</v>
      </c>
      <c r="D772" s="907"/>
      <c r="E772" s="906"/>
      <c r="F772" s="921" t="str">
        <f t="shared" si="40"/>
        <v/>
      </c>
      <c r="G772" s="882" t="str">
        <f t="shared" si="43"/>
        <v/>
      </c>
      <c r="H772" s="919"/>
      <c r="I772" s="922">
        <v>1800</v>
      </c>
      <c r="J772" s="907"/>
      <c r="K772" s="906"/>
      <c r="L772" s="921" t="str">
        <f t="shared" si="41"/>
        <v/>
      </c>
      <c r="M772" s="155" t="str">
        <f t="shared" si="42"/>
        <v/>
      </c>
      <c r="T772" s="75"/>
      <c r="U772" s="75"/>
      <c r="V772" s="75"/>
      <c r="W772" s="75"/>
      <c r="X772" s="75"/>
      <c r="Y772" s="340"/>
      <c r="Z772" s="341"/>
      <c r="AA772" s="341"/>
      <c r="AB772" s="341"/>
      <c r="AC772" s="340"/>
      <c r="AD772" s="75"/>
      <c r="AE772" s="75"/>
      <c r="AG772" s="344"/>
      <c r="AH772" s="344"/>
      <c r="AI772" s="344"/>
      <c r="AJ772" s="97"/>
      <c r="AK772" s="4"/>
    </row>
    <row r="773" spans="2:37" s="113" customFormat="1" x14ac:dyDescent="0.4">
      <c r="B773" s="80"/>
      <c r="C773" s="563">
        <v>360</v>
      </c>
      <c r="D773" s="907"/>
      <c r="E773" s="906"/>
      <c r="F773" s="921" t="str">
        <f t="shared" si="40"/>
        <v/>
      </c>
      <c r="G773" s="882" t="str">
        <f t="shared" si="43"/>
        <v/>
      </c>
      <c r="H773" s="919"/>
      <c r="I773" s="922">
        <v>1801</v>
      </c>
      <c r="J773" s="907"/>
      <c r="K773" s="906"/>
      <c r="L773" s="921" t="str">
        <f t="shared" si="41"/>
        <v/>
      </c>
      <c r="M773" s="155" t="str">
        <f t="shared" si="42"/>
        <v/>
      </c>
      <c r="T773" s="75"/>
      <c r="U773" s="75"/>
      <c r="V773" s="75"/>
      <c r="W773" s="75"/>
      <c r="X773" s="75"/>
      <c r="Y773" s="340"/>
      <c r="Z773" s="341"/>
      <c r="AA773" s="341"/>
      <c r="AB773" s="341"/>
      <c r="AC773" s="340"/>
      <c r="AD773" s="75"/>
      <c r="AE773" s="75"/>
      <c r="AG773" s="344"/>
      <c r="AH773" s="344"/>
      <c r="AI773" s="344"/>
      <c r="AJ773" s="97"/>
      <c r="AK773" s="4"/>
    </row>
    <row r="774" spans="2:37" s="113" customFormat="1" x14ac:dyDescent="0.4">
      <c r="B774" s="80"/>
      <c r="C774" s="563">
        <v>361</v>
      </c>
      <c r="D774" s="907"/>
      <c r="E774" s="906"/>
      <c r="F774" s="921" t="str">
        <f t="shared" si="40"/>
        <v/>
      </c>
      <c r="G774" s="882" t="str">
        <f t="shared" si="43"/>
        <v/>
      </c>
      <c r="H774" s="919"/>
      <c r="I774" s="922">
        <v>1802</v>
      </c>
      <c r="J774" s="907"/>
      <c r="K774" s="906"/>
      <c r="L774" s="921" t="str">
        <f t="shared" si="41"/>
        <v/>
      </c>
      <c r="M774" s="155" t="str">
        <f t="shared" si="42"/>
        <v/>
      </c>
      <c r="T774" s="75"/>
      <c r="U774" s="75"/>
      <c r="V774" s="75"/>
      <c r="W774" s="75"/>
      <c r="X774" s="75"/>
      <c r="Y774" s="340"/>
      <c r="Z774" s="341"/>
      <c r="AA774" s="341"/>
      <c r="AB774" s="341"/>
      <c r="AC774" s="340"/>
      <c r="AD774" s="75"/>
      <c r="AE774" s="75"/>
      <c r="AG774" s="344"/>
      <c r="AH774" s="344"/>
      <c r="AI774" s="344"/>
      <c r="AJ774" s="97"/>
      <c r="AK774" s="4"/>
    </row>
    <row r="775" spans="2:37" s="113" customFormat="1" x14ac:dyDescent="0.4">
      <c r="B775" s="80"/>
      <c r="C775" s="563">
        <v>362</v>
      </c>
      <c r="D775" s="907"/>
      <c r="E775" s="906"/>
      <c r="F775" s="921" t="str">
        <f t="shared" si="40"/>
        <v/>
      </c>
      <c r="G775" s="882" t="str">
        <f t="shared" si="43"/>
        <v/>
      </c>
      <c r="H775" s="919"/>
      <c r="I775" s="922">
        <v>1803</v>
      </c>
      <c r="J775" s="907"/>
      <c r="K775" s="906"/>
      <c r="L775" s="921" t="str">
        <f t="shared" si="41"/>
        <v/>
      </c>
      <c r="M775" s="155" t="str">
        <f t="shared" si="42"/>
        <v/>
      </c>
      <c r="T775" s="75"/>
      <c r="U775" s="75"/>
      <c r="V775" s="75"/>
      <c r="W775" s="75"/>
      <c r="X775" s="75"/>
      <c r="Y775" s="340"/>
      <c r="Z775" s="341"/>
      <c r="AA775" s="341"/>
      <c r="AB775" s="341"/>
      <c r="AC775" s="340"/>
      <c r="AD775" s="75"/>
      <c r="AE775" s="75"/>
      <c r="AG775" s="344"/>
      <c r="AH775" s="344"/>
      <c r="AI775" s="344"/>
      <c r="AJ775" s="97"/>
      <c r="AK775" s="4"/>
    </row>
    <row r="776" spans="2:37" s="113" customFormat="1" x14ac:dyDescent="0.4">
      <c r="B776" s="80"/>
      <c r="C776" s="563">
        <v>363</v>
      </c>
      <c r="D776" s="907"/>
      <c r="E776" s="906"/>
      <c r="F776" s="921" t="str">
        <f t="shared" si="40"/>
        <v/>
      </c>
      <c r="G776" s="882" t="str">
        <f t="shared" si="43"/>
        <v/>
      </c>
      <c r="H776" s="919"/>
      <c r="I776" s="922">
        <v>1804</v>
      </c>
      <c r="J776" s="907"/>
      <c r="K776" s="906"/>
      <c r="L776" s="921" t="str">
        <f t="shared" si="41"/>
        <v/>
      </c>
      <c r="M776" s="155" t="str">
        <f t="shared" si="42"/>
        <v/>
      </c>
      <c r="T776" s="75"/>
      <c r="U776" s="75"/>
      <c r="V776" s="75"/>
      <c r="W776" s="75"/>
      <c r="X776" s="75"/>
      <c r="Y776" s="340"/>
      <c r="Z776" s="341"/>
      <c r="AA776" s="341"/>
      <c r="AB776" s="341"/>
      <c r="AC776" s="340"/>
      <c r="AD776" s="75"/>
      <c r="AE776" s="75"/>
      <c r="AG776" s="344"/>
      <c r="AH776" s="344"/>
      <c r="AI776" s="344"/>
      <c r="AJ776" s="97"/>
      <c r="AK776" s="4"/>
    </row>
    <row r="777" spans="2:37" s="113" customFormat="1" x14ac:dyDescent="0.4">
      <c r="B777" s="80"/>
      <c r="C777" s="563">
        <v>364</v>
      </c>
      <c r="D777" s="907"/>
      <c r="E777" s="906"/>
      <c r="F777" s="921" t="str">
        <f t="shared" si="40"/>
        <v/>
      </c>
      <c r="G777" s="882" t="str">
        <f t="shared" si="43"/>
        <v/>
      </c>
      <c r="H777" s="919"/>
      <c r="I777" s="922">
        <v>1805</v>
      </c>
      <c r="J777" s="907"/>
      <c r="K777" s="906"/>
      <c r="L777" s="921" t="str">
        <f t="shared" si="41"/>
        <v/>
      </c>
      <c r="M777" s="155" t="str">
        <f t="shared" si="42"/>
        <v/>
      </c>
      <c r="T777" s="75"/>
      <c r="U777" s="75"/>
      <c r="V777" s="75"/>
      <c r="W777" s="75"/>
      <c r="X777" s="75"/>
      <c r="Y777" s="340"/>
      <c r="Z777" s="341"/>
      <c r="AA777" s="341"/>
      <c r="AB777" s="341"/>
      <c r="AC777" s="340"/>
      <c r="AD777" s="75"/>
      <c r="AE777" s="75"/>
      <c r="AG777" s="344"/>
      <c r="AH777" s="344"/>
      <c r="AI777" s="344"/>
      <c r="AJ777" s="97"/>
      <c r="AK777" s="4"/>
    </row>
    <row r="778" spans="2:37" s="113" customFormat="1" x14ac:dyDescent="0.4">
      <c r="B778" s="80"/>
      <c r="C778" s="563">
        <v>365</v>
      </c>
      <c r="D778" s="907"/>
      <c r="E778" s="906"/>
      <c r="F778" s="921" t="str">
        <f t="shared" si="40"/>
        <v/>
      </c>
      <c r="G778" s="882" t="str">
        <f t="shared" si="43"/>
        <v/>
      </c>
      <c r="H778" s="919"/>
      <c r="I778" s="922">
        <v>1806</v>
      </c>
      <c r="J778" s="907"/>
      <c r="K778" s="906"/>
      <c r="L778" s="921" t="str">
        <f t="shared" si="41"/>
        <v/>
      </c>
      <c r="M778" s="155" t="str">
        <f t="shared" si="42"/>
        <v/>
      </c>
      <c r="T778" s="75"/>
      <c r="U778" s="75"/>
      <c r="V778" s="75"/>
      <c r="W778" s="75"/>
      <c r="X778" s="75"/>
      <c r="Y778" s="340"/>
      <c r="Z778" s="341"/>
      <c r="AA778" s="341"/>
      <c r="AB778" s="341"/>
      <c r="AC778" s="340"/>
      <c r="AD778" s="75"/>
      <c r="AE778" s="75"/>
      <c r="AG778" s="344"/>
      <c r="AH778" s="344"/>
      <c r="AI778" s="344"/>
      <c r="AJ778" s="97"/>
      <c r="AK778" s="4"/>
    </row>
    <row r="779" spans="2:37" s="113" customFormat="1" x14ac:dyDescent="0.4">
      <c r="B779" s="80"/>
      <c r="C779" s="563">
        <v>366</v>
      </c>
      <c r="D779" s="907"/>
      <c r="E779" s="906"/>
      <c r="F779" s="921" t="str">
        <f t="shared" si="40"/>
        <v/>
      </c>
      <c r="G779" s="882" t="str">
        <f t="shared" si="43"/>
        <v/>
      </c>
      <c r="H779" s="919"/>
      <c r="I779" s="922">
        <v>1807</v>
      </c>
      <c r="J779" s="907"/>
      <c r="K779" s="906"/>
      <c r="L779" s="921" t="str">
        <f t="shared" si="41"/>
        <v/>
      </c>
      <c r="M779" s="155" t="str">
        <f t="shared" si="42"/>
        <v/>
      </c>
      <c r="T779" s="75"/>
      <c r="U779" s="75"/>
      <c r="V779" s="75"/>
      <c r="W779" s="75"/>
      <c r="X779" s="75"/>
      <c r="Y779" s="340"/>
      <c r="Z779" s="341"/>
      <c r="AA779" s="341"/>
      <c r="AB779" s="341"/>
      <c r="AC779" s="340"/>
      <c r="AD779" s="75"/>
      <c r="AE779" s="75"/>
      <c r="AG779" s="344"/>
      <c r="AH779" s="344"/>
      <c r="AI779" s="344"/>
      <c r="AJ779" s="97"/>
      <c r="AK779" s="4"/>
    </row>
    <row r="780" spans="2:37" s="113" customFormat="1" x14ac:dyDescent="0.4">
      <c r="B780" s="80"/>
      <c r="C780" s="563">
        <v>367</v>
      </c>
      <c r="D780" s="907"/>
      <c r="E780" s="906"/>
      <c r="F780" s="921" t="str">
        <f t="shared" si="40"/>
        <v/>
      </c>
      <c r="G780" s="882" t="str">
        <f t="shared" si="43"/>
        <v/>
      </c>
      <c r="H780" s="919"/>
      <c r="I780" s="922">
        <v>1808</v>
      </c>
      <c r="J780" s="907"/>
      <c r="K780" s="906"/>
      <c r="L780" s="921" t="str">
        <f t="shared" si="41"/>
        <v/>
      </c>
      <c r="M780" s="155" t="str">
        <f t="shared" si="42"/>
        <v/>
      </c>
      <c r="T780" s="75"/>
      <c r="U780" s="75"/>
      <c r="V780" s="75"/>
      <c r="W780" s="75"/>
      <c r="X780" s="75"/>
      <c r="Y780" s="340"/>
      <c r="Z780" s="341"/>
      <c r="AA780" s="341"/>
      <c r="AB780" s="341"/>
      <c r="AC780" s="340"/>
      <c r="AD780" s="75"/>
      <c r="AE780" s="75"/>
      <c r="AG780" s="344"/>
      <c r="AH780" s="344"/>
      <c r="AI780" s="344"/>
      <c r="AJ780" s="97"/>
      <c r="AK780" s="4"/>
    </row>
    <row r="781" spans="2:37" s="113" customFormat="1" x14ac:dyDescent="0.4">
      <c r="B781" s="80"/>
      <c r="C781" s="563">
        <v>368</v>
      </c>
      <c r="D781" s="907"/>
      <c r="E781" s="906"/>
      <c r="F781" s="921" t="str">
        <f t="shared" si="40"/>
        <v/>
      </c>
      <c r="G781" s="882" t="str">
        <f t="shared" si="43"/>
        <v/>
      </c>
      <c r="H781" s="919"/>
      <c r="I781" s="922">
        <v>1809</v>
      </c>
      <c r="J781" s="907"/>
      <c r="K781" s="906"/>
      <c r="L781" s="921" t="str">
        <f t="shared" si="41"/>
        <v/>
      </c>
      <c r="M781" s="155" t="str">
        <f t="shared" si="42"/>
        <v/>
      </c>
      <c r="T781" s="75"/>
      <c r="U781" s="75"/>
      <c r="V781" s="75"/>
      <c r="W781" s="75"/>
      <c r="X781" s="75"/>
      <c r="Y781" s="340"/>
      <c r="Z781" s="341"/>
      <c r="AA781" s="341"/>
      <c r="AB781" s="341"/>
      <c r="AC781" s="340"/>
      <c r="AD781" s="75"/>
      <c r="AE781" s="75"/>
      <c r="AG781" s="344"/>
      <c r="AH781" s="344"/>
      <c r="AI781" s="344"/>
      <c r="AJ781" s="97"/>
      <c r="AK781" s="4"/>
    </row>
    <row r="782" spans="2:37" s="113" customFormat="1" x14ac:dyDescent="0.4">
      <c r="B782" s="80"/>
      <c r="C782" s="563">
        <v>369</v>
      </c>
      <c r="D782" s="907"/>
      <c r="E782" s="906"/>
      <c r="F782" s="921" t="str">
        <f t="shared" si="40"/>
        <v/>
      </c>
      <c r="G782" s="882" t="str">
        <f t="shared" si="43"/>
        <v/>
      </c>
      <c r="H782" s="919"/>
      <c r="I782" s="922">
        <v>1810</v>
      </c>
      <c r="J782" s="907"/>
      <c r="K782" s="906"/>
      <c r="L782" s="921" t="str">
        <f t="shared" si="41"/>
        <v/>
      </c>
      <c r="M782" s="155" t="str">
        <f t="shared" si="42"/>
        <v/>
      </c>
      <c r="T782" s="75"/>
      <c r="U782" s="75"/>
      <c r="V782" s="75"/>
      <c r="W782" s="75"/>
      <c r="X782" s="75"/>
      <c r="Y782" s="340"/>
      <c r="Z782" s="341"/>
      <c r="AA782" s="341"/>
      <c r="AB782" s="341"/>
      <c r="AC782" s="340"/>
      <c r="AD782" s="75"/>
      <c r="AE782" s="75"/>
      <c r="AG782" s="344"/>
      <c r="AH782" s="344"/>
      <c r="AI782" s="344"/>
      <c r="AJ782" s="97"/>
      <c r="AK782" s="4"/>
    </row>
    <row r="783" spans="2:37" s="113" customFormat="1" x14ac:dyDescent="0.4">
      <c r="B783" s="80"/>
      <c r="C783" s="563">
        <v>370</v>
      </c>
      <c r="D783" s="907"/>
      <c r="E783" s="906"/>
      <c r="F783" s="921" t="str">
        <f t="shared" si="40"/>
        <v/>
      </c>
      <c r="G783" s="882" t="str">
        <f t="shared" si="43"/>
        <v/>
      </c>
      <c r="H783" s="919"/>
      <c r="I783" s="922">
        <v>1811</v>
      </c>
      <c r="J783" s="907"/>
      <c r="K783" s="906"/>
      <c r="L783" s="921" t="str">
        <f t="shared" si="41"/>
        <v/>
      </c>
      <c r="M783" s="155" t="str">
        <f t="shared" si="42"/>
        <v/>
      </c>
      <c r="T783" s="75"/>
      <c r="U783" s="75"/>
      <c r="V783" s="75"/>
      <c r="W783" s="75"/>
      <c r="X783" s="75"/>
      <c r="Y783" s="340"/>
      <c r="Z783" s="341"/>
      <c r="AA783" s="341"/>
      <c r="AB783" s="341"/>
      <c r="AC783" s="340"/>
      <c r="AD783" s="75"/>
      <c r="AE783" s="75"/>
      <c r="AG783" s="344"/>
      <c r="AH783" s="344"/>
      <c r="AI783" s="344"/>
      <c r="AJ783" s="97"/>
      <c r="AK783" s="4"/>
    </row>
    <row r="784" spans="2:37" s="113" customFormat="1" x14ac:dyDescent="0.4">
      <c r="B784" s="80"/>
      <c r="C784" s="563">
        <v>371</v>
      </c>
      <c r="D784" s="907"/>
      <c r="E784" s="906"/>
      <c r="F784" s="921" t="str">
        <f t="shared" si="40"/>
        <v/>
      </c>
      <c r="G784" s="882" t="str">
        <f t="shared" si="43"/>
        <v/>
      </c>
      <c r="H784" s="919"/>
      <c r="I784" s="922">
        <v>1812</v>
      </c>
      <c r="J784" s="907"/>
      <c r="K784" s="906"/>
      <c r="L784" s="921" t="str">
        <f t="shared" si="41"/>
        <v/>
      </c>
      <c r="M784" s="155" t="str">
        <f t="shared" si="42"/>
        <v/>
      </c>
      <c r="T784" s="75"/>
      <c r="U784" s="75"/>
      <c r="V784" s="75"/>
      <c r="W784" s="75"/>
      <c r="X784" s="75"/>
      <c r="Y784" s="340"/>
      <c r="Z784" s="341"/>
      <c r="AA784" s="341"/>
      <c r="AB784" s="341"/>
      <c r="AC784" s="340"/>
      <c r="AD784" s="75"/>
      <c r="AE784" s="75"/>
      <c r="AG784" s="344"/>
      <c r="AH784" s="344"/>
      <c r="AI784" s="344"/>
      <c r="AJ784" s="97"/>
      <c r="AK784" s="4"/>
    </row>
    <row r="785" spans="2:37" s="113" customFormat="1" x14ac:dyDescent="0.4">
      <c r="B785" s="80"/>
      <c r="C785" s="563">
        <v>372</v>
      </c>
      <c r="D785" s="907"/>
      <c r="E785" s="906"/>
      <c r="F785" s="921" t="str">
        <f t="shared" si="40"/>
        <v/>
      </c>
      <c r="G785" s="882" t="str">
        <f t="shared" si="43"/>
        <v/>
      </c>
      <c r="H785" s="919"/>
      <c r="I785" s="922">
        <v>1813</v>
      </c>
      <c r="J785" s="907"/>
      <c r="K785" s="906"/>
      <c r="L785" s="921" t="str">
        <f t="shared" si="41"/>
        <v/>
      </c>
      <c r="M785" s="155" t="str">
        <f t="shared" si="42"/>
        <v/>
      </c>
      <c r="T785" s="75"/>
      <c r="U785" s="75"/>
      <c r="V785" s="75"/>
      <c r="W785" s="75"/>
      <c r="X785" s="75"/>
      <c r="Y785" s="340"/>
      <c r="Z785" s="341"/>
      <c r="AA785" s="341"/>
      <c r="AB785" s="341"/>
      <c r="AC785" s="340"/>
      <c r="AD785" s="75"/>
      <c r="AE785" s="75"/>
      <c r="AG785" s="344"/>
      <c r="AH785" s="344"/>
      <c r="AI785" s="344"/>
      <c r="AJ785" s="97"/>
      <c r="AK785" s="4"/>
    </row>
    <row r="786" spans="2:37" s="113" customFormat="1" x14ac:dyDescent="0.4">
      <c r="B786" s="80"/>
      <c r="C786" s="563">
        <v>373</v>
      </c>
      <c r="D786" s="907"/>
      <c r="E786" s="906"/>
      <c r="F786" s="921" t="str">
        <f t="shared" si="40"/>
        <v/>
      </c>
      <c r="G786" s="882" t="str">
        <f t="shared" si="43"/>
        <v/>
      </c>
      <c r="H786" s="919"/>
      <c r="I786" s="922">
        <v>1814</v>
      </c>
      <c r="J786" s="907"/>
      <c r="K786" s="906"/>
      <c r="L786" s="921" t="str">
        <f t="shared" si="41"/>
        <v/>
      </c>
      <c r="M786" s="155" t="str">
        <f t="shared" si="42"/>
        <v/>
      </c>
      <c r="T786" s="75"/>
      <c r="U786" s="75"/>
      <c r="V786" s="75"/>
      <c r="W786" s="75"/>
      <c r="X786" s="75"/>
      <c r="Y786" s="340"/>
      <c r="Z786" s="341"/>
      <c r="AA786" s="341"/>
      <c r="AB786" s="341"/>
      <c r="AC786" s="340"/>
      <c r="AD786" s="75"/>
      <c r="AE786" s="75"/>
      <c r="AG786" s="344"/>
      <c r="AH786" s="344"/>
      <c r="AI786" s="344"/>
      <c r="AJ786" s="97"/>
      <c r="AK786" s="4"/>
    </row>
    <row r="787" spans="2:37" s="113" customFormat="1" x14ac:dyDescent="0.4">
      <c r="B787" s="80"/>
      <c r="C787" s="563">
        <v>374</v>
      </c>
      <c r="D787" s="907"/>
      <c r="E787" s="906"/>
      <c r="F787" s="921" t="str">
        <f t="shared" si="40"/>
        <v/>
      </c>
      <c r="G787" s="882" t="str">
        <f t="shared" si="43"/>
        <v/>
      </c>
      <c r="H787" s="919"/>
      <c r="I787" s="922">
        <v>1815</v>
      </c>
      <c r="J787" s="907"/>
      <c r="K787" s="906"/>
      <c r="L787" s="921" t="str">
        <f t="shared" si="41"/>
        <v/>
      </c>
      <c r="M787" s="155" t="str">
        <f t="shared" si="42"/>
        <v/>
      </c>
      <c r="T787" s="75"/>
      <c r="U787" s="75"/>
      <c r="V787" s="75"/>
      <c r="W787" s="75"/>
      <c r="X787" s="75"/>
      <c r="Y787" s="340"/>
      <c r="Z787" s="341"/>
      <c r="AA787" s="341"/>
      <c r="AB787" s="341"/>
      <c r="AC787" s="340"/>
      <c r="AD787" s="75"/>
      <c r="AE787" s="75"/>
      <c r="AG787" s="344"/>
      <c r="AH787" s="344"/>
      <c r="AI787" s="344"/>
      <c r="AJ787" s="97"/>
      <c r="AK787" s="4"/>
    </row>
    <row r="788" spans="2:37" s="113" customFormat="1" x14ac:dyDescent="0.4">
      <c r="B788" s="80"/>
      <c r="C788" s="563">
        <v>375</v>
      </c>
      <c r="D788" s="907"/>
      <c r="E788" s="906"/>
      <c r="F788" s="921" t="str">
        <f t="shared" si="40"/>
        <v/>
      </c>
      <c r="G788" s="882" t="str">
        <f t="shared" si="43"/>
        <v/>
      </c>
      <c r="H788" s="919"/>
      <c r="I788" s="922">
        <v>1816</v>
      </c>
      <c r="J788" s="907"/>
      <c r="K788" s="906"/>
      <c r="L788" s="921" t="str">
        <f t="shared" si="41"/>
        <v/>
      </c>
      <c r="M788" s="155" t="str">
        <f t="shared" si="42"/>
        <v/>
      </c>
      <c r="T788" s="75"/>
      <c r="U788" s="75"/>
      <c r="V788" s="75"/>
      <c r="W788" s="75"/>
      <c r="X788" s="75"/>
      <c r="Y788" s="340"/>
      <c r="Z788" s="341"/>
      <c r="AA788" s="341"/>
      <c r="AB788" s="341"/>
      <c r="AC788" s="340"/>
      <c r="AD788" s="75"/>
      <c r="AE788" s="75"/>
      <c r="AG788" s="344"/>
      <c r="AH788" s="344"/>
      <c r="AI788" s="344"/>
      <c r="AJ788" s="97"/>
      <c r="AK788" s="4"/>
    </row>
    <row r="789" spans="2:37" s="113" customFormat="1" x14ac:dyDescent="0.4">
      <c r="B789" s="80"/>
      <c r="C789" s="563">
        <v>376</v>
      </c>
      <c r="D789" s="907"/>
      <c r="E789" s="906"/>
      <c r="F789" s="921" t="str">
        <f t="shared" si="40"/>
        <v/>
      </c>
      <c r="G789" s="882" t="str">
        <f t="shared" si="43"/>
        <v/>
      </c>
      <c r="H789" s="919"/>
      <c r="I789" s="922">
        <v>1817</v>
      </c>
      <c r="J789" s="907"/>
      <c r="K789" s="906"/>
      <c r="L789" s="921" t="str">
        <f t="shared" si="41"/>
        <v/>
      </c>
      <c r="M789" s="155" t="str">
        <f t="shared" si="42"/>
        <v/>
      </c>
      <c r="T789" s="75"/>
      <c r="U789" s="75"/>
      <c r="V789" s="75"/>
      <c r="W789" s="75"/>
      <c r="X789" s="75"/>
      <c r="Y789" s="340"/>
      <c r="Z789" s="341"/>
      <c r="AA789" s="341"/>
      <c r="AB789" s="341"/>
      <c r="AC789" s="340"/>
      <c r="AD789" s="75"/>
      <c r="AE789" s="75"/>
      <c r="AG789" s="344"/>
      <c r="AH789" s="344"/>
      <c r="AI789" s="344"/>
      <c r="AJ789" s="97"/>
      <c r="AK789" s="4"/>
    </row>
    <row r="790" spans="2:37" s="113" customFormat="1" x14ac:dyDescent="0.4">
      <c r="B790" s="80"/>
      <c r="C790" s="563">
        <v>377</v>
      </c>
      <c r="D790" s="907"/>
      <c r="E790" s="906"/>
      <c r="F790" s="921" t="str">
        <f t="shared" si="40"/>
        <v/>
      </c>
      <c r="G790" s="882" t="str">
        <f t="shared" si="43"/>
        <v/>
      </c>
      <c r="H790" s="919"/>
      <c r="I790" s="922">
        <v>1818</v>
      </c>
      <c r="J790" s="907"/>
      <c r="K790" s="906"/>
      <c r="L790" s="921" t="str">
        <f t="shared" si="41"/>
        <v/>
      </c>
      <c r="M790" s="155" t="str">
        <f t="shared" si="42"/>
        <v/>
      </c>
      <c r="T790" s="75"/>
      <c r="U790" s="75"/>
      <c r="V790" s="75"/>
      <c r="W790" s="75"/>
      <c r="X790" s="75"/>
      <c r="Y790" s="340"/>
      <c r="Z790" s="341"/>
      <c r="AA790" s="341"/>
      <c r="AB790" s="341"/>
      <c r="AC790" s="340"/>
      <c r="AD790" s="75"/>
      <c r="AE790" s="75"/>
      <c r="AG790" s="344"/>
      <c r="AH790" s="344"/>
      <c r="AI790" s="344"/>
      <c r="AJ790" s="97"/>
      <c r="AK790" s="4"/>
    </row>
    <row r="791" spans="2:37" s="113" customFormat="1" x14ac:dyDescent="0.4">
      <c r="B791" s="80"/>
      <c r="C791" s="563">
        <v>378</v>
      </c>
      <c r="D791" s="907"/>
      <c r="E791" s="906"/>
      <c r="F791" s="921" t="str">
        <f t="shared" si="40"/>
        <v/>
      </c>
      <c r="G791" s="882" t="str">
        <f t="shared" si="43"/>
        <v/>
      </c>
      <c r="H791" s="919"/>
      <c r="I791" s="922">
        <v>1819</v>
      </c>
      <c r="J791" s="907"/>
      <c r="K791" s="906"/>
      <c r="L791" s="921" t="str">
        <f t="shared" si="41"/>
        <v/>
      </c>
      <c r="M791" s="155" t="str">
        <f t="shared" si="42"/>
        <v/>
      </c>
      <c r="T791" s="75"/>
      <c r="U791" s="75"/>
      <c r="V791" s="75"/>
      <c r="W791" s="75"/>
      <c r="X791" s="75"/>
      <c r="Y791" s="340"/>
      <c r="Z791" s="341"/>
      <c r="AA791" s="341"/>
      <c r="AB791" s="341"/>
      <c r="AC791" s="340"/>
      <c r="AD791" s="75"/>
      <c r="AE791" s="75"/>
      <c r="AG791" s="344"/>
      <c r="AH791" s="344"/>
      <c r="AI791" s="344"/>
      <c r="AJ791" s="97"/>
      <c r="AK791" s="4"/>
    </row>
    <row r="792" spans="2:37" s="113" customFormat="1" x14ac:dyDescent="0.4">
      <c r="B792" s="80"/>
      <c r="C792" s="563">
        <v>379</v>
      </c>
      <c r="D792" s="907"/>
      <c r="E792" s="906"/>
      <c r="F792" s="921" t="str">
        <f t="shared" si="40"/>
        <v/>
      </c>
      <c r="G792" s="882" t="str">
        <f t="shared" si="43"/>
        <v/>
      </c>
      <c r="H792" s="919"/>
      <c r="I792" s="922">
        <v>1820</v>
      </c>
      <c r="J792" s="907"/>
      <c r="K792" s="906"/>
      <c r="L792" s="921" t="str">
        <f t="shared" si="41"/>
        <v/>
      </c>
      <c r="M792" s="155" t="str">
        <f t="shared" si="42"/>
        <v/>
      </c>
      <c r="T792" s="75"/>
      <c r="U792" s="75"/>
      <c r="V792" s="75"/>
      <c r="W792" s="75"/>
      <c r="X792" s="75"/>
      <c r="Y792" s="340"/>
      <c r="Z792" s="341"/>
      <c r="AA792" s="341"/>
      <c r="AB792" s="341"/>
      <c r="AC792" s="340"/>
      <c r="AD792" s="75"/>
      <c r="AE792" s="75"/>
      <c r="AG792" s="344"/>
      <c r="AH792" s="344"/>
      <c r="AI792" s="344"/>
      <c r="AJ792" s="97"/>
      <c r="AK792" s="4"/>
    </row>
    <row r="793" spans="2:37" s="113" customFormat="1" x14ac:dyDescent="0.4">
      <c r="B793" s="80"/>
      <c r="C793" s="563">
        <v>380</v>
      </c>
      <c r="D793" s="907"/>
      <c r="E793" s="906"/>
      <c r="F793" s="921" t="str">
        <f t="shared" si="40"/>
        <v/>
      </c>
      <c r="G793" s="882" t="str">
        <f t="shared" si="43"/>
        <v/>
      </c>
      <c r="H793" s="919"/>
      <c r="I793" s="922">
        <v>1821</v>
      </c>
      <c r="J793" s="907"/>
      <c r="K793" s="906"/>
      <c r="L793" s="921" t="str">
        <f t="shared" si="41"/>
        <v/>
      </c>
      <c r="M793" s="155" t="str">
        <f t="shared" si="42"/>
        <v/>
      </c>
      <c r="T793" s="75"/>
      <c r="U793" s="75"/>
      <c r="V793" s="75"/>
      <c r="W793" s="75"/>
      <c r="X793" s="75"/>
      <c r="Y793" s="340"/>
      <c r="Z793" s="341"/>
      <c r="AA793" s="341"/>
      <c r="AB793" s="341"/>
      <c r="AC793" s="340"/>
      <c r="AD793" s="75"/>
      <c r="AE793" s="75"/>
      <c r="AG793" s="344"/>
      <c r="AH793" s="344"/>
      <c r="AI793" s="344"/>
      <c r="AJ793" s="97"/>
      <c r="AK793" s="4"/>
    </row>
    <row r="794" spans="2:37" s="113" customFormat="1" x14ac:dyDescent="0.4">
      <c r="B794" s="80"/>
      <c r="C794" s="563">
        <v>381</v>
      </c>
      <c r="D794" s="907"/>
      <c r="E794" s="906"/>
      <c r="F794" s="921" t="str">
        <f t="shared" si="40"/>
        <v/>
      </c>
      <c r="G794" s="882" t="str">
        <f t="shared" si="43"/>
        <v/>
      </c>
      <c r="H794" s="919"/>
      <c r="I794" s="922">
        <v>1822</v>
      </c>
      <c r="J794" s="907"/>
      <c r="K794" s="906"/>
      <c r="L794" s="921" t="str">
        <f t="shared" si="41"/>
        <v/>
      </c>
      <c r="M794" s="155" t="str">
        <f t="shared" si="42"/>
        <v/>
      </c>
      <c r="T794" s="75"/>
      <c r="U794" s="75"/>
      <c r="V794" s="75"/>
      <c r="W794" s="75"/>
      <c r="X794" s="75"/>
      <c r="Y794" s="340"/>
      <c r="Z794" s="341"/>
      <c r="AA794" s="341"/>
      <c r="AB794" s="341"/>
      <c r="AC794" s="340"/>
      <c r="AD794" s="75"/>
      <c r="AE794" s="75"/>
      <c r="AG794" s="344"/>
      <c r="AH794" s="344"/>
      <c r="AI794" s="344"/>
      <c r="AJ794" s="97"/>
      <c r="AK794" s="4"/>
    </row>
    <row r="795" spans="2:37" s="113" customFormat="1" x14ac:dyDescent="0.4">
      <c r="B795" s="80"/>
      <c r="C795" s="563">
        <v>382</v>
      </c>
      <c r="D795" s="907"/>
      <c r="E795" s="906"/>
      <c r="F795" s="921" t="str">
        <f t="shared" si="40"/>
        <v/>
      </c>
      <c r="G795" s="882" t="str">
        <f t="shared" si="43"/>
        <v/>
      </c>
      <c r="H795" s="919"/>
      <c r="I795" s="922">
        <v>1823</v>
      </c>
      <c r="J795" s="907"/>
      <c r="K795" s="906"/>
      <c r="L795" s="921" t="str">
        <f t="shared" si="41"/>
        <v/>
      </c>
      <c r="M795" s="155" t="str">
        <f t="shared" si="42"/>
        <v/>
      </c>
      <c r="T795" s="75"/>
      <c r="U795" s="75"/>
      <c r="V795" s="75"/>
      <c r="W795" s="75"/>
      <c r="X795" s="75"/>
      <c r="Y795" s="340"/>
      <c r="Z795" s="341"/>
      <c r="AA795" s="341"/>
      <c r="AB795" s="341"/>
      <c r="AC795" s="340"/>
      <c r="AD795" s="75"/>
      <c r="AE795" s="75"/>
      <c r="AG795" s="344"/>
      <c r="AH795" s="344"/>
      <c r="AI795" s="344"/>
      <c r="AJ795" s="97"/>
      <c r="AK795" s="4"/>
    </row>
    <row r="796" spans="2:37" s="113" customFormat="1" x14ac:dyDescent="0.4">
      <c r="B796" s="80"/>
      <c r="C796" s="563">
        <v>383</v>
      </c>
      <c r="D796" s="907"/>
      <c r="E796" s="906"/>
      <c r="F796" s="921" t="str">
        <f t="shared" si="40"/>
        <v/>
      </c>
      <c r="G796" s="882" t="str">
        <f t="shared" si="43"/>
        <v/>
      </c>
      <c r="H796" s="919"/>
      <c r="I796" s="922">
        <v>1824</v>
      </c>
      <c r="J796" s="907"/>
      <c r="K796" s="906"/>
      <c r="L796" s="921" t="str">
        <f t="shared" si="41"/>
        <v/>
      </c>
      <c r="M796" s="155" t="str">
        <f t="shared" si="42"/>
        <v/>
      </c>
      <c r="T796" s="75"/>
      <c r="U796" s="75"/>
      <c r="V796" s="75"/>
      <c r="W796" s="75"/>
      <c r="X796" s="75"/>
      <c r="Y796" s="340"/>
      <c r="Z796" s="341"/>
      <c r="AA796" s="341"/>
      <c r="AB796" s="341"/>
      <c r="AC796" s="340"/>
      <c r="AD796" s="75"/>
      <c r="AE796" s="75"/>
      <c r="AG796" s="344"/>
      <c r="AH796" s="344"/>
      <c r="AI796" s="344"/>
      <c r="AJ796" s="97"/>
      <c r="AK796" s="4"/>
    </row>
    <row r="797" spans="2:37" s="113" customFormat="1" x14ac:dyDescent="0.4">
      <c r="B797" s="80"/>
      <c r="C797" s="563">
        <v>384</v>
      </c>
      <c r="D797" s="907"/>
      <c r="E797" s="906"/>
      <c r="F797" s="921" t="str">
        <f t="shared" si="40"/>
        <v/>
      </c>
      <c r="G797" s="882" t="str">
        <f t="shared" si="43"/>
        <v/>
      </c>
      <c r="H797" s="919"/>
      <c r="I797" s="922">
        <v>1825</v>
      </c>
      <c r="J797" s="907"/>
      <c r="K797" s="906"/>
      <c r="L797" s="921" t="str">
        <f t="shared" si="41"/>
        <v/>
      </c>
      <c r="M797" s="155" t="str">
        <f t="shared" si="42"/>
        <v/>
      </c>
      <c r="T797" s="75"/>
      <c r="U797" s="75"/>
      <c r="V797" s="75"/>
      <c r="W797" s="75"/>
      <c r="X797" s="75"/>
      <c r="Y797" s="340"/>
      <c r="Z797" s="341"/>
      <c r="AA797" s="341"/>
      <c r="AB797" s="341"/>
      <c r="AC797" s="340"/>
      <c r="AD797" s="75"/>
      <c r="AE797" s="75"/>
      <c r="AG797" s="344"/>
      <c r="AH797" s="344"/>
      <c r="AI797" s="344"/>
      <c r="AJ797" s="97"/>
      <c r="AK797" s="4"/>
    </row>
    <row r="798" spans="2:37" s="113" customFormat="1" x14ac:dyDescent="0.4">
      <c r="B798" s="80"/>
      <c r="C798" s="563">
        <v>385</v>
      </c>
      <c r="D798" s="907"/>
      <c r="E798" s="906"/>
      <c r="F798" s="921" t="str">
        <f t="shared" ref="F798:F861" si="44">IF($D$30="","",IF(OR(
AND(C798&gt;=0,C798&lt;=$D$32),
AND(C798&gt;=$E$30,C798&lt;=$E$32),
AND(C798&gt;=$F$30,C798&lt;=$F$32),
AND(C798&gt;=$G$30,C798&lt;=$G$32),
AND(C798&gt;=$H$30,C798&lt;=$H$32),
AND(C798&gt;=$I$30,C798&lt;=$I$32),
AND(C798&gt;=$J$30,C798&lt;=$J$32),
AND(C798&gt;=$K$30,C798&lt;=$K$32),
AND(C798&gt;=$L$30,C798&lt;=$L$32),
AND(C798&gt;=$M$30,C798&lt;=$M$32,$M$32&lt;&gt;""),
AND(C798&gt;=$N$30,C798&lt;=$N$32,$N$32&lt;&gt;""),
AND(C798&gt;=$O$30,C798&lt;=$O$32,$O$32&lt;&gt;""),
AND(C798&gt;=$P$30,C798&lt;=$P$32,$P$32&lt;&gt;""),
AND(C798&gt;=$Q$30,C798&lt;=$Q$32,$Q$32&lt;&gt;"")
),"ON","OFF"))</f>
        <v/>
      </c>
      <c r="G798" s="882" t="str">
        <f t="shared" si="43"/>
        <v/>
      </c>
      <c r="H798" s="919"/>
      <c r="I798" s="922">
        <v>1826</v>
      </c>
      <c r="J798" s="907"/>
      <c r="K798" s="906"/>
      <c r="L798" s="921" t="str">
        <f t="shared" ref="L798:L861" si="45">IF($D$30="","",IF(OR(
AND(I798&gt;=0,I798&lt;=$D$32),
AND(I798&gt;=$E$30,I798&lt;=$E$32),
AND(I798&gt;=$F$30,I798&lt;=$F$32),
AND(I798&gt;=$G$30,I798&lt;=$G$32),
AND(I798&gt;=$H$30,I798&lt;=$H$32),
AND(I798&gt;=$I$30,I798&lt;=$I$32),
AND(I798&gt;=$J$30,I798&lt;=$J$32),
AND(I798&gt;=$K$30,I798&lt;=$K$32),
AND(I798&gt;=$L$30,I798&lt;=$L$32),
AND(I798&gt;=$M$30,I798&lt;=$M$32,$M$32&lt;&gt;""),
AND(I798&gt;=$N$30,I798&lt;=$N$32,$N$32&lt;&gt;""),
AND(I798&gt;=$O$30,I798&lt;=$O$32,$O$32&lt;&gt;""),
AND(I798&gt;=$P$30,I798&lt;=$P$32,$P$32&lt;&gt;""),
AND(I798&gt;=$Q$30,I798&lt;=$Q$32,$Q$32&lt;&gt;"")
),"ON","OFF"))</f>
        <v/>
      </c>
      <c r="M798" s="155" t="str">
        <f t="shared" ref="M798:M861" si="46">IF(OR($D$47="",$D$48=""),"",IF(OR(
AND(I798&gt;=$D$47,I798&lt;=$D$48),
AND(I798&gt;=$E$47,I798&lt;=$E$48),
AND(I798&gt;=$F$47,I798&lt;=$F$48),
AND(I798&gt;=$G$47,I798&lt;=$G$48),
AND(I798&gt;=$H$47,I798&lt;=$H$48),
AND(I798&gt;=$I$47,I798&lt;=$I$48),
AND(I798&gt;=$J$47,I798&lt;=$J$48),
AND(I798&gt;=$K$47,I798&lt;=$K$48),
AND(I798&gt;=$L$47,I798&lt;=$L$48),
AND(I798&gt;=$M$47,I798&lt;=$M$48),
AND(I798&gt;=$N$47,I798&lt;=$N$48),
AND(I798&gt;=$O$47,I798&lt;=$O$48),
AND(I798&gt;=$P$47,I798&lt;=$P$48),
AND(I798&gt;=$Q$47,I798&lt;=$Q$48),
AND(I798&gt;=$R$47,I798&lt;=$R$48),
AND(I798&gt;=$S$47,I798&lt;=$S$48),
AND(I798&gt;=$T$47,I798&lt;=$T$48),
AND(I798&gt;=$U$47,I798&lt;=$U$48),
AND(I798&gt;=$V$47,I798&lt;=$V$48),
AND(I798&gt;=$W$47,I798&lt;=$W$48),
AND(I798&gt;=$X$47,I798&lt;=$X$48),
AND(I798&gt;=$Y$47,I798&lt;=$Y$48),
AND(I798&gt;=$Z$47,I798&lt;=$Z$48),
AND(I798&gt;=$AA$47,I798&lt;=$AA$48),
AND(I798&gt;=$AB$47,I798&lt;=$AB$48),
AND(I798&gt;=$AC$47,I798&lt;=$AC$48),
AND(I798&gt;=$AD$47,I798&lt;=$AD$48),
AND(I798&gt;=$AE$47,I798&lt;=$AE$48),
AND(I798&gt;=$AF$47,I798&lt;=$AF$48),
AND(I798&gt;=$AG$47,I798&lt;=$AG$48)
),"ON","OFF"))</f>
        <v/>
      </c>
      <c r="T798" s="75"/>
      <c r="U798" s="75"/>
      <c r="V798" s="75"/>
      <c r="W798" s="75"/>
      <c r="X798" s="75"/>
      <c r="Y798" s="340"/>
      <c r="Z798" s="341"/>
      <c r="AA798" s="341"/>
      <c r="AB798" s="341"/>
      <c r="AC798" s="340"/>
      <c r="AD798" s="75"/>
      <c r="AE798" s="75"/>
      <c r="AG798" s="344"/>
      <c r="AH798" s="344"/>
      <c r="AI798" s="344"/>
      <c r="AJ798" s="97"/>
      <c r="AK798" s="4"/>
    </row>
    <row r="799" spans="2:37" s="113" customFormat="1" x14ac:dyDescent="0.4">
      <c r="B799" s="80"/>
      <c r="C799" s="563">
        <v>386</v>
      </c>
      <c r="D799" s="907"/>
      <c r="E799" s="906"/>
      <c r="F799" s="921" t="str">
        <f t="shared" si="44"/>
        <v/>
      </c>
      <c r="G799" s="882" t="str">
        <f t="shared" ref="G799:G862" si="47">IF(OR($D$47="",$D$48=""),"",IF(OR(
AND(C799&gt;=$D$47,C799&lt;=$D$48),
AND(C799&gt;=$E$47,C799&lt;=$E$48),
AND(C799&gt;=$F$47,C799&lt;=$F$48),
AND(C799&gt;=$G$47,C799&lt;=$G$48),
AND(C799&gt;=$H$47,C799&lt;=$H$48),
AND(C799&gt;=$I$47,C799&lt;=$I$48),
AND(C799&gt;=$J$47,C799&lt;=$J$48),
AND(C799&gt;=$K$47,C799&lt;=$K$48),
AND(C799&gt;=$L$47,C799&lt;=$L$48),
AND(C799&gt;=$M$47,C799&lt;=$M$48),
AND(C799&gt;=$N$47,C799&lt;=$N$48),
AND(C799&gt;=$O$47,C799&lt;=$O$48),
AND(C799&gt;=$P$47,C799&lt;=$P$48),
AND(C799&gt;=$Q$47,C799&lt;=$Q$48),
AND(C799&gt;=$R$47,C799&lt;=$R$48),
AND(C799&gt;=$S$47,C799&lt;=$S$48),
AND(C799&gt;=$T$47,C799&lt;=$T$48),
AND(C799&gt;=$U$47,C799&lt;=$U$48),
AND(C799&gt;=$V$47,C799&lt;=$V$48),
AND(C799&gt;=$W$47,C799&lt;=$W$48),
AND(C799&gt;=$X$47,C799&lt;=$X$48),
AND(C799&gt;=$Y$47,C799&lt;=$Y$48),
AND(C799&gt;=$Z$47,C799&lt;=$Z$48),
AND(C799&gt;=$AA$47,C799&lt;=$AA$48),
AND(C799&gt;=$AB$47,C799&lt;=$AB$48),
AND(C799&gt;=$AC$47,C799&lt;=$AC$48),
AND(C799&gt;=$AD$47,C799&lt;=$AD$48),
AND(C799&gt;=$AE$47,C799&lt;=$AE$48),
AND(C799&gt;=$AF$47,C799&lt;=$AF$48),
AND(C799&gt;=$AG$47,C799&lt;=$AG$48)
),"ON","OFF"))</f>
        <v/>
      </c>
      <c r="H799" s="919"/>
      <c r="I799" s="922">
        <v>1827</v>
      </c>
      <c r="J799" s="907"/>
      <c r="K799" s="906"/>
      <c r="L799" s="921" t="str">
        <f t="shared" si="45"/>
        <v/>
      </c>
      <c r="M799" s="155" t="str">
        <f t="shared" si="46"/>
        <v/>
      </c>
      <c r="T799" s="75"/>
      <c r="U799" s="75"/>
      <c r="V799" s="75"/>
      <c r="W799" s="75"/>
      <c r="X799" s="75"/>
      <c r="Y799" s="340"/>
      <c r="Z799" s="341"/>
      <c r="AA799" s="341"/>
      <c r="AB799" s="341"/>
      <c r="AC799" s="340"/>
      <c r="AD799" s="75"/>
      <c r="AE799" s="75"/>
      <c r="AG799" s="344"/>
      <c r="AH799" s="344"/>
      <c r="AI799" s="344"/>
      <c r="AJ799" s="97"/>
      <c r="AK799" s="4"/>
    </row>
    <row r="800" spans="2:37" s="113" customFormat="1" x14ac:dyDescent="0.4">
      <c r="B800" s="80"/>
      <c r="C800" s="563">
        <v>387</v>
      </c>
      <c r="D800" s="907"/>
      <c r="E800" s="906"/>
      <c r="F800" s="921" t="str">
        <f t="shared" si="44"/>
        <v/>
      </c>
      <c r="G800" s="882" t="str">
        <f t="shared" si="47"/>
        <v/>
      </c>
      <c r="H800" s="919"/>
      <c r="I800" s="922">
        <v>1828</v>
      </c>
      <c r="J800" s="907"/>
      <c r="K800" s="906"/>
      <c r="L800" s="921" t="str">
        <f t="shared" si="45"/>
        <v/>
      </c>
      <c r="M800" s="155" t="str">
        <f t="shared" si="46"/>
        <v/>
      </c>
      <c r="T800" s="75"/>
      <c r="U800" s="75"/>
      <c r="V800" s="75"/>
      <c r="W800" s="75"/>
      <c r="X800" s="75"/>
      <c r="Y800" s="340"/>
      <c r="Z800" s="341"/>
      <c r="AA800" s="341"/>
      <c r="AB800" s="341"/>
      <c r="AC800" s="340"/>
      <c r="AD800" s="75"/>
      <c r="AE800" s="75"/>
      <c r="AG800" s="344"/>
      <c r="AH800" s="344"/>
      <c r="AI800" s="344"/>
      <c r="AJ800" s="97"/>
      <c r="AK800" s="4"/>
    </row>
    <row r="801" spans="2:37" s="113" customFormat="1" x14ac:dyDescent="0.4">
      <c r="B801" s="80"/>
      <c r="C801" s="563">
        <v>388</v>
      </c>
      <c r="D801" s="907"/>
      <c r="E801" s="906"/>
      <c r="F801" s="921" t="str">
        <f t="shared" si="44"/>
        <v/>
      </c>
      <c r="G801" s="882" t="str">
        <f t="shared" si="47"/>
        <v/>
      </c>
      <c r="H801" s="919"/>
      <c r="I801" s="922">
        <v>1829</v>
      </c>
      <c r="J801" s="907"/>
      <c r="K801" s="906"/>
      <c r="L801" s="921" t="str">
        <f t="shared" si="45"/>
        <v/>
      </c>
      <c r="M801" s="155" t="str">
        <f t="shared" si="46"/>
        <v/>
      </c>
      <c r="T801" s="75"/>
      <c r="U801" s="75"/>
      <c r="V801" s="75"/>
      <c r="W801" s="75"/>
      <c r="X801" s="75"/>
      <c r="Y801" s="340"/>
      <c r="Z801" s="341"/>
      <c r="AA801" s="341"/>
      <c r="AB801" s="341"/>
      <c r="AC801" s="340"/>
      <c r="AD801" s="75"/>
      <c r="AE801" s="75"/>
      <c r="AG801" s="344"/>
      <c r="AH801" s="344"/>
      <c r="AI801" s="344"/>
      <c r="AJ801" s="97"/>
      <c r="AK801" s="4"/>
    </row>
    <row r="802" spans="2:37" s="113" customFormat="1" x14ac:dyDescent="0.4">
      <c r="B802" s="80"/>
      <c r="C802" s="563">
        <v>389</v>
      </c>
      <c r="D802" s="907"/>
      <c r="E802" s="906"/>
      <c r="F802" s="921" t="str">
        <f t="shared" si="44"/>
        <v/>
      </c>
      <c r="G802" s="882" t="str">
        <f t="shared" si="47"/>
        <v/>
      </c>
      <c r="H802" s="919"/>
      <c r="I802" s="922">
        <v>1830</v>
      </c>
      <c r="J802" s="907"/>
      <c r="K802" s="906"/>
      <c r="L802" s="921" t="str">
        <f t="shared" si="45"/>
        <v/>
      </c>
      <c r="M802" s="155" t="str">
        <f t="shared" si="46"/>
        <v/>
      </c>
      <c r="T802" s="75"/>
      <c r="U802" s="75"/>
      <c r="V802" s="75"/>
      <c r="W802" s="75"/>
      <c r="X802" s="75"/>
      <c r="Y802" s="340"/>
      <c r="Z802" s="341"/>
      <c r="AA802" s="341"/>
      <c r="AB802" s="341"/>
      <c r="AC802" s="340"/>
      <c r="AD802" s="75"/>
      <c r="AE802" s="75"/>
      <c r="AG802" s="344"/>
      <c r="AH802" s="344"/>
      <c r="AI802" s="344"/>
      <c r="AJ802" s="97"/>
      <c r="AK802" s="4"/>
    </row>
    <row r="803" spans="2:37" s="113" customFormat="1" x14ac:dyDescent="0.4">
      <c r="B803" s="80"/>
      <c r="C803" s="563">
        <v>390</v>
      </c>
      <c r="D803" s="907"/>
      <c r="E803" s="906"/>
      <c r="F803" s="921" t="str">
        <f t="shared" si="44"/>
        <v/>
      </c>
      <c r="G803" s="882" t="str">
        <f t="shared" si="47"/>
        <v/>
      </c>
      <c r="H803" s="919"/>
      <c r="I803" s="922">
        <v>1831</v>
      </c>
      <c r="J803" s="907"/>
      <c r="K803" s="906"/>
      <c r="L803" s="921" t="str">
        <f t="shared" si="45"/>
        <v/>
      </c>
      <c r="M803" s="155" t="str">
        <f t="shared" si="46"/>
        <v/>
      </c>
      <c r="T803" s="75"/>
      <c r="U803" s="75"/>
      <c r="V803" s="75"/>
      <c r="W803" s="75"/>
      <c r="X803" s="75"/>
      <c r="Y803" s="340"/>
      <c r="Z803" s="341"/>
      <c r="AA803" s="341"/>
      <c r="AB803" s="341"/>
      <c r="AC803" s="340"/>
      <c r="AD803" s="75"/>
      <c r="AE803" s="75"/>
      <c r="AG803" s="344"/>
      <c r="AH803" s="344"/>
      <c r="AI803" s="344"/>
      <c r="AJ803" s="97"/>
      <c r="AK803" s="4"/>
    </row>
    <row r="804" spans="2:37" s="113" customFormat="1" x14ac:dyDescent="0.4">
      <c r="B804" s="80"/>
      <c r="C804" s="563">
        <v>391</v>
      </c>
      <c r="D804" s="907"/>
      <c r="E804" s="906"/>
      <c r="F804" s="921" t="str">
        <f t="shared" si="44"/>
        <v/>
      </c>
      <c r="G804" s="882" t="str">
        <f t="shared" si="47"/>
        <v/>
      </c>
      <c r="H804" s="919"/>
      <c r="I804" s="922">
        <v>1832</v>
      </c>
      <c r="J804" s="907"/>
      <c r="K804" s="906"/>
      <c r="L804" s="921" t="str">
        <f t="shared" si="45"/>
        <v/>
      </c>
      <c r="M804" s="155" t="str">
        <f t="shared" si="46"/>
        <v/>
      </c>
      <c r="T804" s="75"/>
      <c r="U804" s="75"/>
      <c r="V804" s="75"/>
      <c r="W804" s="75"/>
      <c r="X804" s="75"/>
      <c r="Y804" s="340"/>
      <c r="Z804" s="341"/>
      <c r="AA804" s="341"/>
      <c r="AB804" s="341"/>
      <c r="AC804" s="340"/>
      <c r="AD804" s="75"/>
      <c r="AE804" s="75"/>
      <c r="AG804" s="344"/>
      <c r="AH804" s="344"/>
      <c r="AI804" s="344"/>
      <c r="AJ804" s="97"/>
      <c r="AK804" s="4"/>
    </row>
    <row r="805" spans="2:37" s="113" customFormat="1" x14ac:dyDescent="0.4">
      <c r="B805" s="80"/>
      <c r="C805" s="563">
        <v>392</v>
      </c>
      <c r="D805" s="907"/>
      <c r="E805" s="906"/>
      <c r="F805" s="921" t="str">
        <f t="shared" si="44"/>
        <v/>
      </c>
      <c r="G805" s="882" t="str">
        <f t="shared" si="47"/>
        <v/>
      </c>
      <c r="H805" s="919"/>
      <c r="I805" s="922">
        <v>1833</v>
      </c>
      <c r="J805" s="907"/>
      <c r="K805" s="906"/>
      <c r="L805" s="921" t="str">
        <f t="shared" si="45"/>
        <v/>
      </c>
      <c r="M805" s="155" t="str">
        <f t="shared" si="46"/>
        <v/>
      </c>
      <c r="T805" s="75"/>
      <c r="U805" s="75"/>
      <c r="V805" s="75"/>
      <c r="W805" s="75"/>
      <c r="X805" s="75"/>
      <c r="Y805" s="340"/>
      <c r="Z805" s="341"/>
      <c r="AA805" s="341"/>
      <c r="AB805" s="341"/>
      <c r="AC805" s="340"/>
      <c r="AD805" s="75"/>
      <c r="AE805" s="75"/>
      <c r="AG805" s="344"/>
      <c r="AH805" s="344"/>
      <c r="AI805" s="344"/>
      <c r="AJ805" s="97"/>
      <c r="AK805" s="4"/>
    </row>
    <row r="806" spans="2:37" s="113" customFormat="1" x14ac:dyDescent="0.4">
      <c r="B806" s="80"/>
      <c r="C806" s="563">
        <v>393</v>
      </c>
      <c r="D806" s="907"/>
      <c r="E806" s="906"/>
      <c r="F806" s="921" t="str">
        <f t="shared" si="44"/>
        <v/>
      </c>
      <c r="G806" s="882" t="str">
        <f t="shared" si="47"/>
        <v/>
      </c>
      <c r="H806" s="919"/>
      <c r="I806" s="922">
        <v>1834</v>
      </c>
      <c r="J806" s="907"/>
      <c r="K806" s="906"/>
      <c r="L806" s="921" t="str">
        <f t="shared" si="45"/>
        <v/>
      </c>
      <c r="M806" s="155" t="str">
        <f t="shared" si="46"/>
        <v/>
      </c>
      <c r="T806" s="75"/>
      <c r="U806" s="75"/>
      <c r="V806" s="75"/>
      <c r="W806" s="75"/>
      <c r="X806" s="75"/>
      <c r="Y806" s="340"/>
      <c r="Z806" s="341"/>
      <c r="AA806" s="341"/>
      <c r="AB806" s="341"/>
      <c r="AC806" s="340"/>
      <c r="AD806" s="75"/>
      <c r="AE806" s="75"/>
      <c r="AG806" s="344"/>
      <c r="AH806" s="344"/>
      <c r="AI806" s="344"/>
      <c r="AJ806" s="97"/>
      <c r="AK806" s="4"/>
    </row>
    <row r="807" spans="2:37" s="113" customFormat="1" x14ac:dyDescent="0.4">
      <c r="B807" s="80"/>
      <c r="C807" s="563">
        <v>394</v>
      </c>
      <c r="D807" s="907"/>
      <c r="E807" s="906"/>
      <c r="F807" s="921" t="str">
        <f t="shared" si="44"/>
        <v/>
      </c>
      <c r="G807" s="882" t="str">
        <f t="shared" si="47"/>
        <v/>
      </c>
      <c r="H807" s="919"/>
      <c r="I807" s="922">
        <v>1835</v>
      </c>
      <c r="J807" s="907"/>
      <c r="K807" s="906"/>
      <c r="L807" s="921" t="str">
        <f t="shared" si="45"/>
        <v/>
      </c>
      <c r="M807" s="155" t="str">
        <f t="shared" si="46"/>
        <v/>
      </c>
      <c r="T807" s="75"/>
      <c r="U807" s="75"/>
      <c r="V807" s="75"/>
      <c r="W807" s="75"/>
      <c r="X807" s="75"/>
      <c r="Y807" s="340"/>
      <c r="Z807" s="341"/>
      <c r="AA807" s="341"/>
      <c r="AB807" s="341"/>
      <c r="AC807" s="340"/>
      <c r="AD807" s="75"/>
      <c r="AE807" s="75"/>
      <c r="AG807" s="344"/>
      <c r="AH807" s="344"/>
      <c r="AI807" s="344"/>
      <c r="AJ807" s="97"/>
      <c r="AK807" s="4"/>
    </row>
    <row r="808" spans="2:37" s="113" customFormat="1" x14ac:dyDescent="0.4">
      <c r="B808" s="80"/>
      <c r="C808" s="563">
        <v>395</v>
      </c>
      <c r="D808" s="907"/>
      <c r="E808" s="906"/>
      <c r="F808" s="921" t="str">
        <f t="shared" si="44"/>
        <v/>
      </c>
      <c r="G808" s="882" t="str">
        <f t="shared" si="47"/>
        <v/>
      </c>
      <c r="H808" s="919"/>
      <c r="I808" s="922">
        <v>1836</v>
      </c>
      <c r="J808" s="907"/>
      <c r="K808" s="906"/>
      <c r="L808" s="921" t="str">
        <f t="shared" si="45"/>
        <v/>
      </c>
      <c r="M808" s="155" t="str">
        <f t="shared" si="46"/>
        <v/>
      </c>
      <c r="T808" s="75"/>
      <c r="U808" s="75"/>
      <c r="V808" s="75"/>
      <c r="W808" s="75"/>
      <c r="X808" s="75"/>
      <c r="Y808" s="340"/>
      <c r="Z808" s="341"/>
      <c r="AA808" s="341"/>
      <c r="AB808" s="341"/>
      <c r="AC808" s="340"/>
      <c r="AD808" s="75"/>
      <c r="AE808" s="75"/>
      <c r="AG808" s="344"/>
      <c r="AH808" s="344"/>
      <c r="AI808" s="344"/>
      <c r="AJ808" s="97"/>
      <c r="AK808" s="4"/>
    </row>
    <row r="809" spans="2:37" s="113" customFormat="1" x14ac:dyDescent="0.4">
      <c r="B809" s="80"/>
      <c r="C809" s="563">
        <v>396</v>
      </c>
      <c r="D809" s="907"/>
      <c r="E809" s="906"/>
      <c r="F809" s="921" t="str">
        <f t="shared" si="44"/>
        <v/>
      </c>
      <c r="G809" s="882" t="str">
        <f t="shared" si="47"/>
        <v/>
      </c>
      <c r="H809" s="919"/>
      <c r="I809" s="922">
        <v>1837</v>
      </c>
      <c r="J809" s="907"/>
      <c r="K809" s="906"/>
      <c r="L809" s="921" t="str">
        <f t="shared" si="45"/>
        <v/>
      </c>
      <c r="M809" s="155" t="str">
        <f t="shared" si="46"/>
        <v/>
      </c>
      <c r="T809" s="75"/>
      <c r="U809" s="75"/>
      <c r="V809" s="75"/>
      <c r="W809" s="75"/>
      <c r="X809" s="75"/>
      <c r="Y809" s="340"/>
      <c r="Z809" s="341"/>
      <c r="AA809" s="341"/>
      <c r="AB809" s="341"/>
      <c r="AC809" s="340"/>
      <c r="AD809" s="75"/>
      <c r="AE809" s="75"/>
      <c r="AG809" s="344"/>
      <c r="AH809" s="344"/>
      <c r="AI809" s="344"/>
      <c r="AJ809" s="97"/>
      <c r="AK809" s="4"/>
    </row>
    <row r="810" spans="2:37" s="113" customFormat="1" x14ac:dyDescent="0.4">
      <c r="B810" s="80"/>
      <c r="C810" s="563">
        <v>397</v>
      </c>
      <c r="D810" s="907"/>
      <c r="E810" s="906"/>
      <c r="F810" s="921" t="str">
        <f t="shared" si="44"/>
        <v/>
      </c>
      <c r="G810" s="882" t="str">
        <f t="shared" si="47"/>
        <v/>
      </c>
      <c r="H810" s="919"/>
      <c r="I810" s="922">
        <v>1838</v>
      </c>
      <c r="J810" s="907"/>
      <c r="K810" s="906"/>
      <c r="L810" s="921" t="str">
        <f t="shared" si="45"/>
        <v/>
      </c>
      <c r="M810" s="155" t="str">
        <f t="shared" si="46"/>
        <v/>
      </c>
      <c r="T810" s="75"/>
      <c r="U810" s="75"/>
      <c r="V810" s="75"/>
      <c r="W810" s="75"/>
      <c r="X810" s="75"/>
      <c r="Y810" s="340"/>
      <c r="Z810" s="341"/>
      <c r="AA810" s="341"/>
      <c r="AB810" s="341"/>
      <c r="AC810" s="340"/>
      <c r="AD810" s="75"/>
      <c r="AE810" s="75"/>
      <c r="AG810" s="344"/>
      <c r="AH810" s="344"/>
      <c r="AI810" s="344"/>
      <c r="AJ810" s="97"/>
      <c r="AK810" s="4"/>
    </row>
    <row r="811" spans="2:37" s="113" customFormat="1" x14ac:dyDescent="0.4">
      <c r="B811" s="80"/>
      <c r="C811" s="563">
        <v>398</v>
      </c>
      <c r="D811" s="907"/>
      <c r="E811" s="906"/>
      <c r="F811" s="921" t="str">
        <f t="shared" si="44"/>
        <v/>
      </c>
      <c r="G811" s="882" t="str">
        <f t="shared" si="47"/>
        <v/>
      </c>
      <c r="H811" s="919"/>
      <c r="I811" s="922">
        <v>1839</v>
      </c>
      <c r="J811" s="907"/>
      <c r="K811" s="906"/>
      <c r="L811" s="921" t="str">
        <f t="shared" si="45"/>
        <v/>
      </c>
      <c r="M811" s="155" t="str">
        <f t="shared" si="46"/>
        <v/>
      </c>
      <c r="T811" s="75"/>
      <c r="U811" s="75"/>
      <c r="V811" s="75"/>
      <c r="W811" s="75"/>
      <c r="X811" s="75"/>
      <c r="Y811" s="340"/>
      <c r="Z811" s="341"/>
      <c r="AA811" s="341"/>
      <c r="AB811" s="341"/>
      <c r="AC811" s="340"/>
      <c r="AD811" s="75"/>
      <c r="AE811" s="75"/>
      <c r="AG811" s="344"/>
      <c r="AH811" s="344"/>
      <c r="AI811" s="344"/>
      <c r="AJ811" s="97"/>
      <c r="AK811" s="4"/>
    </row>
    <row r="812" spans="2:37" s="113" customFormat="1" x14ac:dyDescent="0.4">
      <c r="B812" s="80"/>
      <c r="C812" s="563">
        <v>399</v>
      </c>
      <c r="D812" s="907"/>
      <c r="E812" s="906"/>
      <c r="F812" s="921" t="str">
        <f t="shared" si="44"/>
        <v/>
      </c>
      <c r="G812" s="882" t="str">
        <f t="shared" si="47"/>
        <v/>
      </c>
      <c r="H812" s="919"/>
      <c r="I812" s="922">
        <v>1840</v>
      </c>
      <c r="J812" s="907"/>
      <c r="K812" s="906"/>
      <c r="L812" s="921" t="str">
        <f t="shared" si="45"/>
        <v/>
      </c>
      <c r="M812" s="155" t="str">
        <f t="shared" si="46"/>
        <v/>
      </c>
      <c r="T812" s="75"/>
      <c r="U812" s="75"/>
      <c r="V812" s="75"/>
      <c r="W812" s="75"/>
      <c r="X812" s="75"/>
      <c r="Y812" s="340"/>
      <c r="Z812" s="341"/>
      <c r="AA812" s="341"/>
      <c r="AB812" s="341"/>
      <c r="AC812" s="340"/>
      <c r="AD812" s="75"/>
      <c r="AE812" s="75"/>
      <c r="AG812" s="344"/>
      <c r="AH812" s="344"/>
      <c r="AI812" s="344"/>
      <c r="AJ812" s="97"/>
      <c r="AK812" s="4"/>
    </row>
    <row r="813" spans="2:37" s="113" customFormat="1" x14ac:dyDescent="0.4">
      <c r="B813" s="80"/>
      <c r="C813" s="563">
        <v>400</v>
      </c>
      <c r="D813" s="907"/>
      <c r="E813" s="906"/>
      <c r="F813" s="921" t="str">
        <f t="shared" si="44"/>
        <v/>
      </c>
      <c r="G813" s="882" t="str">
        <f t="shared" si="47"/>
        <v/>
      </c>
      <c r="H813" s="919"/>
      <c r="I813" s="922">
        <v>1841</v>
      </c>
      <c r="J813" s="907"/>
      <c r="K813" s="906"/>
      <c r="L813" s="921" t="str">
        <f t="shared" si="45"/>
        <v/>
      </c>
      <c r="M813" s="155" t="str">
        <f t="shared" si="46"/>
        <v/>
      </c>
      <c r="T813" s="75"/>
      <c r="U813" s="75"/>
      <c r="V813" s="75"/>
      <c r="W813" s="75"/>
      <c r="X813" s="75"/>
      <c r="Y813" s="340"/>
      <c r="Z813" s="341"/>
      <c r="AA813" s="341"/>
      <c r="AB813" s="341"/>
      <c r="AC813" s="340"/>
      <c r="AD813" s="75"/>
      <c r="AE813" s="75"/>
      <c r="AG813" s="344"/>
      <c r="AH813" s="344"/>
      <c r="AI813" s="344"/>
      <c r="AJ813" s="97"/>
      <c r="AK813" s="4"/>
    </row>
    <row r="814" spans="2:37" s="113" customFormat="1" x14ac:dyDescent="0.4">
      <c r="B814" s="80"/>
      <c r="C814" s="563">
        <v>401</v>
      </c>
      <c r="D814" s="907"/>
      <c r="E814" s="906"/>
      <c r="F814" s="921" t="str">
        <f t="shared" si="44"/>
        <v/>
      </c>
      <c r="G814" s="882" t="str">
        <f t="shared" si="47"/>
        <v/>
      </c>
      <c r="H814" s="919"/>
      <c r="I814" s="922">
        <v>1842</v>
      </c>
      <c r="J814" s="907"/>
      <c r="K814" s="906"/>
      <c r="L814" s="921" t="str">
        <f t="shared" si="45"/>
        <v/>
      </c>
      <c r="M814" s="155" t="str">
        <f t="shared" si="46"/>
        <v/>
      </c>
      <c r="T814" s="75"/>
      <c r="U814" s="75"/>
      <c r="V814" s="75"/>
      <c r="W814" s="75"/>
      <c r="X814" s="75"/>
      <c r="Y814" s="340"/>
      <c r="Z814" s="341"/>
      <c r="AA814" s="341"/>
      <c r="AB814" s="341"/>
      <c r="AC814" s="340"/>
      <c r="AD814" s="75"/>
      <c r="AE814" s="75"/>
      <c r="AG814" s="344"/>
      <c r="AH814" s="344"/>
      <c r="AI814" s="344"/>
      <c r="AJ814" s="97"/>
      <c r="AK814" s="4"/>
    </row>
    <row r="815" spans="2:37" s="113" customFormat="1" x14ac:dyDescent="0.4">
      <c r="B815" s="80"/>
      <c r="C815" s="563">
        <v>402</v>
      </c>
      <c r="D815" s="907"/>
      <c r="E815" s="906"/>
      <c r="F815" s="921" t="str">
        <f t="shared" si="44"/>
        <v/>
      </c>
      <c r="G815" s="882" t="str">
        <f t="shared" si="47"/>
        <v/>
      </c>
      <c r="H815" s="919"/>
      <c r="I815" s="922">
        <v>1843</v>
      </c>
      <c r="J815" s="907"/>
      <c r="K815" s="906"/>
      <c r="L815" s="921" t="str">
        <f t="shared" si="45"/>
        <v/>
      </c>
      <c r="M815" s="155" t="str">
        <f t="shared" si="46"/>
        <v/>
      </c>
      <c r="T815" s="75"/>
      <c r="U815" s="75"/>
      <c r="V815" s="75"/>
      <c r="W815" s="75"/>
      <c r="X815" s="75"/>
      <c r="Y815" s="340"/>
      <c r="Z815" s="341"/>
      <c r="AA815" s="341"/>
      <c r="AB815" s="341"/>
      <c r="AC815" s="340"/>
      <c r="AD815" s="75"/>
      <c r="AE815" s="75"/>
      <c r="AG815" s="344"/>
      <c r="AH815" s="344"/>
      <c r="AI815" s="344"/>
      <c r="AJ815" s="97"/>
      <c r="AK815" s="4"/>
    </row>
    <row r="816" spans="2:37" s="113" customFormat="1" x14ac:dyDescent="0.4">
      <c r="B816" s="80"/>
      <c r="C816" s="563">
        <v>403</v>
      </c>
      <c r="D816" s="907"/>
      <c r="E816" s="906"/>
      <c r="F816" s="921" t="str">
        <f t="shared" si="44"/>
        <v/>
      </c>
      <c r="G816" s="882" t="str">
        <f t="shared" si="47"/>
        <v/>
      </c>
      <c r="H816" s="919"/>
      <c r="I816" s="922">
        <v>1844</v>
      </c>
      <c r="J816" s="907"/>
      <c r="K816" s="906"/>
      <c r="L816" s="921" t="str">
        <f t="shared" si="45"/>
        <v/>
      </c>
      <c r="M816" s="155" t="str">
        <f t="shared" si="46"/>
        <v/>
      </c>
      <c r="T816" s="75"/>
      <c r="U816" s="75"/>
      <c r="V816" s="75"/>
      <c r="W816" s="75"/>
      <c r="X816" s="75"/>
      <c r="Y816" s="340"/>
      <c r="Z816" s="341"/>
      <c r="AA816" s="341"/>
      <c r="AB816" s="341"/>
      <c r="AC816" s="340"/>
      <c r="AD816" s="75"/>
      <c r="AE816" s="75"/>
      <c r="AG816" s="344"/>
      <c r="AH816" s="344"/>
      <c r="AI816" s="344"/>
      <c r="AJ816" s="97"/>
      <c r="AK816" s="4"/>
    </row>
    <row r="817" spans="2:37" s="113" customFormat="1" x14ac:dyDescent="0.4">
      <c r="B817" s="80"/>
      <c r="C817" s="563">
        <v>404</v>
      </c>
      <c r="D817" s="907"/>
      <c r="E817" s="906"/>
      <c r="F817" s="921" t="str">
        <f t="shared" si="44"/>
        <v/>
      </c>
      <c r="G817" s="882" t="str">
        <f t="shared" si="47"/>
        <v/>
      </c>
      <c r="H817" s="919"/>
      <c r="I817" s="922">
        <v>1845</v>
      </c>
      <c r="J817" s="907"/>
      <c r="K817" s="906"/>
      <c r="L817" s="921" t="str">
        <f t="shared" si="45"/>
        <v/>
      </c>
      <c r="M817" s="155" t="str">
        <f t="shared" si="46"/>
        <v/>
      </c>
      <c r="T817" s="75"/>
      <c r="U817" s="75"/>
      <c r="V817" s="75"/>
      <c r="W817" s="75"/>
      <c r="X817" s="75"/>
      <c r="Y817" s="340"/>
      <c r="Z817" s="341"/>
      <c r="AA817" s="341"/>
      <c r="AB817" s="341"/>
      <c r="AC817" s="340"/>
      <c r="AD817" s="75"/>
      <c r="AE817" s="75"/>
      <c r="AG817" s="344"/>
      <c r="AH817" s="344"/>
      <c r="AI817" s="344"/>
      <c r="AJ817" s="97"/>
      <c r="AK817" s="4"/>
    </row>
    <row r="818" spans="2:37" s="113" customFormat="1" x14ac:dyDescent="0.4">
      <c r="B818" s="80"/>
      <c r="C818" s="563">
        <v>405</v>
      </c>
      <c r="D818" s="907"/>
      <c r="E818" s="906"/>
      <c r="F818" s="921" t="str">
        <f t="shared" si="44"/>
        <v/>
      </c>
      <c r="G818" s="882" t="str">
        <f t="shared" si="47"/>
        <v/>
      </c>
      <c r="H818" s="919"/>
      <c r="I818" s="922">
        <v>1846</v>
      </c>
      <c r="J818" s="907"/>
      <c r="K818" s="906"/>
      <c r="L818" s="921" t="str">
        <f t="shared" si="45"/>
        <v/>
      </c>
      <c r="M818" s="155" t="str">
        <f t="shared" si="46"/>
        <v/>
      </c>
      <c r="T818" s="75"/>
      <c r="U818" s="75"/>
      <c r="V818" s="75"/>
      <c r="W818" s="75"/>
      <c r="X818" s="75"/>
      <c r="Y818" s="340"/>
      <c r="Z818" s="341"/>
      <c r="AA818" s="341"/>
      <c r="AB818" s="341"/>
      <c r="AC818" s="340"/>
      <c r="AD818" s="75"/>
      <c r="AE818" s="75"/>
      <c r="AG818" s="344"/>
      <c r="AH818" s="344"/>
      <c r="AI818" s="344"/>
      <c r="AJ818" s="97"/>
      <c r="AK818" s="4"/>
    </row>
    <row r="819" spans="2:37" s="113" customFormat="1" x14ac:dyDescent="0.4">
      <c r="B819" s="80"/>
      <c r="C819" s="563">
        <v>406</v>
      </c>
      <c r="D819" s="907"/>
      <c r="E819" s="906"/>
      <c r="F819" s="921" t="str">
        <f t="shared" si="44"/>
        <v/>
      </c>
      <c r="G819" s="882" t="str">
        <f t="shared" si="47"/>
        <v/>
      </c>
      <c r="H819" s="919"/>
      <c r="I819" s="922">
        <v>1847</v>
      </c>
      <c r="J819" s="907"/>
      <c r="K819" s="906"/>
      <c r="L819" s="921" t="str">
        <f t="shared" si="45"/>
        <v/>
      </c>
      <c r="M819" s="155" t="str">
        <f t="shared" si="46"/>
        <v/>
      </c>
      <c r="T819" s="75"/>
      <c r="U819" s="75"/>
      <c r="V819" s="75"/>
      <c r="W819" s="75"/>
      <c r="X819" s="75"/>
      <c r="Y819" s="340"/>
      <c r="Z819" s="341"/>
      <c r="AA819" s="341"/>
      <c r="AB819" s="341"/>
      <c r="AC819" s="340"/>
      <c r="AD819" s="75"/>
      <c r="AE819" s="75"/>
      <c r="AG819" s="344"/>
      <c r="AH819" s="344"/>
      <c r="AI819" s="344"/>
      <c r="AJ819" s="97"/>
      <c r="AK819" s="4"/>
    </row>
    <row r="820" spans="2:37" s="113" customFormat="1" x14ac:dyDescent="0.4">
      <c r="B820" s="80"/>
      <c r="C820" s="563">
        <v>407</v>
      </c>
      <c r="D820" s="907"/>
      <c r="E820" s="906"/>
      <c r="F820" s="921" t="str">
        <f t="shared" si="44"/>
        <v/>
      </c>
      <c r="G820" s="882" t="str">
        <f t="shared" si="47"/>
        <v/>
      </c>
      <c r="H820" s="919"/>
      <c r="I820" s="922">
        <v>1848</v>
      </c>
      <c r="J820" s="907"/>
      <c r="K820" s="906"/>
      <c r="L820" s="921" t="str">
        <f t="shared" si="45"/>
        <v/>
      </c>
      <c r="M820" s="155" t="str">
        <f t="shared" si="46"/>
        <v/>
      </c>
      <c r="T820" s="75"/>
      <c r="U820" s="75"/>
      <c r="V820" s="75"/>
      <c r="W820" s="75"/>
      <c r="X820" s="75"/>
      <c r="Y820" s="340"/>
      <c r="Z820" s="341"/>
      <c r="AA820" s="341"/>
      <c r="AB820" s="341"/>
      <c r="AC820" s="340"/>
      <c r="AD820" s="75"/>
      <c r="AE820" s="75"/>
      <c r="AG820" s="344"/>
      <c r="AH820" s="344"/>
      <c r="AI820" s="344"/>
      <c r="AJ820" s="97"/>
      <c r="AK820" s="4"/>
    </row>
    <row r="821" spans="2:37" s="113" customFormat="1" x14ac:dyDescent="0.4">
      <c r="B821" s="80"/>
      <c r="C821" s="563">
        <v>408</v>
      </c>
      <c r="D821" s="907"/>
      <c r="E821" s="906"/>
      <c r="F821" s="921" t="str">
        <f t="shared" si="44"/>
        <v/>
      </c>
      <c r="G821" s="882" t="str">
        <f t="shared" si="47"/>
        <v/>
      </c>
      <c r="H821" s="919"/>
      <c r="I821" s="922">
        <v>1849</v>
      </c>
      <c r="J821" s="907"/>
      <c r="K821" s="906"/>
      <c r="L821" s="921" t="str">
        <f t="shared" si="45"/>
        <v/>
      </c>
      <c r="M821" s="155" t="str">
        <f t="shared" si="46"/>
        <v/>
      </c>
      <c r="T821" s="75"/>
      <c r="U821" s="75"/>
      <c r="V821" s="75"/>
      <c r="W821" s="75"/>
      <c r="X821" s="75"/>
      <c r="Y821" s="340"/>
      <c r="Z821" s="341"/>
      <c r="AA821" s="341"/>
      <c r="AB821" s="341"/>
      <c r="AC821" s="340"/>
      <c r="AD821" s="75"/>
      <c r="AE821" s="75"/>
      <c r="AG821" s="344"/>
      <c r="AH821" s="344"/>
      <c r="AI821" s="344"/>
      <c r="AJ821" s="97"/>
      <c r="AK821" s="4"/>
    </row>
    <row r="822" spans="2:37" s="113" customFormat="1" x14ac:dyDescent="0.4">
      <c r="B822" s="80"/>
      <c r="C822" s="563">
        <v>409</v>
      </c>
      <c r="D822" s="907"/>
      <c r="E822" s="906"/>
      <c r="F822" s="921" t="str">
        <f t="shared" si="44"/>
        <v/>
      </c>
      <c r="G822" s="882" t="str">
        <f t="shared" si="47"/>
        <v/>
      </c>
      <c r="H822" s="919"/>
      <c r="I822" s="922">
        <v>1850</v>
      </c>
      <c r="J822" s="907"/>
      <c r="K822" s="906"/>
      <c r="L822" s="921" t="str">
        <f t="shared" si="45"/>
        <v/>
      </c>
      <c r="M822" s="155" t="str">
        <f t="shared" si="46"/>
        <v/>
      </c>
      <c r="T822" s="75"/>
      <c r="U822" s="75"/>
      <c r="V822" s="75"/>
      <c r="W822" s="75"/>
      <c r="X822" s="75"/>
      <c r="Y822" s="340"/>
      <c r="Z822" s="341"/>
      <c r="AA822" s="341"/>
      <c r="AB822" s="341"/>
      <c r="AC822" s="340"/>
      <c r="AD822" s="75"/>
      <c r="AE822" s="75"/>
      <c r="AG822" s="344"/>
      <c r="AH822" s="344"/>
      <c r="AI822" s="344"/>
      <c r="AJ822" s="97"/>
      <c r="AK822" s="4"/>
    </row>
    <row r="823" spans="2:37" s="113" customFormat="1" x14ac:dyDescent="0.4">
      <c r="B823" s="80"/>
      <c r="C823" s="563">
        <v>410</v>
      </c>
      <c r="D823" s="907"/>
      <c r="E823" s="906"/>
      <c r="F823" s="921" t="str">
        <f t="shared" si="44"/>
        <v/>
      </c>
      <c r="G823" s="882" t="str">
        <f t="shared" si="47"/>
        <v/>
      </c>
      <c r="H823" s="919"/>
      <c r="I823" s="922">
        <v>1851</v>
      </c>
      <c r="J823" s="907"/>
      <c r="K823" s="906"/>
      <c r="L823" s="921" t="str">
        <f t="shared" si="45"/>
        <v/>
      </c>
      <c r="M823" s="155" t="str">
        <f t="shared" si="46"/>
        <v/>
      </c>
      <c r="T823" s="75"/>
      <c r="U823" s="75"/>
      <c r="V823" s="75"/>
      <c r="W823" s="75"/>
      <c r="X823" s="75"/>
      <c r="Y823" s="340"/>
      <c r="Z823" s="341"/>
      <c r="AA823" s="341"/>
      <c r="AB823" s="341"/>
      <c r="AC823" s="340"/>
      <c r="AD823" s="75"/>
      <c r="AE823" s="75"/>
      <c r="AG823" s="344"/>
      <c r="AH823" s="344"/>
      <c r="AI823" s="344"/>
      <c r="AJ823" s="97"/>
      <c r="AK823" s="4"/>
    </row>
    <row r="824" spans="2:37" s="113" customFormat="1" x14ac:dyDescent="0.4">
      <c r="B824" s="80"/>
      <c r="C824" s="563">
        <v>411</v>
      </c>
      <c r="D824" s="907"/>
      <c r="E824" s="906"/>
      <c r="F824" s="921" t="str">
        <f t="shared" si="44"/>
        <v/>
      </c>
      <c r="G824" s="882" t="str">
        <f t="shared" si="47"/>
        <v/>
      </c>
      <c r="H824" s="919"/>
      <c r="I824" s="922">
        <v>1852</v>
      </c>
      <c r="J824" s="907"/>
      <c r="K824" s="906"/>
      <c r="L824" s="921" t="str">
        <f t="shared" si="45"/>
        <v/>
      </c>
      <c r="M824" s="155" t="str">
        <f t="shared" si="46"/>
        <v/>
      </c>
      <c r="T824" s="75"/>
      <c r="U824" s="75"/>
      <c r="V824" s="75"/>
      <c r="W824" s="75"/>
      <c r="X824" s="75"/>
      <c r="Y824" s="340"/>
      <c r="Z824" s="341"/>
      <c r="AA824" s="341"/>
      <c r="AB824" s="341"/>
      <c r="AC824" s="340"/>
      <c r="AD824" s="75"/>
      <c r="AE824" s="75"/>
      <c r="AG824" s="344"/>
      <c r="AH824" s="344"/>
      <c r="AI824" s="344"/>
      <c r="AJ824" s="97"/>
      <c r="AK824" s="4"/>
    </row>
    <row r="825" spans="2:37" s="113" customFormat="1" x14ac:dyDescent="0.4">
      <c r="B825" s="80"/>
      <c r="C825" s="563">
        <v>412</v>
      </c>
      <c r="D825" s="907"/>
      <c r="E825" s="906"/>
      <c r="F825" s="921" t="str">
        <f t="shared" si="44"/>
        <v/>
      </c>
      <c r="G825" s="882" t="str">
        <f t="shared" si="47"/>
        <v/>
      </c>
      <c r="H825" s="919"/>
      <c r="I825" s="922">
        <v>1853</v>
      </c>
      <c r="J825" s="907"/>
      <c r="K825" s="906"/>
      <c r="L825" s="921" t="str">
        <f t="shared" si="45"/>
        <v/>
      </c>
      <c r="M825" s="155" t="str">
        <f t="shared" si="46"/>
        <v/>
      </c>
      <c r="T825" s="75"/>
      <c r="U825" s="75"/>
      <c r="V825" s="75"/>
      <c r="W825" s="75"/>
      <c r="X825" s="75"/>
      <c r="Y825" s="340"/>
      <c r="Z825" s="341"/>
      <c r="AA825" s="341"/>
      <c r="AB825" s="341"/>
      <c r="AC825" s="340"/>
      <c r="AD825" s="75"/>
      <c r="AE825" s="75"/>
      <c r="AG825" s="344"/>
      <c r="AH825" s="344"/>
      <c r="AI825" s="344"/>
      <c r="AJ825" s="97"/>
      <c r="AK825" s="4"/>
    </row>
    <row r="826" spans="2:37" s="113" customFormat="1" x14ac:dyDescent="0.4">
      <c r="B826" s="80"/>
      <c r="C826" s="563">
        <v>413</v>
      </c>
      <c r="D826" s="907"/>
      <c r="E826" s="906"/>
      <c r="F826" s="921" t="str">
        <f t="shared" si="44"/>
        <v/>
      </c>
      <c r="G826" s="882" t="str">
        <f t="shared" si="47"/>
        <v/>
      </c>
      <c r="H826" s="919"/>
      <c r="I826" s="922">
        <v>1854</v>
      </c>
      <c r="J826" s="907"/>
      <c r="K826" s="906"/>
      <c r="L826" s="921" t="str">
        <f t="shared" si="45"/>
        <v/>
      </c>
      <c r="M826" s="155" t="str">
        <f t="shared" si="46"/>
        <v/>
      </c>
      <c r="T826" s="75"/>
      <c r="U826" s="75"/>
      <c r="V826" s="75"/>
      <c r="W826" s="75"/>
      <c r="X826" s="75"/>
      <c r="Y826" s="340"/>
      <c r="Z826" s="341"/>
      <c r="AA826" s="341"/>
      <c r="AB826" s="341"/>
      <c r="AC826" s="340"/>
      <c r="AD826" s="75"/>
      <c r="AE826" s="75"/>
      <c r="AG826" s="344"/>
      <c r="AH826" s="344"/>
      <c r="AI826" s="344"/>
      <c r="AJ826" s="97"/>
      <c r="AK826" s="4"/>
    </row>
    <row r="827" spans="2:37" s="113" customFormat="1" x14ac:dyDescent="0.4">
      <c r="B827" s="80"/>
      <c r="C827" s="563">
        <v>414</v>
      </c>
      <c r="D827" s="907"/>
      <c r="E827" s="906"/>
      <c r="F827" s="921" t="str">
        <f t="shared" si="44"/>
        <v/>
      </c>
      <c r="G827" s="882" t="str">
        <f t="shared" si="47"/>
        <v/>
      </c>
      <c r="H827" s="919"/>
      <c r="I827" s="922">
        <v>1855</v>
      </c>
      <c r="J827" s="907"/>
      <c r="K827" s="906"/>
      <c r="L827" s="921" t="str">
        <f t="shared" si="45"/>
        <v/>
      </c>
      <c r="M827" s="155" t="str">
        <f t="shared" si="46"/>
        <v/>
      </c>
      <c r="T827" s="75"/>
      <c r="U827" s="75"/>
      <c r="V827" s="75"/>
      <c r="W827" s="75"/>
      <c r="X827" s="75"/>
      <c r="Y827" s="340"/>
      <c r="Z827" s="341"/>
      <c r="AA827" s="341"/>
      <c r="AB827" s="341"/>
      <c r="AC827" s="340"/>
      <c r="AD827" s="75"/>
      <c r="AE827" s="75"/>
      <c r="AG827" s="344"/>
      <c r="AH827" s="344"/>
      <c r="AI827" s="344"/>
      <c r="AJ827" s="97"/>
      <c r="AK827" s="4"/>
    </row>
    <row r="828" spans="2:37" s="113" customFormat="1" x14ac:dyDescent="0.4">
      <c r="B828" s="80"/>
      <c r="C828" s="563">
        <v>415</v>
      </c>
      <c r="D828" s="907"/>
      <c r="E828" s="906"/>
      <c r="F828" s="921" t="str">
        <f t="shared" si="44"/>
        <v/>
      </c>
      <c r="G828" s="882" t="str">
        <f t="shared" si="47"/>
        <v/>
      </c>
      <c r="H828" s="919"/>
      <c r="I828" s="922">
        <v>1856</v>
      </c>
      <c r="J828" s="907"/>
      <c r="K828" s="906"/>
      <c r="L828" s="921" t="str">
        <f t="shared" si="45"/>
        <v/>
      </c>
      <c r="M828" s="155" t="str">
        <f t="shared" si="46"/>
        <v/>
      </c>
      <c r="T828" s="75"/>
      <c r="U828" s="75"/>
      <c r="V828" s="75"/>
      <c r="W828" s="75"/>
      <c r="X828" s="75"/>
      <c r="Y828" s="340"/>
      <c r="Z828" s="341"/>
      <c r="AA828" s="341"/>
      <c r="AB828" s="341"/>
      <c r="AC828" s="340"/>
      <c r="AD828" s="75"/>
      <c r="AE828" s="75"/>
      <c r="AG828" s="344"/>
      <c r="AH828" s="344"/>
      <c r="AI828" s="344"/>
      <c r="AJ828" s="97"/>
      <c r="AK828" s="4"/>
    </row>
    <row r="829" spans="2:37" s="113" customFormat="1" x14ac:dyDescent="0.4">
      <c r="B829" s="80"/>
      <c r="C829" s="563">
        <v>416</v>
      </c>
      <c r="D829" s="907"/>
      <c r="E829" s="906"/>
      <c r="F829" s="921" t="str">
        <f t="shared" si="44"/>
        <v/>
      </c>
      <c r="G829" s="882" t="str">
        <f t="shared" si="47"/>
        <v/>
      </c>
      <c r="H829" s="919"/>
      <c r="I829" s="922">
        <v>1857</v>
      </c>
      <c r="J829" s="907"/>
      <c r="K829" s="906"/>
      <c r="L829" s="921" t="str">
        <f t="shared" si="45"/>
        <v/>
      </c>
      <c r="M829" s="155" t="str">
        <f t="shared" si="46"/>
        <v/>
      </c>
      <c r="T829" s="75"/>
      <c r="U829" s="75"/>
      <c r="V829" s="75"/>
      <c r="W829" s="75"/>
      <c r="X829" s="75"/>
      <c r="Y829" s="340"/>
      <c r="Z829" s="341"/>
      <c r="AA829" s="341"/>
      <c r="AB829" s="341"/>
      <c r="AC829" s="340"/>
      <c r="AD829" s="75"/>
      <c r="AE829" s="75"/>
      <c r="AG829" s="344"/>
      <c r="AH829" s="344"/>
      <c r="AI829" s="344"/>
      <c r="AJ829" s="97"/>
      <c r="AK829" s="4"/>
    </row>
    <row r="830" spans="2:37" s="113" customFormat="1" x14ac:dyDescent="0.4">
      <c r="B830" s="80"/>
      <c r="C830" s="563">
        <v>417</v>
      </c>
      <c r="D830" s="907"/>
      <c r="E830" s="906"/>
      <c r="F830" s="921" t="str">
        <f t="shared" si="44"/>
        <v/>
      </c>
      <c r="G830" s="882" t="str">
        <f t="shared" si="47"/>
        <v/>
      </c>
      <c r="H830" s="919"/>
      <c r="I830" s="922">
        <v>1858</v>
      </c>
      <c r="J830" s="907"/>
      <c r="K830" s="906"/>
      <c r="L830" s="921" t="str">
        <f t="shared" si="45"/>
        <v/>
      </c>
      <c r="M830" s="155" t="str">
        <f t="shared" si="46"/>
        <v/>
      </c>
      <c r="T830" s="75"/>
      <c r="U830" s="75"/>
      <c r="V830" s="75"/>
      <c r="W830" s="75"/>
      <c r="X830" s="75"/>
      <c r="Y830" s="340"/>
      <c r="Z830" s="341"/>
      <c r="AA830" s="341"/>
      <c r="AB830" s="341"/>
      <c r="AC830" s="340"/>
      <c r="AD830" s="75"/>
      <c r="AE830" s="75"/>
      <c r="AG830" s="344"/>
      <c r="AH830" s="344"/>
      <c r="AI830" s="344"/>
      <c r="AJ830" s="97"/>
      <c r="AK830" s="4"/>
    </row>
    <row r="831" spans="2:37" s="113" customFormat="1" x14ac:dyDescent="0.4">
      <c r="B831" s="80"/>
      <c r="C831" s="563">
        <v>418</v>
      </c>
      <c r="D831" s="907"/>
      <c r="E831" s="906"/>
      <c r="F831" s="921" t="str">
        <f t="shared" si="44"/>
        <v/>
      </c>
      <c r="G831" s="882" t="str">
        <f t="shared" si="47"/>
        <v/>
      </c>
      <c r="H831" s="919"/>
      <c r="I831" s="922">
        <v>1859</v>
      </c>
      <c r="J831" s="907"/>
      <c r="K831" s="906"/>
      <c r="L831" s="921" t="str">
        <f t="shared" si="45"/>
        <v/>
      </c>
      <c r="M831" s="155" t="str">
        <f t="shared" si="46"/>
        <v/>
      </c>
      <c r="T831" s="75"/>
      <c r="U831" s="75"/>
      <c r="V831" s="75"/>
      <c r="W831" s="75"/>
      <c r="X831" s="75"/>
      <c r="Y831" s="340"/>
      <c r="Z831" s="341"/>
      <c r="AA831" s="341"/>
      <c r="AB831" s="341"/>
      <c r="AC831" s="340"/>
      <c r="AD831" s="75"/>
      <c r="AE831" s="75"/>
      <c r="AG831" s="344"/>
      <c r="AH831" s="344"/>
      <c r="AI831" s="344"/>
      <c r="AJ831" s="97"/>
      <c r="AK831" s="4"/>
    </row>
    <row r="832" spans="2:37" s="113" customFormat="1" x14ac:dyDescent="0.4">
      <c r="B832" s="80"/>
      <c r="C832" s="563">
        <v>419</v>
      </c>
      <c r="D832" s="907"/>
      <c r="E832" s="906"/>
      <c r="F832" s="921" t="str">
        <f t="shared" si="44"/>
        <v/>
      </c>
      <c r="G832" s="882" t="str">
        <f t="shared" si="47"/>
        <v/>
      </c>
      <c r="H832" s="919"/>
      <c r="I832" s="922">
        <v>1860</v>
      </c>
      <c r="J832" s="907"/>
      <c r="K832" s="906"/>
      <c r="L832" s="921" t="str">
        <f t="shared" si="45"/>
        <v/>
      </c>
      <c r="M832" s="155" t="str">
        <f t="shared" si="46"/>
        <v/>
      </c>
      <c r="T832" s="75"/>
      <c r="U832" s="75"/>
      <c r="V832" s="75"/>
      <c r="W832" s="75"/>
      <c r="X832" s="75"/>
      <c r="Y832" s="340"/>
      <c r="Z832" s="341"/>
      <c r="AA832" s="341"/>
      <c r="AB832" s="341"/>
      <c r="AC832" s="340"/>
      <c r="AD832" s="75"/>
      <c r="AE832" s="75"/>
      <c r="AF832" s="75"/>
      <c r="AG832" s="344"/>
      <c r="AH832" s="344"/>
      <c r="AI832" s="344"/>
      <c r="AJ832" s="97"/>
      <c r="AK832" s="4"/>
    </row>
    <row r="833" spans="2:37" s="113" customFormat="1" x14ac:dyDescent="0.4">
      <c r="B833" s="80"/>
      <c r="C833" s="563">
        <v>420</v>
      </c>
      <c r="D833" s="907"/>
      <c r="E833" s="906"/>
      <c r="F833" s="921" t="str">
        <f t="shared" si="44"/>
        <v/>
      </c>
      <c r="G833" s="882" t="str">
        <f t="shared" si="47"/>
        <v/>
      </c>
      <c r="H833" s="919"/>
      <c r="I833" s="922">
        <v>1861</v>
      </c>
      <c r="J833" s="907"/>
      <c r="K833" s="906"/>
      <c r="L833" s="921" t="str">
        <f t="shared" si="45"/>
        <v/>
      </c>
      <c r="M833" s="155" t="str">
        <f t="shared" si="46"/>
        <v/>
      </c>
      <c r="T833" s="75"/>
      <c r="U833" s="75"/>
      <c r="V833" s="75"/>
      <c r="W833" s="75"/>
      <c r="X833" s="75"/>
      <c r="Y833" s="340"/>
      <c r="Z833" s="341"/>
      <c r="AA833" s="341"/>
      <c r="AB833" s="341"/>
      <c r="AC833" s="340"/>
      <c r="AD833" s="75"/>
      <c r="AE833" s="75"/>
      <c r="AF833" s="75"/>
      <c r="AG833" s="344"/>
      <c r="AH833" s="344"/>
      <c r="AI833" s="344"/>
      <c r="AJ833" s="97"/>
      <c r="AK833" s="4"/>
    </row>
    <row r="834" spans="2:37" s="113" customFormat="1" x14ac:dyDescent="0.4">
      <c r="B834" s="80"/>
      <c r="C834" s="563">
        <v>421</v>
      </c>
      <c r="D834" s="907"/>
      <c r="E834" s="906"/>
      <c r="F834" s="921" t="str">
        <f t="shared" si="44"/>
        <v/>
      </c>
      <c r="G834" s="882" t="str">
        <f t="shared" si="47"/>
        <v/>
      </c>
      <c r="H834" s="919"/>
      <c r="I834" s="922">
        <v>1862</v>
      </c>
      <c r="J834" s="907"/>
      <c r="K834" s="906"/>
      <c r="L834" s="921" t="str">
        <f t="shared" si="45"/>
        <v/>
      </c>
      <c r="M834" s="155" t="str">
        <f t="shared" si="46"/>
        <v/>
      </c>
      <c r="T834" s="75"/>
      <c r="U834" s="75"/>
      <c r="V834" s="75"/>
      <c r="W834" s="75"/>
      <c r="X834" s="75"/>
      <c r="Y834" s="340"/>
      <c r="Z834" s="341"/>
      <c r="AA834" s="341"/>
      <c r="AB834" s="341"/>
      <c r="AC834" s="340"/>
      <c r="AD834" s="75"/>
      <c r="AE834" s="75"/>
      <c r="AF834" s="75"/>
      <c r="AG834" s="344"/>
      <c r="AH834" s="344"/>
      <c r="AI834" s="344"/>
      <c r="AJ834" s="97"/>
      <c r="AK834" s="4"/>
    </row>
    <row r="835" spans="2:37" s="113" customFormat="1" x14ac:dyDescent="0.4">
      <c r="B835" s="80"/>
      <c r="C835" s="563">
        <v>422</v>
      </c>
      <c r="D835" s="907"/>
      <c r="E835" s="906"/>
      <c r="F835" s="921" t="str">
        <f t="shared" si="44"/>
        <v/>
      </c>
      <c r="G835" s="882" t="str">
        <f t="shared" si="47"/>
        <v/>
      </c>
      <c r="H835" s="919"/>
      <c r="I835" s="922">
        <v>1863</v>
      </c>
      <c r="J835" s="907"/>
      <c r="K835" s="906"/>
      <c r="L835" s="921" t="str">
        <f t="shared" si="45"/>
        <v/>
      </c>
      <c r="M835" s="155" t="str">
        <f t="shared" si="46"/>
        <v/>
      </c>
      <c r="T835" s="75"/>
      <c r="U835" s="75"/>
      <c r="V835" s="75"/>
      <c r="W835" s="75"/>
      <c r="X835" s="75"/>
      <c r="Y835" s="340"/>
      <c r="Z835" s="341"/>
      <c r="AA835" s="341"/>
      <c r="AB835" s="341"/>
      <c r="AC835" s="340"/>
      <c r="AD835" s="75"/>
      <c r="AE835" s="75"/>
      <c r="AF835" s="75"/>
      <c r="AG835" s="344"/>
      <c r="AH835" s="344"/>
      <c r="AI835" s="344"/>
      <c r="AJ835" s="97"/>
      <c r="AK835" s="4"/>
    </row>
    <row r="836" spans="2:37" s="113" customFormat="1" x14ac:dyDescent="0.4">
      <c r="B836" s="80"/>
      <c r="C836" s="563">
        <v>423</v>
      </c>
      <c r="D836" s="907"/>
      <c r="E836" s="906"/>
      <c r="F836" s="921" t="str">
        <f t="shared" si="44"/>
        <v/>
      </c>
      <c r="G836" s="882" t="str">
        <f t="shared" si="47"/>
        <v/>
      </c>
      <c r="H836" s="919"/>
      <c r="I836" s="922">
        <v>1864</v>
      </c>
      <c r="J836" s="907"/>
      <c r="K836" s="906"/>
      <c r="L836" s="921" t="str">
        <f t="shared" si="45"/>
        <v/>
      </c>
      <c r="M836" s="155" t="str">
        <f t="shared" si="46"/>
        <v/>
      </c>
      <c r="T836" s="75"/>
      <c r="U836" s="75"/>
      <c r="V836" s="75"/>
      <c r="W836" s="75"/>
      <c r="X836" s="75"/>
      <c r="Y836" s="340"/>
      <c r="Z836" s="341"/>
      <c r="AA836" s="341"/>
      <c r="AB836" s="341"/>
      <c r="AC836" s="340"/>
      <c r="AD836" s="75"/>
      <c r="AE836" s="75"/>
      <c r="AF836" s="75"/>
      <c r="AG836" s="344"/>
      <c r="AH836" s="344"/>
      <c r="AI836" s="344"/>
      <c r="AJ836" s="97"/>
      <c r="AK836" s="4"/>
    </row>
    <row r="837" spans="2:37" s="113" customFormat="1" x14ac:dyDescent="0.4">
      <c r="B837" s="80"/>
      <c r="C837" s="563">
        <v>424</v>
      </c>
      <c r="D837" s="907"/>
      <c r="E837" s="906"/>
      <c r="F837" s="921" t="str">
        <f t="shared" si="44"/>
        <v/>
      </c>
      <c r="G837" s="882" t="str">
        <f t="shared" si="47"/>
        <v/>
      </c>
      <c r="H837" s="919"/>
      <c r="I837" s="922">
        <v>1865</v>
      </c>
      <c r="J837" s="907"/>
      <c r="K837" s="906"/>
      <c r="L837" s="921" t="str">
        <f t="shared" si="45"/>
        <v/>
      </c>
      <c r="M837" s="155" t="str">
        <f t="shared" si="46"/>
        <v/>
      </c>
      <c r="T837" s="75"/>
      <c r="U837" s="75"/>
      <c r="V837" s="75"/>
      <c r="W837" s="75"/>
      <c r="X837" s="75"/>
      <c r="Y837" s="340"/>
      <c r="Z837" s="341"/>
      <c r="AA837" s="341"/>
      <c r="AB837" s="341"/>
      <c r="AC837" s="340"/>
      <c r="AD837" s="75"/>
      <c r="AE837" s="75"/>
      <c r="AF837" s="75"/>
      <c r="AG837" s="344"/>
      <c r="AH837" s="344"/>
      <c r="AI837" s="344"/>
      <c r="AJ837" s="97"/>
      <c r="AK837" s="4"/>
    </row>
    <row r="838" spans="2:37" s="113" customFormat="1" x14ac:dyDescent="0.4">
      <c r="B838" s="80"/>
      <c r="C838" s="563">
        <v>425</v>
      </c>
      <c r="D838" s="907"/>
      <c r="E838" s="906"/>
      <c r="F838" s="921" t="str">
        <f t="shared" si="44"/>
        <v/>
      </c>
      <c r="G838" s="882" t="str">
        <f t="shared" si="47"/>
        <v/>
      </c>
      <c r="H838" s="919"/>
      <c r="I838" s="922">
        <v>1866</v>
      </c>
      <c r="J838" s="907"/>
      <c r="K838" s="906"/>
      <c r="L838" s="921" t="str">
        <f t="shared" si="45"/>
        <v/>
      </c>
      <c r="M838" s="155" t="str">
        <f t="shared" si="46"/>
        <v/>
      </c>
      <c r="T838" s="75"/>
      <c r="U838" s="75"/>
      <c r="V838" s="75"/>
      <c r="W838" s="75"/>
      <c r="X838" s="75"/>
      <c r="Y838" s="340"/>
      <c r="Z838" s="341"/>
      <c r="AA838" s="341"/>
      <c r="AB838" s="341"/>
      <c r="AC838" s="340"/>
      <c r="AD838" s="75"/>
      <c r="AE838" s="75"/>
      <c r="AF838" s="75"/>
      <c r="AG838" s="344"/>
      <c r="AH838" s="344"/>
      <c r="AI838" s="344"/>
      <c r="AJ838" s="97"/>
      <c r="AK838" s="4"/>
    </row>
    <row r="839" spans="2:37" s="113" customFormat="1" x14ac:dyDescent="0.4">
      <c r="B839" s="80"/>
      <c r="C839" s="563">
        <v>426</v>
      </c>
      <c r="D839" s="907"/>
      <c r="E839" s="906"/>
      <c r="F839" s="921" t="str">
        <f t="shared" si="44"/>
        <v/>
      </c>
      <c r="G839" s="882" t="str">
        <f t="shared" si="47"/>
        <v/>
      </c>
      <c r="H839" s="919"/>
      <c r="I839" s="922">
        <v>1867</v>
      </c>
      <c r="J839" s="907"/>
      <c r="K839" s="906"/>
      <c r="L839" s="921" t="str">
        <f t="shared" si="45"/>
        <v/>
      </c>
      <c r="M839" s="155" t="str">
        <f t="shared" si="46"/>
        <v/>
      </c>
      <c r="T839" s="75"/>
      <c r="U839" s="75"/>
      <c r="V839" s="75"/>
      <c r="W839" s="75"/>
      <c r="X839" s="75"/>
      <c r="Y839" s="340"/>
      <c r="Z839" s="341"/>
      <c r="AA839" s="341"/>
      <c r="AB839" s="341"/>
      <c r="AC839" s="340"/>
      <c r="AD839" s="75"/>
      <c r="AE839" s="75"/>
      <c r="AF839" s="75"/>
      <c r="AG839" s="344"/>
      <c r="AH839" s="344"/>
      <c r="AI839" s="344"/>
      <c r="AJ839" s="97"/>
      <c r="AK839" s="4"/>
    </row>
    <row r="840" spans="2:37" s="113" customFormat="1" x14ac:dyDescent="0.4">
      <c r="B840" s="80"/>
      <c r="C840" s="563">
        <v>427</v>
      </c>
      <c r="D840" s="907"/>
      <c r="E840" s="906"/>
      <c r="F840" s="921" t="str">
        <f t="shared" si="44"/>
        <v/>
      </c>
      <c r="G840" s="882" t="str">
        <f t="shared" si="47"/>
        <v/>
      </c>
      <c r="H840" s="919"/>
      <c r="I840" s="922">
        <v>1868</v>
      </c>
      <c r="J840" s="907"/>
      <c r="K840" s="906"/>
      <c r="L840" s="921" t="str">
        <f t="shared" si="45"/>
        <v/>
      </c>
      <c r="M840" s="155" t="str">
        <f t="shared" si="46"/>
        <v/>
      </c>
      <c r="T840" s="75"/>
      <c r="U840" s="75"/>
      <c r="V840" s="75"/>
      <c r="W840" s="75"/>
      <c r="X840" s="75"/>
      <c r="Y840" s="340"/>
      <c r="Z840" s="341"/>
      <c r="AA840" s="341"/>
      <c r="AB840" s="341"/>
      <c r="AC840" s="340"/>
      <c r="AD840" s="75"/>
      <c r="AE840" s="75"/>
      <c r="AF840" s="75"/>
      <c r="AG840" s="344"/>
      <c r="AH840" s="344"/>
      <c r="AI840" s="344"/>
      <c r="AJ840" s="97"/>
      <c r="AK840" s="4"/>
    </row>
    <row r="841" spans="2:37" s="113" customFormat="1" x14ac:dyDescent="0.4">
      <c r="B841" s="80"/>
      <c r="C841" s="563">
        <v>428</v>
      </c>
      <c r="D841" s="907"/>
      <c r="E841" s="906"/>
      <c r="F841" s="921" t="str">
        <f t="shared" si="44"/>
        <v/>
      </c>
      <c r="G841" s="882" t="str">
        <f t="shared" si="47"/>
        <v/>
      </c>
      <c r="H841" s="919"/>
      <c r="I841" s="922">
        <v>1869</v>
      </c>
      <c r="J841" s="907"/>
      <c r="K841" s="906"/>
      <c r="L841" s="921" t="str">
        <f t="shared" si="45"/>
        <v/>
      </c>
      <c r="M841" s="155" t="str">
        <f t="shared" si="46"/>
        <v/>
      </c>
      <c r="T841" s="75"/>
      <c r="U841" s="75"/>
      <c r="V841" s="75"/>
      <c r="W841" s="75"/>
      <c r="X841" s="75"/>
      <c r="Y841" s="340"/>
      <c r="Z841" s="341"/>
      <c r="AA841" s="341"/>
      <c r="AB841" s="341"/>
      <c r="AC841" s="340"/>
      <c r="AD841" s="75"/>
      <c r="AE841" s="75"/>
      <c r="AF841" s="75"/>
      <c r="AG841" s="344"/>
      <c r="AH841" s="344"/>
      <c r="AI841" s="344"/>
      <c r="AJ841" s="97"/>
      <c r="AK841" s="4"/>
    </row>
    <row r="842" spans="2:37" s="113" customFormat="1" x14ac:dyDescent="0.4">
      <c r="B842" s="80"/>
      <c r="C842" s="563">
        <v>429</v>
      </c>
      <c r="D842" s="907"/>
      <c r="E842" s="906"/>
      <c r="F842" s="921" t="str">
        <f t="shared" si="44"/>
        <v/>
      </c>
      <c r="G842" s="882" t="str">
        <f t="shared" si="47"/>
        <v/>
      </c>
      <c r="H842" s="919"/>
      <c r="I842" s="922">
        <v>1870</v>
      </c>
      <c r="J842" s="907"/>
      <c r="K842" s="906"/>
      <c r="L842" s="921" t="str">
        <f t="shared" si="45"/>
        <v/>
      </c>
      <c r="M842" s="155" t="str">
        <f t="shared" si="46"/>
        <v/>
      </c>
      <c r="T842" s="75"/>
      <c r="U842" s="75"/>
      <c r="V842" s="75"/>
      <c r="W842" s="75"/>
      <c r="X842" s="75"/>
      <c r="Y842" s="340"/>
      <c r="Z842" s="341"/>
      <c r="AA842" s="341"/>
      <c r="AB842" s="341"/>
      <c r="AC842" s="340"/>
      <c r="AD842" s="75"/>
      <c r="AE842" s="75"/>
      <c r="AF842" s="75"/>
      <c r="AG842" s="344"/>
      <c r="AH842" s="344"/>
      <c r="AI842" s="344"/>
      <c r="AJ842" s="97"/>
      <c r="AK842" s="4"/>
    </row>
    <row r="843" spans="2:37" s="113" customFormat="1" x14ac:dyDescent="0.4">
      <c r="B843" s="80"/>
      <c r="C843" s="563">
        <v>430</v>
      </c>
      <c r="D843" s="907"/>
      <c r="E843" s="906"/>
      <c r="F843" s="921" t="str">
        <f t="shared" si="44"/>
        <v/>
      </c>
      <c r="G843" s="882" t="str">
        <f t="shared" si="47"/>
        <v/>
      </c>
      <c r="H843" s="919"/>
      <c r="I843" s="922">
        <v>1871</v>
      </c>
      <c r="J843" s="907"/>
      <c r="K843" s="906"/>
      <c r="L843" s="921" t="str">
        <f t="shared" si="45"/>
        <v/>
      </c>
      <c r="M843" s="155" t="str">
        <f t="shared" si="46"/>
        <v/>
      </c>
      <c r="T843" s="75"/>
      <c r="U843" s="75"/>
      <c r="V843" s="75"/>
      <c r="W843" s="75"/>
      <c r="X843" s="75"/>
      <c r="Y843" s="340"/>
      <c r="Z843" s="341"/>
      <c r="AA843" s="341"/>
      <c r="AB843" s="341"/>
      <c r="AC843" s="340"/>
      <c r="AD843" s="75"/>
      <c r="AE843" s="75"/>
      <c r="AF843" s="75"/>
      <c r="AG843" s="344"/>
      <c r="AH843" s="344"/>
      <c r="AI843" s="344"/>
      <c r="AJ843" s="97"/>
      <c r="AK843" s="4"/>
    </row>
    <row r="844" spans="2:37" s="113" customFormat="1" x14ac:dyDescent="0.4">
      <c r="B844" s="80"/>
      <c r="C844" s="563">
        <v>431</v>
      </c>
      <c r="D844" s="907"/>
      <c r="E844" s="906"/>
      <c r="F844" s="921" t="str">
        <f t="shared" si="44"/>
        <v/>
      </c>
      <c r="G844" s="882" t="str">
        <f t="shared" si="47"/>
        <v/>
      </c>
      <c r="H844" s="919"/>
      <c r="I844" s="922">
        <v>1872</v>
      </c>
      <c r="J844" s="907"/>
      <c r="K844" s="906"/>
      <c r="L844" s="921" t="str">
        <f t="shared" si="45"/>
        <v/>
      </c>
      <c r="M844" s="155" t="str">
        <f t="shared" si="46"/>
        <v/>
      </c>
      <c r="T844" s="75"/>
      <c r="U844" s="75"/>
      <c r="V844" s="75"/>
      <c r="W844" s="75"/>
      <c r="X844" s="75"/>
      <c r="Y844" s="340"/>
      <c r="Z844" s="341"/>
      <c r="AA844" s="341"/>
      <c r="AB844" s="341"/>
      <c r="AC844" s="340"/>
      <c r="AD844" s="75"/>
      <c r="AE844" s="75"/>
      <c r="AF844" s="75"/>
      <c r="AG844" s="344"/>
      <c r="AH844" s="344"/>
      <c r="AI844" s="344"/>
      <c r="AJ844" s="97"/>
      <c r="AK844" s="4"/>
    </row>
    <row r="845" spans="2:37" s="113" customFormat="1" x14ac:dyDescent="0.4">
      <c r="B845" s="80"/>
      <c r="C845" s="563">
        <v>432</v>
      </c>
      <c r="D845" s="907"/>
      <c r="E845" s="906"/>
      <c r="F845" s="921" t="str">
        <f t="shared" si="44"/>
        <v/>
      </c>
      <c r="G845" s="882" t="str">
        <f t="shared" si="47"/>
        <v/>
      </c>
      <c r="H845" s="919"/>
      <c r="I845" s="922">
        <v>1873</v>
      </c>
      <c r="J845" s="907"/>
      <c r="K845" s="906"/>
      <c r="L845" s="921" t="str">
        <f t="shared" si="45"/>
        <v/>
      </c>
      <c r="M845" s="155" t="str">
        <f t="shared" si="46"/>
        <v/>
      </c>
      <c r="T845" s="75"/>
      <c r="U845" s="75"/>
      <c r="V845" s="75"/>
      <c r="W845" s="75"/>
      <c r="X845" s="75"/>
      <c r="Y845" s="340"/>
      <c r="Z845" s="341"/>
      <c r="AA845" s="341"/>
      <c r="AB845" s="341"/>
      <c r="AC845" s="340"/>
      <c r="AD845" s="75"/>
      <c r="AE845" s="75"/>
      <c r="AF845" s="75"/>
      <c r="AG845" s="344"/>
      <c r="AH845" s="344"/>
      <c r="AI845" s="344"/>
      <c r="AJ845" s="97"/>
      <c r="AK845" s="4"/>
    </row>
    <row r="846" spans="2:37" s="113" customFormat="1" x14ac:dyDescent="0.4">
      <c r="B846" s="80"/>
      <c r="C846" s="563">
        <v>433</v>
      </c>
      <c r="D846" s="907"/>
      <c r="E846" s="906"/>
      <c r="F846" s="921" t="str">
        <f t="shared" si="44"/>
        <v/>
      </c>
      <c r="G846" s="882" t="str">
        <f t="shared" si="47"/>
        <v/>
      </c>
      <c r="H846" s="919"/>
      <c r="I846" s="922">
        <v>1874</v>
      </c>
      <c r="J846" s="907"/>
      <c r="K846" s="906"/>
      <c r="L846" s="921" t="str">
        <f t="shared" si="45"/>
        <v/>
      </c>
      <c r="M846" s="155" t="str">
        <f t="shared" si="46"/>
        <v/>
      </c>
      <c r="T846" s="75"/>
      <c r="U846" s="75"/>
      <c r="V846" s="75"/>
      <c r="W846" s="75"/>
      <c r="X846" s="75"/>
      <c r="Y846" s="340"/>
      <c r="Z846" s="341"/>
      <c r="AA846" s="341"/>
      <c r="AB846" s="341"/>
      <c r="AC846" s="340"/>
      <c r="AD846" s="75"/>
      <c r="AE846" s="75"/>
      <c r="AF846" s="75"/>
      <c r="AG846" s="344"/>
      <c r="AH846" s="344"/>
      <c r="AI846" s="344"/>
      <c r="AJ846" s="97"/>
      <c r="AK846" s="4"/>
    </row>
    <row r="847" spans="2:37" s="113" customFormat="1" x14ac:dyDescent="0.4">
      <c r="B847" s="80"/>
      <c r="C847" s="563">
        <v>434</v>
      </c>
      <c r="D847" s="907"/>
      <c r="E847" s="906"/>
      <c r="F847" s="921" t="str">
        <f t="shared" si="44"/>
        <v/>
      </c>
      <c r="G847" s="882" t="str">
        <f t="shared" si="47"/>
        <v/>
      </c>
      <c r="H847" s="919"/>
      <c r="I847" s="922">
        <v>1875</v>
      </c>
      <c r="J847" s="907"/>
      <c r="K847" s="906"/>
      <c r="L847" s="921" t="str">
        <f t="shared" si="45"/>
        <v/>
      </c>
      <c r="M847" s="155" t="str">
        <f t="shared" si="46"/>
        <v/>
      </c>
      <c r="T847" s="75"/>
      <c r="U847" s="75"/>
      <c r="V847" s="75"/>
      <c r="W847" s="75"/>
      <c r="X847" s="75"/>
      <c r="Y847" s="340"/>
      <c r="Z847" s="341"/>
      <c r="AA847" s="341"/>
      <c r="AB847" s="341"/>
      <c r="AC847" s="340"/>
      <c r="AD847" s="75"/>
      <c r="AE847" s="75"/>
      <c r="AF847" s="75"/>
      <c r="AG847" s="344"/>
      <c r="AH847" s="344"/>
      <c r="AI847" s="344"/>
      <c r="AJ847" s="97"/>
      <c r="AK847" s="4"/>
    </row>
    <row r="848" spans="2:37" s="113" customFormat="1" x14ac:dyDescent="0.4">
      <c r="B848" s="80"/>
      <c r="C848" s="563">
        <v>435</v>
      </c>
      <c r="D848" s="907"/>
      <c r="E848" s="906"/>
      <c r="F848" s="921" t="str">
        <f t="shared" si="44"/>
        <v/>
      </c>
      <c r="G848" s="882" t="str">
        <f t="shared" si="47"/>
        <v/>
      </c>
      <c r="H848" s="919"/>
      <c r="I848" s="922">
        <v>1876</v>
      </c>
      <c r="J848" s="907"/>
      <c r="K848" s="906"/>
      <c r="L848" s="921" t="str">
        <f t="shared" si="45"/>
        <v/>
      </c>
      <c r="M848" s="155" t="str">
        <f t="shared" si="46"/>
        <v/>
      </c>
      <c r="T848" s="75"/>
      <c r="U848" s="75"/>
      <c r="V848" s="75"/>
      <c r="W848" s="75"/>
      <c r="X848" s="75"/>
      <c r="Y848" s="340"/>
      <c r="Z848" s="341"/>
      <c r="AA848" s="341"/>
      <c r="AB848" s="341"/>
      <c r="AC848" s="340"/>
      <c r="AD848" s="75"/>
      <c r="AE848" s="75"/>
      <c r="AF848" s="75"/>
      <c r="AG848" s="344"/>
      <c r="AH848" s="344"/>
      <c r="AI848" s="344"/>
      <c r="AJ848" s="97"/>
      <c r="AK848" s="4"/>
    </row>
    <row r="849" spans="2:37" s="113" customFormat="1" x14ac:dyDescent="0.4">
      <c r="B849" s="80"/>
      <c r="C849" s="563">
        <v>436</v>
      </c>
      <c r="D849" s="907"/>
      <c r="E849" s="906"/>
      <c r="F849" s="921" t="str">
        <f t="shared" si="44"/>
        <v/>
      </c>
      <c r="G849" s="882" t="str">
        <f t="shared" si="47"/>
        <v/>
      </c>
      <c r="H849" s="919"/>
      <c r="I849" s="922">
        <v>1877</v>
      </c>
      <c r="J849" s="907"/>
      <c r="K849" s="906"/>
      <c r="L849" s="921" t="str">
        <f t="shared" si="45"/>
        <v/>
      </c>
      <c r="M849" s="155" t="str">
        <f t="shared" si="46"/>
        <v/>
      </c>
      <c r="T849" s="75"/>
      <c r="U849" s="75"/>
      <c r="V849" s="75"/>
      <c r="W849" s="75"/>
      <c r="X849" s="75"/>
      <c r="Y849" s="340"/>
      <c r="Z849" s="341"/>
      <c r="AA849" s="341"/>
      <c r="AB849" s="341"/>
      <c r="AC849" s="340"/>
      <c r="AD849" s="75"/>
      <c r="AE849" s="75"/>
      <c r="AF849" s="75"/>
      <c r="AG849" s="344"/>
      <c r="AH849" s="344"/>
      <c r="AI849" s="344"/>
      <c r="AJ849" s="97"/>
      <c r="AK849" s="4"/>
    </row>
    <row r="850" spans="2:37" s="113" customFormat="1" x14ac:dyDescent="0.4">
      <c r="B850" s="80"/>
      <c r="C850" s="563">
        <v>437</v>
      </c>
      <c r="D850" s="907"/>
      <c r="E850" s="906"/>
      <c r="F850" s="921" t="str">
        <f t="shared" si="44"/>
        <v/>
      </c>
      <c r="G850" s="882" t="str">
        <f t="shared" si="47"/>
        <v/>
      </c>
      <c r="H850" s="919"/>
      <c r="I850" s="922">
        <v>1878</v>
      </c>
      <c r="J850" s="907"/>
      <c r="K850" s="906"/>
      <c r="L850" s="921" t="str">
        <f t="shared" si="45"/>
        <v/>
      </c>
      <c r="M850" s="155" t="str">
        <f t="shared" si="46"/>
        <v/>
      </c>
      <c r="T850" s="75"/>
      <c r="U850" s="75"/>
      <c r="V850" s="75"/>
      <c r="W850" s="75"/>
      <c r="X850" s="75"/>
      <c r="Y850" s="340"/>
      <c r="Z850" s="341"/>
      <c r="AA850" s="341"/>
      <c r="AB850" s="341"/>
      <c r="AC850" s="340"/>
      <c r="AD850" s="75"/>
      <c r="AE850" s="75"/>
      <c r="AF850" s="75"/>
      <c r="AG850" s="344"/>
      <c r="AH850" s="344"/>
      <c r="AI850" s="344"/>
      <c r="AJ850" s="97"/>
      <c r="AK850" s="4"/>
    </row>
    <row r="851" spans="2:37" s="113" customFormat="1" x14ac:dyDescent="0.4">
      <c r="B851" s="80"/>
      <c r="C851" s="563">
        <v>438</v>
      </c>
      <c r="D851" s="907"/>
      <c r="E851" s="906"/>
      <c r="F851" s="921" t="str">
        <f t="shared" si="44"/>
        <v/>
      </c>
      <c r="G851" s="882" t="str">
        <f t="shared" si="47"/>
        <v/>
      </c>
      <c r="H851" s="919"/>
      <c r="I851" s="922">
        <v>1879</v>
      </c>
      <c r="J851" s="907"/>
      <c r="K851" s="906"/>
      <c r="L851" s="921" t="str">
        <f t="shared" si="45"/>
        <v/>
      </c>
      <c r="M851" s="155" t="str">
        <f t="shared" si="46"/>
        <v/>
      </c>
      <c r="T851" s="75"/>
      <c r="U851" s="75"/>
      <c r="V851" s="75"/>
      <c r="W851" s="75"/>
      <c r="X851" s="75"/>
      <c r="Y851" s="340"/>
      <c r="Z851" s="341"/>
      <c r="AA851" s="341"/>
      <c r="AB851" s="341"/>
      <c r="AC851" s="340"/>
      <c r="AD851" s="75"/>
      <c r="AE851" s="75"/>
      <c r="AF851" s="75"/>
      <c r="AG851" s="344"/>
      <c r="AH851" s="344"/>
      <c r="AI851" s="344"/>
      <c r="AJ851" s="97"/>
      <c r="AK851" s="4"/>
    </row>
    <row r="852" spans="2:37" s="113" customFormat="1" x14ac:dyDescent="0.4">
      <c r="B852" s="80"/>
      <c r="C852" s="563">
        <v>439</v>
      </c>
      <c r="D852" s="907"/>
      <c r="E852" s="906"/>
      <c r="F852" s="921" t="str">
        <f t="shared" si="44"/>
        <v/>
      </c>
      <c r="G852" s="882" t="str">
        <f t="shared" si="47"/>
        <v/>
      </c>
      <c r="H852" s="919"/>
      <c r="I852" s="922">
        <v>1880</v>
      </c>
      <c r="J852" s="907"/>
      <c r="K852" s="906"/>
      <c r="L852" s="921" t="str">
        <f t="shared" si="45"/>
        <v/>
      </c>
      <c r="M852" s="155" t="str">
        <f t="shared" si="46"/>
        <v/>
      </c>
      <c r="T852" s="75"/>
      <c r="U852" s="75"/>
      <c r="V852" s="75"/>
      <c r="W852" s="75"/>
      <c r="X852" s="75"/>
      <c r="Y852" s="340"/>
      <c r="Z852" s="341"/>
      <c r="AA852" s="341"/>
      <c r="AB852" s="341"/>
      <c r="AC852" s="340"/>
      <c r="AD852" s="75"/>
      <c r="AE852" s="75"/>
      <c r="AF852" s="75"/>
      <c r="AG852" s="344"/>
      <c r="AH852" s="344"/>
      <c r="AI852" s="344"/>
      <c r="AJ852" s="97"/>
      <c r="AK852" s="4"/>
    </row>
    <row r="853" spans="2:37" s="113" customFormat="1" x14ac:dyDescent="0.4">
      <c r="B853" s="80"/>
      <c r="C853" s="563">
        <v>440</v>
      </c>
      <c r="D853" s="907"/>
      <c r="E853" s="906"/>
      <c r="F853" s="921" t="str">
        <f t="shared" si="44"/>
        <v/>
      </c>
      <c r="G853" s="882" t="str">
        <f t="shared" si="47"/>
        <v/>
      </c>
      <c r="H853" s="919"/>
      <c r="I853" s="922">
        <v>1881</v>
      </c>
      <c r="J853" s="907"/>
      <c r="K853" s="906"/>
      <c r="L853" s="921" t="str">
        <f t="shared" si="45"/>
        <v/>
      </c>
      <c r="M853" s="155" t="str">
        <f t="shared" si="46"/>
        <v/>
      </c>
      <c r="T853" s="75"/>
      <c r="U853" s="75"/>
      <c r="V853" s="75"/>
      <c r="W853" s="75"/>
      <c r="X853" s="75"/>
      <c r="Y853" s="340"/>
      <c r="Z853" s="341"/>
      <c r="AA853" s="341"/>
      <c r="AB853" s="341"/>
      <c r="AC853" s="340"/>
      <c r="AD853" s="75"/>
      <c r="AE853" s="75"/>
      <c r="AF853" s="75"/>
      <c r="AG853" s="344"/>
      <c r="AH853" s="344"/>
      <c r="AI853" s="344"/>
      <c r="AJ853" s="97"/>
      <c r="AK853" s="4"/>
    </row>
    <row r="854" spans="2:37" s="113" customFormat="1" x14ac:dyDescent="0.4">
      <c r="B854" s="80"/>
      <c r="C854" s="563">
        <v>441</v>
      </c>
      <c r="D854" s="907"/>
      <c r="E854" s="906"/>
      <c r="F854" s="921" t="str">
        <f t="shared" si="44"/>
        <v/>
      </c>
      <c r="G854" s="882" t="str">
        <f t="shared" si="47"/>
        <v/>
      </c>
      <c r="H854" s="919"/>
      <c r="I854" s="922">
        <v>1882</v>
      </c>
      <c r="J854" s="907"/>
      <c r="K854" s="906"/>
      <c r="L854" s="921" t="str">
        <f t="shared" si="45"/>
        <v/>
      </c>
      <c r="M854" s="155" t="str">
        <f t="shared" si="46"/>
        <v/>
      </c>
      <c r="T854" s="75"/>
      <c r="U854" s="75"/>
      <c r="V854" s="75"/>
      <c r="W854" s="75"/>
      <c r="X854" s="75"/>
      <c r="Y854" s="340"/>
      <c r="Z854" s="341"/>
      <c r="AA854" s="341"/>
      <c r="AB854" s="341"/>
      <c r="AC854" s="340"/>
      <c r="AD854" s="75"/>
      <c r="AE854" s="75"/>
      <c r="AF854" s="75"/>
      <c r="AG854" s="344"/>
      <c r="AH854" s="344"/>
      <c r="AI854" s="344"/>
      <c r="AJ854" s="97"/>
      <c r="AK854" s="4"/>
    </row>
    <row r="855" spans="2:37" s="113" customFormat="1" x14ac:dyDescent="0.4">
      <c r="B855" s="80"/>
      <c r="C855" s="563">
        <v>442</v>
      </c>
      <c r="D855" s="907"/>
      <c r="E855" s="906"/>
      <c r="F855" s="921" t="str">
        <f t="shared" si="44"/>
        <v/>
      </c>
      <c r="G855" s="882" t="str">
        <f t="shared" si="47"/>
        <v/>
      </c>
      <c r="H855" s="919"/>
      <c r="I855" s="922">
        <v>1883</v>
      </c>
      <c r="J855" s="907"/>
      <c r="K855" s="906"/>
      <c r="L855" s="921" t="str">
        <f t="shared" si="45"/>
        <v/>
      </c>
      <c r="M855" s="155" t="str">
        <f t="shared" si="46"/>
        <v/>
      </c>
      <c r="T855" s="75"/>
      <c r="U855" s="75"/>
      <c r="V855" s="75"/>
      <c r="W855" s="75"/>
      <c r="X855" s="75"/>
      <c r="Y855" s="340"/>
      <c r="Z855" s="341"/>
      <c r="AA855" s="341"/>
      <c r="AB855" s="341"/>
      <c r="AC855" s="340"/>
      <c r="AD855" s="75"/>
      <c r="AE855" s="75"/>
      <c r="AF855" s="75"/>
      <c r="AG855" s="344"/>
      <c r="AH855" s="344"/>
      <c r="AI855" s="344"/>
      <c r="AJ855" s="97"/>
      <c r="AK855" s="4"/>
    </row>
    <row r="856" spans="2:37" s="113" customFormat="1" x14ac:dyDescent="0.4">
      <c r="B856" s="80"/>
      <c r="C856" s="563">
        <v>443</v>
      </c>
      <c r="D856" s="907"/>
      <c r="E856" s="906"/>
      <c r="F856" s="921" t="str">
        <f t="shared" si="44"/>
        <v/>
      </c>
      <c r="G856" s="882" t="str">
        <f t="shared" si="47"/>
        <v/>
      </c>
      <c r="H856" s="919"/>
      <c r="I856" s="922">
        <v>1884</v>
      </c>
      <c r="J856" s="907"/>
      <c r="K856" s="906"/>
      <c r="L856" s="921" t="str">
        <f t="shared" si="45"/>
        <v/>
      </c>
      <c r="M856" s="155" t="str">
        <f t="shared" si="46"/>
        <v/>
      </c>
      <c r="T856" s="75"/>
      <c r="U856" s="75"/>
      <c r="V856" s="75"/>
      <c r="W856" s="75"/>
      <c r="X856" s="75"/>
      <c r="Y856" s="340"/>
      <c r="Z856" s="341"/>
      <c r="AA856" s="341"/>
      <c r="AB856" s="341"/>
      <c r="AC856" s="340"/>
      <c r="AD856" s="75"/>
      <c r="AE856" s="75"/>
      <c r="AF856" s="75"/>
      <c r="AG856" s="344"/>
      <c r="AH856" s="344"/>
      <c r="AI856" s="344"/>
      <c r="AJ856" s="97"/>
      <c r="AK856" s="4"/>
    </row>
    <row r="857" spans="2:37" s="113" customFormat="1" x14ac:dyDescent="0.4">
      <c r="B857" s="80"/>
      <c r="C857" s="563">
        <v>444</v>
      </c>
      <c r="D857" s="907"/>
      <c r="E857" s="906"/>
      <c r="F857" s="921" t="str">
        <f t="shared" si="44"/>
        <v/>
      </c>
      <c r="G857" s="882" t="str">
        <f t="shared" si="47"/>
        <v/>
      </c>
      <c r="H857" s="919"/>
      <c r="I857" s="922">
        <v>1885</v>
      </c>
      <c r="J857" s="907"/>
      <c r="K857" s="906"/>
      <c r="L857" s="921" t="str">
        <f t="shared" si="45"/>
        <v/>
      </c>
      <c r="M857" s="155" t="str">
        <f t="shared" si="46"/>
        <v/>
      </c>
      <c r="T857" s="75"/>
      <c r="U857" s="75"/>
      <c r="V857" s="75"/>
      <c r="W857" s="75"/>
      <c r="X857" s="75"/>
      <c r="Y857" s="340"/>
      <c r="Z857" s="341"/>
      <c r="AA857" s="341"/>
      <c r="AB857" s="341"/>
      <c r="AC857" s="340"/>
      <c r="AD857" s="75"/>
      <c r="AE857" s="75"/>
      <c r="AF857" s="75"/>
      <c r="AG857" s="344"/>
      <c r="AH857" s="344"/>
      <c r="AI857" s="344"/>
      <c r="AJ857" s="97"/>
      <c r="AK857" s="4"/>
    </row>
    <row r="858" spans="2:37" s="113" customFormat="1" x14ac:dyDescent="0.4">
      <c r="B858" s="80"/>
      <c r="C858" s="563">
        <v>445</v>
      </c>
      <c r="D858" s="907"/>
      <c r="E858" s="906"/>
      <c r="F858" s="921" t="str">
        <f t="shared" si="44"/>
        <v/>
      </c>
      <c r="G858" s="882" t="str">
        <f t="shared" si="47"/>
        <v/>
      </c>
      <c r="H858" s="919"/>
      <c r="I858" s="922">
        <v>1886</v>
      </c>
      <c r="J858" s="907"/>
      <c r="K858" s="906"/>
      <c r="L858" s="921" t="str">
        <f t="shared" si="45"/>
        <v/>
      </c>
      <c r="M858" s="155" t="str">
        <f t="shared" si="46"/>
        <v/>
      </c>
      <c r="T858" s="75"/>
      <c r="U858" s="75"/>
      <c r="V858" s="75"/>
      <c r="W858" s="75"/>
      <c r="X858" s="75"/>
      <c r="Y858" s="340"/>
      <c r="Z858" s="341"/>
      <c r="AA858" s="341"/>
      <c r="AB858" s="341"/>
      <c r="AC858" s="340"/>
      <c r="AD858" s="75"/>
      <c r="AE858" s="75"/>
      <c r="AF858" s="75"/>
      <c r="AG858" s="344"/>
      <c r="AH858" s="344"/>
      <c r="AI858" s="344"/>
      <c r="AJ858" s="97"/>
      <c r="AK858" s="4"/>
    </row>
    <row r="859" spans="2:37" s="113" customFormat="1" x14ac:dyDescent="0.4">
      <c r="B859" s="80"/>
      <c r="C859" s="563">
        <v>446</v>
      </c>
      <c r="D859" s="907"/>
      <c r="E859" s="906"/>
      <c r="F859" s="921" t="str">
        <f t="shared" si="44"/>
        <v/>
      </c>
      <c r="G859" s="882" t="str">
        <f t="shared" si="47"/>
        <v/>
      </c>
      <c r="H859" s="919"/>
      <c r="I859" s="922">
        <v>1887</v>
      </c>
      <c r="J859" s="907"/>
      <c r="K859" s="906"/>
      <c r="L859" s="921" t="str">
        <f t="shared" si="45"/>
        <v/>
      </c>
      <c r="M859" s="155" t="str">
        <f t="shared" si="46"/>
        <v/>
      </c>
      <c r="T859" s="75"/>
      <c r="U859" s="75"/>
      <c r="V859" s="75"/>
      <c r="W859" s="75"/>
      <c r="X859" s="75"/>
      <c r="Y859" s="340"/>
      <c r="Z859" s="341"/>
      <c r="AA859" s="341"/>
      <c r="AB859" s="341"/>
      <c r="AC859" s="340"/>
      <c r="AD859" s="75"/>
      <c r="AE859" s="75"/>
      <c r="AF859" s="75"/>
      <c r="AG859" s="344"/>
      <c r="AH859" s="344"/>
      <c r="AI859" s="344"/>
      <c r="AJ859" s="97"/>
      <c r="AK859" s="4"/>
    </row>
    <row r="860" spans="2:37" s="113" customFormat="1" x14ac:dyDescent="0.4">
      <c r="B860" s="80"/>
      <c r="C860" s="563">
        <v>447</v>
      </c>
      <c r="D860" s="907"/>
      <c r="E860" s="906"/>
      <c r="F860" s="921" t="str">
        <f t="shared" si="44"/>
        <v/>
      </c>
      <c r="G860" s="882" t="str">
        <f t="shared" si="47"/>
        <v/>
      </c>
      <c r="H860" s="919"/>
      <c r="I860" s="922">
        <v>1888</v>
      </c>
      <c r="J860" s="907"/>
      <c r="K860" s="906"/>
      <c r="L860" s="921" t="str">
        <f t="shared" si="45"/>
        <v/>
      </c>
      <c r="M860" s="155" t="str">
        <f t="shared" si="46"/>
        <v/>
      </c>
      <c r="T860" s="75"/>
      <c r="U860" s="75"/>
      <c r="V860" s="75"/>
      <c r="W860" s="75"/>
      <c r="X860" s="75"/>
      <c r="Y860" s="340"/>
      <c r="Z860" s="341"/>
      <c r="AA860" s="341"/>
      <c r="AB860" s="341"/>
      <c r="AC860" s="340"/>
      <c r="AD860" s="75"/>
      <c r="AE860" s="75"/>
      <c r="AF860" s="75"/>
      <c r="AG860" s="344"/>
      <c r="AH860" s="344"/>
      <c r="AI860" s="344"/>
      <c r="AJ860" s="97"/>
      <c r="AK860" s="4"/>
    </row>
    <row r="861" spans="2:37" s="113" customFormat="1" x14ac:dyDescent="0.4">
      <c r="B861" s="80"/>
      <c r="C861" s="563">
        <v>448</v>
      </c>
      <c r="D861" s="907"/>
      <c r="E861" s="906"/>
      <c r="F861" s="921" t="str">
        <f t="shared" si="44"/>
        <v/>
      </c>
      <c r="G861" s="882" t="str">
        <f t="shared" si="47"/>
        <v/>
      </c>
      <c r="H861" s="919"/>
      <c r="I861" s="922">
        <v>1889</v>
      </c>
      <c r="J861" s="907"/>
      <c r="K861" s="906"/>
      <c r="L861" s="921" t="str">
        <f t="shared" si="45"/>
        <v/>
      </c>
      <c r="M861" s="155" t="str">
        <f t="shared" si="46"/>
        <v/>
      </c>
      <c r="T861" s="75"/>
      <c r="U861" s="75"/>
      <c r="V861" s="75"/>
      <c r="W861" s="75"/>
      <c r="X861" s="75"/>
      <c r="Y861" s="340"/>
      <c r="Z861" s="341"/>
      <c r="AA861" s="341"/>
      <c r="AB861" s="341"/>
      <c r="AC861" s="340"/>
      <c r="AD861" s="75"/>
      <c r="AE861" s="75"/>
      <c r="AF861" s="75"/>
      <c r="AG861" s="344"/>
      <c r="AH861" s="344"/>
      <c r="AI861" s="344"/>
      <c r="AJ861" s="97"/>
      <c r="AK861" s="4"/>
    </row>
    <row r="862" spans="2:37" s="113" customFormat="1" x14ac:dyDescent="0.4">
      <c r="B862" s="80"/>
      <c r="C862" s="563">
        <v>449</v>
      </c>
      <c r="D862" s="907"/>
      <c r="E862" s="906"/>
      <c r="F862" s="921" t="str">
        <f t="shared" ref="F862:F925" si="48">IF($D$30="","",IF(OR(
AND(C862&gt;=0,C862&lt;=$D$32),
AND(C862&gt;=$E$30,C862&lt;=$E$32),
AND(C862&gt;=$F$30,C862&lt;=$F$32),
AND(C862&gt;=$G$30,C862&lt;=$G$32),
AND(C862&gt;=$H$30,C862&lt;=$H$32),
AND(C862&gt;=$I$30,C862&lt;=$I$32),
AND(C862&gt;=$J$30,C862&lt;=$J$32),
AND(C862&gt;=$K$30,C862&lt;=$K$32),
AND(C862&gt;=$L$30,C862&lt;=$L$32),
AND(C862&gt;=$M$30,C862&lt;=$M$32,$M$32&lt;&gt;""),
AND(C862&gt;=$N$30,C862&lt;=$N$32,$N$32&lt;&gt;""),
AND(C862&gt;=$O$30,C862&lt;=$O$32,$O$32&lt;&gt;""),
AND(C862&gt;=$P$30,C862&lt;=$P$32,$P$32&lt;&gt;""),
AND(C862&gt;=$Q$30,C862&lt;=$Q$32,$Q$32&lt;&gt;"")
),"ON","OFF"))</f>
        <v/>
      </c>
      <c r="G862" s="882" t="str">
        <f t="shared" si="47"/>
        <v/>
      </c>
      <c r="H862" s="919"/>
      <c r="I862" s="922">
        <v>1890</v>
      </c>
      <c r="J862" s="907"/>
      <c r="K862" s="906"/>
      <c r="L862" s="921" t="str">
        <f t="shared" ref="L862:L892" si="49">IF($D$30="","",IF(OR(
AND(I862&gt;=0,I862&lt;=$D$32),
AND(I862&gt;=$E$30,I862&lt;=$E$32),
AND(I862&gt;=$F$30,I862&lt;=$F$32),
AND(I862&gt;=$G$30,I862&lt;=$G$32),
AND(I862&gt;=$H$30,I862&lt;=$H$32),
AND(I862&gt;=$I$30,I862&lt;=$I$32),
AND(I862&gt;=$J$30,I862&lt;=$J$32),
AND(I862&gt;=$K$30,I862&lt;=$K$32),
AND(I862&gt;=$L$30,I862&lt;=$L$32),
AND(I862&gt;=$M$30,I862&lt;=$M$32,$M$32&lt;&gt;""),
AND(I862&gt;=$N$30,I862&lt;=$N$32,$N$32&lt;&gt;""),
AND(I862&gt;=$O$30,I862&lt;=$O$32,$O$32&lt;&gt;""),
AND(I862&gt;=$P$30,I862&lt;=$P$32,$P$32&lt;&gt;""),
AND(I862&gt;=$Q$30,I862&lt;=$Q$32,$Q$32&lt;&gt;"")
),"ON","OFF"))</f>
        <v/>
      </c>
      <c r="M862" s="155" t="str">
        <f t="shared" ref="M862:M892" si="50">IF(OR($D$47="",$D$48=""),"",IF(OR(
AND(I862&gt;=$D$47,I862&lt;=$D$48),
AND(I862&gt;=$E$47,I862&lt;=$E$48),
AND(I862&gt;=$F$47,I862&lt;=$F$48),
AND(I862&gt;=$G$47,I862&lt;=$G$48),
AND(I862&gt;=$H$47,I862&lt;=$H$48),
AND(I862&gt;=$I$47,I862&lt;=$I$48),
AND(I862&gt;=$J$47,I862&lt;=$J$48),
AND(I862&gt;=$K$47,I862&lt;=$K$48),
AND(I862&gt;=$L$47,I862&lt;=$L$48),
AND(I862&gt;=$M$47,I862&lt;=$M$48),
AND(I862&gt;=$N$47,I862&lt;=$N$48),
AND(I862&gt;=$O$47,I862&lt;=$O$48),
AND(I862&gt;=$P$47,I862&lt;=$P$48),
AND(I862&gt;=$Q$47,I862&lt;=$Q$48),
AND(I862&gt;=$R$47,I862&lt;=$R$48),
AND(I862&gt;=$S$47,I862&lt;=$S$48),
AND(I862&gt;=$T$47,I862&lt;=$T$48),
AND(I862&gt;=$U$47,I862&lt;=$U$48),
AND(I862&gt;=$V$47,I862&lt;=$V$48),
AND(I862&gt;=$W$47,I862&lt;=$W$48),
AND(I862&gt;=$X$47,I862&lt;=$X$48),
AND(I862&gt;=$Y$47,I862&lt;=$Y$48),
AND(I862&gt;=$Z$47,I862&lt;=$Z$48),
AND(I862&gt;=$AA$47,I862&lt;=$AA$48),
AND(I862&gt;=$AB$47,I862&lt;=$AB$48),
AND(I862&gt;=$AC$47,I862&lt;=$AC$48),
AND(I862&gt;=$AD$47,I862&lt;=$AD$48),
AND(I862&gt;=$AE$47,I862&lt;=$AE$48),
AND(I862&gt;=$AF$47,I862&lt;=$AF$48),
AND(I862&gt;=$AG$47,I862&lt;=$AG$48)
),"ON","OFF"))</f>
        <v/>
      </c>
      <c r="T862" s="75"/>
      <c r="U862" s="75"/>
      <c r="V862" s="75"/>
      <c r="W862" s="75"/>
      <c r="X862" s="75"/>
      <c r="Y862" s="340"/>
      <c r="Z862" s="341"/>
      <c r="AA862" s="341"/>
      <c r="AB862" s="341"/>
      <c r="AC862" s="340"/>
      <c r="AD862" s="75"/>
      <c r="AE862" s="75"/>
      <c r="AF862" s="75"/>
      <c r="AG862" s="344"/>
      <c r="AH862" s="344"/>
      <c r="AI862" s="344"/>
      <c r="AJ862" s="97"/>
      <c r="AK862" s="4"/>
    </row>
    <row r="863" spans="2:37" s="113" customFormat="1" x14ac:dyDescent="0.4">
      <c r="B863" s="80"/>
      <c r="C863" s="563">
        <v>450</v>
      </c>
      <c r="D863" s="907"/>
      <c r="E863" s="906"/>
      <c r="F863" s="921" t="str">
        <f t="shared" si="48"/>
        <v/>
      </c>
      <c r="G863" s="882" t="str">
        <f t="shared" ref="G863:G926" si="51">IF(OR($D$47="",$D$48=""),"",IF(OR(
AND(C863&gt;=$D$47,C863&lt;=$D$48),
AND(C863&gt;=$E$47,C863&lt;=$E$48),
AND(C863&gt;=$F$47,C863&lt;=$F$48),
AND(C863&gt;=$G$47,C863&lt;=$G$48),
AND(C863&gt;=$H$47,C863&lt;=$H$48),
AND(C863&gt;=$I$47,C863&lt;=$I$48),
AND(C863&gt;=$J$47,C863&lt;=$J$48),
AND(C863&gt;=$K$47,C863&lt;=$K$48),
AND(C863&gt;=$L$47,C863&lt;=$L$48),
AND(C863&gt;=$M$47,C863&lt;=$M$48),
AND(C863&gt;=$N$47,C863&lt;=$N$48),
AND(C863&gt;=$O$47,C863&lt;=$O$48),
AND(C863&gt;=$P$47,C863&lt;=$P$48),
AND(C863&gt;=$Q$47,C863&lt;=$Q$48),
AND(C863&gt;=$R$47,C863&lt;=$R$48),
AND(C863&gt;=$S$47,C863&lt;=$S$48),
AND(C863&gt;=$T$47,C863&lt;=$T$48),
AND(C863&gt;=$U$47,C863&lt;=$U$48),
AND(C863&gt;=$V$47,C863&lt;=$V$48),
AND(C863&gt;=$W$47,C863&lt;=$W$48),
AND(C863&gt;=$X$47,C863&lt;=$X$48),
AND(C863&gt;=$Y$47,C863&lt;=$Y$48),
AND(C863&gt;=$Z$47,C863&lt;=$Z$48),
AND(C863&gt;=$AA$47,C863&lt;=$AA$48),
AND(C863&gt;=$AB$47,C863&lt;=$AB$48),
AND(C863&gt;=$AC$47,C863&lt;=$AC$48),
AND(C863&gt;=$AD$47,C863&lt;=$AD$48),
AND(C863&gt;=$AE$47,C863&lt;=$AE$48),
AND(C863&gt;=$AF$47,C863&lt;=$AF$48),
AND(C863&gt;=$AG$47,C863&lt;=$AG$48)
),"ON","OFF"))</f>
        <v/>
      </c>
      <c r="H863" s="919"/>
      <c r="I863" s="922">
        <v>1891</v>
      </c>
      <c r="J863" s="907"/>
      <c r="K863" s="906"/>
      <c r="L863" s="921" t="str">
        <f t="shared" si="49"/>
        <v/>
      </c>
      <c r="M863" s="155" t="str">
        <f t="shared" si="50"/>
        <v/>
      </c>
      <c r="T863" s="75"/>
      <c r="U863" s="75"/>
      <c r="V863" s="75"/>
      <c r="W863" s="75"/>
      <c r="X863" s="75"/>
      <c r="Y863" s="340"/>
      <c r="Z863" s="341"/>
      <c r="AA863" s="341"/>
      <c r="AB863" s="341"/>
      <c r="AC863" s="340"/>
      <c r="AD863" s="75"/>
      <c r="AE863" s="75"/>
      <c r="AF863" s="75"/>
      <c r="AG863" s="344"/>
      <c r="AH863" s="344"/>
      <c r="AI863" s="344"/>
      <c r="AJ863" s="97"/>
      <c r="AK863" s="4"/>
    </row>
    <row r="864" spans="2:37" s="113" customFormat="1" x14ac:dyDescent="0.4">
      <c r="B864" s="80"/>
      <c r="C864" s="563">
        <v>451</v>
      </c>
      <c r="D864" s="907"/>
      <c r="E864" s="906"/>
      <c r="F864" s="921" t="str">
        <f t="shared" si="48"/>
        <v/>
      </c>
      <c r="G864" s="882" t="str">
        <f t="shared" si="51"/>
        <v/>
      </c>
      <c r="H864" s="919"/>
      <c r="I864" s="922">
        <v>1892</v>
      </c>
      <c r="J864" s="907"/>
      <c r="K864" s="906"/>
      <c r="L864" s="921" t="str">
        <f t="shared" si="49"/>
        <v/>
      </c>
      <c r="M864" s="155" t="str">
        <f t="shared" si="50"/>
        <v/>
      </c>
      <c r="T864" s="75"/>
      <c r="U864" s="75"/>
      <c r="V864" s="75"/>
      <c r="W864" s="75"/>
      <c r="X864" s="75"/>
      <c r="Y864" s="340"/>
      <c r="Z864" s="341"/>
      <c r="AA864" s="341"/>
      <c r="AB864" s="341"/>
      <c r="AC864" s="340"/>
      <c r="AD864" s="75"/>
      <c r="AE864" s="75"/>
      <c r="AF864" s="75"/>
      <c r="AG864" s="344"/>
      <c r="AH864" s="344"/>
      <c r="AI864" s="344"/>
      <c r="AJ864" s="97"/>
      <c r="AK864" s="4"/>
    </row>
    <row r="865" spans="2:37" s="113" customFormat="1" x14ac:dyDescent="0.4">
      <c r="B865" s="80"/>
      <c r="C865" s="563">
        <v>452</v>
      </c>
      <c r="D865" s="907"/>
      <c r="E865" s="906"/>
      <c r="F865" s="921" t="str">
        <f t="shared" si="48"/>
        <v/>
      </c>
      <c r="G865" s="882" t="str">
        <f t="shared" si="51"/>
        <v/>
      </c>
      <c r="H865" s="919"/>
      <c r="I865" s="922">
        <v>1893</v>
      </c>
      <c r="J865" s="907"/>
      <c r="K865" s="906"/>
      <c r="L865" s="921" t="str">
        <f t="shared" si="49"/>
        <v/>
      </c>
      <c r="M865" s="155" t="str">
        <f t="shared" si="50"/>
        <v/>
      </c>
      <c r="T865" s="75"/>
      <c r="U865" s="75"/>
      <c r="V865" s="75"/>
      <c r="W865" s="75"/>
      <c r="X865" s="75"/>
      <c r="Y865" s="340"/>
      <c r="Z865" s="341"/>
      <c r="AA865" s="341"/>
      <c r="AB865" s="341"/>
      <c r="AC865" s="340"/>
      <c r="AD865" s="75"/>
      <c r="AE865" s="75"/>
      <c r="AF865" s="75"/>
      <c r="AG865" s="344"/>
      <c r="AH865" s="344"/>
      <c r="AI865" s="344"/>
      <c r="AJ865" s="97"/>
      <c r="AK865" s="4"/>
    </row>
    <row r="866" spans="2:37" s="113" customFormat="1" x14ac:dyDescent="0.4">
      <c r="B866" s="80"/>
      <c r="C866" s="563">
        <v>453</v>
      </c>
      <c r="D866" s="907"/>
      <c r="E866" s="906"/>
      <c r="F866" s="921" t="str">
        <f t="shared" si="48"/>
        <v/>
      </c>
      <c r="G866" s="882" t="str">
        <f t="shared" si="51"/>
        <v/>
      </c>
      <c r="H866" s="919"/>
      <c r="I866" s="922">
        <v>1894</v>
      </c>
      <c r="J866" s="907"/>
      <c r="K866" s="906"/>
      <c r="L866" s="921" t="str">
        <f t="shared" si="49"/>
        <v/>
      </c>
      <c r="M866" s="155" t="str">
        <f t="shared" si="50"/>
        <v/>
      </c>
      <c r="T866" s="75"/>
      <c r="U866" s="75"/>
      <c r="V866" s="75"/>
      <c r="W866" s="75"/>
      <c r="X866" s="75"/>
      <c r="Y866" s="340"/>
      <c r="Z866" s="341"/>
      <c r="AA866" s="341"/>
      <c r="AB866" s="341"/>
      <c r="AC866" s="340"/>
      <c r="AD866" s="75"/>
      <c r="AE866" s="75"/>
      <c r="AF866" s="75"/>
      <c r="AG866" s="344"/>
      <c r="AH866" s="344"/>
      <c r="AI866" s="344"/>
      <c r="AJ866" s="97"/>
      <c r="AK866" s="4"/>
    </row>
    <row r="867" spans="2:37" s="113" customFormat="1" x14ac:dyDescent="0.4">
      <c r="B867" s="80"/>
      <c r="C867" s="563">
        <v>454</v>
      </c>
      <c r="D867" s="907"/>
      <c r="E867" s="906"/>
      <c r="F867" s="921" t="str">
        <f t="shared" si="48"/>
        <v/>
      </c>
      <c r="G867" s="882" t="str">
        <f t="shared" si="51"/>
        <v/>
      </c>
      <c r="H867" s="919"/>
      <c r="I867" s="922">
        <v>1895</v>
      </c>
      <c r="J867" s="907"/>
      <c r="K867" s="906"/>
      <c r="L867" s="921" t="str">
        <f t="shared" si="49"/>
        <v/>
      </c>
      <c r="M867" s="155" t="str">
        <f t="shared" si="50"/>
        <v/>
      </c>
      <c r="T867" s="75"/>
      <c r="U867" s="75"/>
      <c r="V867" s="75"/>
      <c r="W867" s="75"/>
      <c r="X867" s="75"/>
      <c r="Y867" s="340"/>
      <c r="Z867" s="341"/>
      <c r="AA867" s="341"/>
      <c r="AB867" s="341"/>
      <c r="AC867" s="340"/>
      <c r="AD867" s="75"/>
      <c r="AE867" s="75"/>
      <c r="AF867" s="75"/>
      <c r="AG867" s="344"/>
      <c r="AH867" s="344"/>
      <c r="AI867" s="344"/>
      <c r="AJ867" s="97"/>
      <c r="AK867" s="4"/>
    </row>
    <row r="868" spans="2:37" s="113" customFormat="1" x14ac:dyDescent="0.4">
      <c r="B868" s="80"/>
      <c r="C868" s="563">
        <v>455</v>
      </c>
      <c r="D868" s="907"/>
      <c r="E868" s="906"/>
      <c r="F868" s="921" t="str">
        <f t="shared" si="48"/>
        <v/>
      </c>
      <c r="G868" s="882" t="str">
        <f t="shared" si="51"/>
        <v/>
      </c>
      <c r="H868" s="919"/>
      <c r="I868" s="922">
        <v>1896</v>
      </c>
      <c r="J868" s="907"/>
      <c r="K868" s="906"/>
      <c r="L868" s="921" t="str">
        <f t="shared" si="49"/>
        <v/>
      </c>
      <c r="M868" s="155" t="str">
        <f t="shared" si="50"/>
        <v/>
      </c>
      <c r="T868" s="75"/>
      <c r="U868" s="75"/>
      <c r="V868" s="75"/>
      <c r="W868" s="75"/>
      <c r="X868" s="75"/>
      <c r="Y868" s="340"/>
      <c r="Z868" s="341"/>
      <c r="AA868" s="341"/>
      <c r="AB868" s="341"/>
      <c r="AC868" s="340"/>
      <c r="AD868" s="75"/>
      <c r="AE868" s="75"/>
      <c r="AF868" s="75"/>
      <c r="AG868" s="344"/>
      <c r="AH868" s="344"/>
      <c r="AI868" s="344"/>
      <c r="AJ868" s="97"/>
      <c r="AK868" s="4"/>
    </row>
    <row r="869" spans="2:37" s="113" customFormat="1" x14ac:dyDescent="0.4">
      <c r="B869" s="80"/>
      <c r="C869" s="563">
        <v>456</v>
      </c>
      <c r="D869" s="907"/>
      <c r="E869" s="906"/>
      <c r="F869" s="921" t="str">
        <f t="shared" si="48"/>
        <v/>
      </c>
      <c r="G869" s="882" t="str">
        <f t="shared" si="51"/>
        <v/>
      </c>
      <c r="H869" s="919"/>
      <c r="I869" s="922">
        <v>1897</v>
      </c>
      <c r="J869" s="907"/>
      <c r="K869" s="906"/>
      <c r="L869" s="921" t="str">
        <f t="shared" si="49"/>
        <v/>
      </c>
      <c r="M869" s="155" t="str">
        <f t="shared" si="50"/>
        <v/>
      </c>
      <c r="T869" s="75"/>
      <c r="U869" s="75"/>
      <c r="V869" s="75"/>
      <c r="W869" s="75"/>
      <c r="X869" s="75"/>
      <c r="Y869" s="340"/>
      <c r="Z869" s="341"/>
      <c r="AA869" s="341"/>
      <c r="AB869" s="341"/>
      <c r="AC869" s="340"/>
      <c r="AD869" s="75"/>
      <c r="AE869" s="75"/>
      <c r="AF869" s="75"/>
      <c r="AG869" s="344"/>
      <c r="AH869" s="344"/>
      <c r="AI869" s="344"/>
      <c r="AJ869" s="97"/>
      <c r="AK869" s="4"/>
    </row>
    <row r="870" spans="2:37" s="113" customFormat="1" x14ac:dyDescent="0.4">
      <c r="B870" s="80"/>
      <c r="C870" s="563">
        <v>457</v>
      </c>
      <c r="D870" s="907"/>
      <c r="E870" s="906"/>
      <c r="F870" s="921" t="str">
        <f t="shared" si="48"/>
        <v/>
      </c>
      <c r="G870" s="882" t="str">
        <f t="shared" si="51"/>
        <v/>
      </c>
      <c r="H870" s="919"/>
      <c r="I870" s="922">
        <v>1898</v>
      </c>
      <c r="J870" s="907"/>
      <c r="K870" s="906"/>
      <c r="L870" s="921" t="str">
        <f t="shared" si="49"/>
        <v/>
      </c>
      <c r="M870" s="155" t="str">
        <f t="shared" si="50"/>
        <v/>
      </c>
      <c r="T870" s="75"/>
      <c r="U870" s="75"/>
      <c r="V870" s="75"/>
      <c r="W870" s="75"/>
      <c r="X870" s="75"/>
      <c r="Y870" s="340"/>
      <c r="Z870" s="341"/>
      <c r="AA870" s="341"/>
      <c r="AB870" s="341"/>
      <c r="AC870" s="340"/>
      <c r="AD870" s="75"/>
      <c r="AE870" s="75"/>
      <c r="AF870" s="75"/>
      <c r="AG870" s="344"/>
      <c r="AH870" s="344"/>
      <c r="AI870" s="344"/>
      <c r="AJ870" s="97"/>
      <c r="AK870" s="4"/>
    </row>
    <row r="871" spans="2:37" s="113" customFormat="1" x14ac:dyDescent="0.4">
      <c r="B871" s="80"/>
      <c r="C871" s="563">
        <v>458</v>
      </c>
      <c r="D871" s="907"/>
      <c r="E871" s="906"/>
      <c r="F871" s="921" t="str">
        <f t="shared" si="48"/>
        <v/>
      </c>
      <c r="G871" s="882" t="str">
        <f t="shared" si="51"/>
        <v/>
      </c>
      <c r="H871" s="919"/>
      <c r="I871" s="922">
        <v>1899</v>
      </c>
      <c r="J871" s="907"/>
      <c r="K871" s="906"/>
      <c r="L871" s="921" t="str">
        <f t="shared" si="49"/>
        <v/>
      </c>
      <c r="M871" s="155" t="str">
        <f t="shared" si="50"/>
        <v/>
      </c>
      <c r="T871" s="75"/>
      <c r="U871" s="75"/>
      <c r="V871" s="75"/>
      <c r="W871" s="75"/>
      <c r="X871" s="75"/>
      <c r="Y871" s="340"/>
      <c r="Z871" s="341"/>
      <c r="AA871" s="341"/>
      <c r="AB871" s="341"/>
      <c r="AC871" s="340"/>
      <c r="AD871" s="75"/>
      <c r="AE871" s="75"/>
      <c r="AF871" s="75"/>
      <c r="AG871" s="344"/>
      <c r="AH871" s="344"/>
      <c r="AI871" s="344"/>
      <c r="AJ871" s="97"/>
      <c r="AK871" s="4"/>
    </row>
    <row r="872" spans="2:37" s="113" customFormat="1" x14ac:dyDescent="0.4">
      <c r="B872" s="80"/>
      <c r="C872" s="563">
        <v>459</v>
      </c>
      <c r="D872" s="907"/>
      <c r="E872" s="906"/>
      <c r="F872" s="921" t="str">
        <f t="shared" si="48"/>
        <v/>
      </c>
      <c r="G872" s="882" t="str">
        <f t="shared" si="51"/>
        <v/>
      </c>
      <c r="H872" s="919"/>
      <c r="I872" s="922">
        <v>1900</v>
      </c>
      <c r="J872" s="907"/>
      <c r="K872" s="906"/>
      <c r="L872" s="921" t="str">
        <f t="shared" si="49"/>
        <v/>
      </c>
      <c r="M872" s="155" t="str">
        <f t="shared" si="50"/>
        <v/>
      </c>
      <c r="T872" s="75"/>
      <c r="U872" s="75"/>
      <c r="V872" s="75"/>
      <c r="W872" s="75"/>
      <c r="X872" s="75"/>
      <c r="Y872" s="340"/>
      <c r="Z872" s="341"/>
      <c r="AA872" s="341"/>
      <c r="AB872" s="341"/>
      <c r="AC872" s="340"/>
      <c r="AD872" s="75"/>
      <c r="AE872" s="75"/>
      <c r="AF872" s="75"/>
      <c r="AG872" s="344"/>
      <c r="AH872" s="344"/>
      <c r="AI872" s="344"/>
      <c r="AJ872" s="97"/>
      <c r="AK872" s="4"/>
    </row>
    <row r="873" spans="2:37" s="113" customFormat="1" x14ac:dyDescent="0.4">
      <c r="B873" s="80"/>
      <c r="C873" s="563">
        <v>460</v>
      </c>
      <c r="D873" s="907"/>
      <c r="E873" s="906"/>
      <c r="F873" s="921" t="str">
        <f t="shared" si="48"/>
        <v/>
      </c>
      <c r="G873" s="882" t="str">
        <f t="shared" si="51"/>
        <v/>
      </c>
      <c r="H873" s="919"/>
      <c r="I873" s="922">
        <v>1901</v>
      </c>
      <c r="J873" s="907"/>
      <c r="K873" s="906"/>
      <c r="L873" s="921" t="str">
        <f t="shared" si="49"/>
        <v/>
      </c>
      <c r="M873" s="155" t="str">
        <f t="shared" si="50"/>
        <v/>
      </c>
      <c r="T873" s="75"/>
      <c r="U873" s="75"/>
      <c r="V873" s="75"/>
      <c r="W873" s="75"/>
      <c r="X873" s="75"/>
      <c r="Y873" s="340"/>
      <c r="Z873" s="341"/>
      <c r="AA873" s="341"/>
      <c r="AB873" s="341"/>
      <c r="AC873" s="340"/>
      <c r="AD873" s="75"/>
      <c r="AE873" s="75"/>
      <c r="AF873" s="75"/>
      <c r="AG873" s="344"/>
      <c r="AH873" s="344"/>
      <c r="AI873" s="344"/>
      <c r="AJ873" s="97"/>
      <c r="AK873" s="4"/>
    </row>
    <row r="874" spans="2:37" s="113" customFormat="1" x14ac:dyDescent="0.4">
      <c r="B874" s="80"/>
      <c r="C874" s="563">
        <v>461</v>
      </c>
      <c r="D874" s="907"/>
      <c r="E874" s="906"/>
      <c r="F874" s="921" t="str">
        <f t="shared" si="48"/>
        <v/>
      </c>
      <c r="G874" s="882" t="str">
        <f t="shared" si="51"/>
        <v/>
      </c>
      <c r="H874" s="919"/>
      <c r="I874" s="922">
        <v>1902</v>
      </c>
      <c r="J874" s="907"/>
      <c r="K874" s="906"/>
      <c r="L874" s="921" t="str">
        <f t="shared" si="49"/>
        <v/>
      </c>
      <c r="M874" s="155" t="str">
        <f t="shared" si="50"/>
        <v/>
      </c>
      <c r="T874" s="75"/>
      <c r="U874" s="75"/>
      <c r="V874" s="75"/>
      <c r="W874" s="75"/>
      <c r="X874" s="75"/>
      <c r="Y874" s="340"/>
      <c r="Z874" s="341"/>
      <c r="AA874" s="341"/>
      <c r="AB874" s="341"/>
      <c r="AC874" s="340"/>
      <c r="AD874" s="75"/>
      <c r="AE874" s="75"/>
      <c r="AF874" s="75"/>
      <c r="AG874" s="344"/>
      <c r="AH874" s="344"/>
      <c r="AI874" s="344"/>
      <c r="AJ874" s="97"/>
      <c r="AK874" s="4"/>
    </row>
    <row r="875" spans="2:37" s="113" customFormat="1" x14ac:dyDescent="0.4">
      <c r="B875" s="80"/>
      <c r="C875" s="563">
        <v>462</v>
      </c>
      <c r="D875" s="907"/>
      <c r="E875" s="906"/>
      <c r="F875" s="921" t="str">
        <f t="shared" si="48"/>
        <v/>
      </c>
      <c r="G875" s="882" t="str">
        <f t="shared" si="51"/>
        <v/>
      </c>
      <c r="H875" s="919"/>
      <c r="I875" s="922">
        <v>1903</v>
      </c>
      <c r="J875" s="907"/>
      <c r="K875" s="906"/>
      <c r="L875" s="921" t="str">
        <f t="shared" si="49"/>
        <v/>
      </c>
      <c r="M875" s="155" t="str">
        <f t="shared" si="50"/>
        <v/>
      </c>
      <c r="T875" s="75"/>
      <c r="U875" s="75"/>
      <c r="V875" s="75"/>
      <c r="W875" s="75"/>
      <c r="X875" s="75"/>
      <c r="Y875" s="340"/>
      <c r="Z875" s="341"/>
      <c r="AA875" s="341"/>
      <c r="AB875" s="341"/>
      <c r="AC875" s="340"/>
      <c r="AD875" s="75"/>
      <c r="AE875" s="75"/>
      <c r="AF875" s="75"/>
      <c r="AG875" s="344"/>
      <c r="AH875" s="344"/>
      <c r="AI875" s="344"/>
      <c r="AJ875" s="97"/>
      <c r="AK875" s="4"/>
    </row>
    <row r="876" spans="2:37" s="113" customFormat="1" x14ac:dyDescent="0.4">
      <c r="B876" s="80"/>
      <c r="C876" s="563">
        <v>463</v>
      </c>
      <c r="D876" s="907"/>
      <c r="E876" s="906"/>
      <c r="F876" s="921" t="str">
        <f t="shared" si="48"/>
        <v/>
      </c>
      <c r="G876" s="882" t="str">
        <f t="shared" si="51"/>
        <v/>
      </c>
      <c r="H876" s="919"/>
      <c r="I876" s="922">
        <v>1904</v>
      </c>
      <c r="J876" s="907"/>
      <c r="K876" s="906"/>
      <c r="L876" s="921" t="str">
        <f t="shared" si="49"/>
        <v/>
      </c>
      <c r="M876" s="155" t="str">
        <f t="shared" si="50"/>
        <v/>
      </c>
      <c r="T876" s="75"/>
      <c r="U876" s="75"/>
      <c r="V876" s="75"/>
      <c r="W876" s="75"/>
      <c r="X876" s="75"/>
      <c r="Y876" s="340"/>
      <c r="Z876" s="341"/>
      <c r="AA876" s="341"/>
      <c r="AB876" s="341"/>
      <c r="AC876" s="340"/>
      <c r="AD876" s="75"/>
      <c r="AE876" s="75"/>
      <c r="AF876" s="75"/>
      <c r="AG876" s="344"/>
      <c r="AH876" s="344"/>
      <c r="AI876" s="344"/>
      <c r="AJ876" s="97"/>
      <c r="AK876" s="4"/>
    </row>
    <row r="877" spans="2:37" s="113" customFormat="1" x14ac:dyDescent="0.4">
      <c r="B877" s="80"/>
      <c r="C877" s="563">
        <v>464</v>
      </c>
      <c r="D877" s="907"/>
      <c r="E877" s="906"/>
      <c r="F877" s="921" t="str">
        <f t="shared" si="48"/>
        <v/>
      </c>
      <c r="G877" s="882" t="str">
        <f t="shared" si="51"/>
        <v/>
      </c>
      <c r="H877" s="919"/>
      <c r="I877" s="922">
        <v>1905</v>
      </c>
      <c r="J877" s="907"/>
      <c r="K877" s="906"/>
      <c r="L877" s="921" t="str">
        <f t="shared" si="49"/>
        <v/>
      </c>
      <c r="M877" s="155" t="str">
        <f t="shared" si="50"/>
        <v/>
      </c>
      <c r="T877" s="75"/>
      <c r="U877" s="75"/>
      <c r="V877" s="75"/>
      <c r="W877" s="75"/>
      <c r="X877" s="75"/>
      <c r="Y877" s="340"/>
      <c r="Z877" s="341"/>
      <c r="AA877" s="341"/>
      <c r="AB877" s="341"/>
      <c r="AC877" s="340"/>
      <c r="AD877" s="75"/>
      <c r="AE877" s="75"/>
      <c r="AF877" s="75"/>
      <c r="AG877" s="344"/>
      <c r="AH877" s="344"/>
      <c r="AI877" s="344"/>
      <c r="AJ877" s="97"/>
      <c r="AK877" s="4"/>
    </row>
    <row r="878" spans="2:37" s="113" customFormat="1" x14ac:dyDescent="0.4">
      <c r="B878" s="80"/>
      <c r="C878" s="563">
        <v>465</v>
      </c>
      <c r="D878" s="907"/>
      <c r="E878" s="906"/>
      <c r="F878" s="921" t="str">
        <f t="shared" si="48"/>
        <v/>
      </c>
      <c r="G878" s="882" t="str">
        <f t="shared" si="51"/>
        <v/>
      </c>
      <c r="H878" s="919"/>
      <c r="I878" s="922">
        <v>1906</v>
      </c>
      <c r="J878" s="907"/>
      <c r="K878" s="906"/>
      <c r="L878" s="921" t="str">
        <f t="shared" si="49"/>
        <v/>
      </c>
      <c r="M878" s="155" t="str">
        <f t="shared" si="50"/>
        <v/>
      </c>
      <c r="T878" s="75"/>
      <c r="U878" s="75"/>
      <c r="V878" s="75"/>
      <c r="W878" s="75"/>
      <c r="X878" s="75"/>
      <c r="Y878" s="340"/>
      <c r="Z878" s="341"/>
      <c r="AA878" s="341"/>
      <c r="AB878" s="341"/>
      <c r="AC878" s="340"/>
      <c r="AD878" s="75"/>
      <c r="AE878" s="75"/>
      <c r="AF878" s="75"/>
      <c r="AG878" s="344"/>
      <c r="AH878" s="344"/>
      <c r="AI878" s="344"/>
      <c r="AJ878" s="97"/>
      <c r="AK878" s="4"/>
    </row>
    <row r="879" spans="2:37" s="113" customFormat="1" x14ac:dyDescent="0.4">
      <c r="B879" s="80"/>
      <c r="C879" s="563">
        <v>466</v>
      </c>
      <c r="D879" s="907"/>
      <c r="E879" s="906"/>
      <c r="F879" s="921" t="str">
        <f t="shared" si="48"/>
        <v/>
      </c>
      <c r="G879" s="882" t="str">
        <f t="shared" si="51"/>
        <v/>
      </c>
      <c r="H879" s="919"/>
      <c r="I879" s="922">
        <v>1907</v>
      </c>
      <c r="J879" s="907"/>
      <c r="K879" s="906"/>
      <c r="L879" s="921" t="str">
        <f t="shared" si="49"/>
        <v/>
      </c>
      <c r="M879" s="155" t="str">
        <f t="shared" si="50"/>
        <v/>
      </c>
      <c r="T879" s="75"/>
      <c r="U879" s="75"/>
      <c r="V879" s="75"/>
      <c r="W879" s="75"/>
      <c r="X879" s="75"/>
      <c r="Y879" s="340"/>
      <c r="Z879" s="341"/>
      <c r="AA879" s="341"/>
      <c r="AB879" s="341"/>
      <c r="AC879" s="340"/>
      <c r="AD879" s="75"/>
      <c r="AE879" s="75"/>
      <c r="AF879" s="75"/>
      <c r="AG879" s="344"/>
      <c r="AH879" s="344"/>
      <c r="AI879" s="344"/>
      <c r="AJ879" s="97"/>
      <c r="AK879" s="4"/>
    </row>
    <row r="880" spans="2:37" s="113" customFormat="1" x14ac:dyDescent="0.4">
      <c r="B880" s="80"/>
      <c r="C880" s="563">
        <v>467</v>
      </c>
      <c r="D880" s="907"/>
      <c r="E880" s="906"/>
      <c r="F880" s="921" t="str">
        <f t="shared" si="48"/>
        <v/>
      </c>
      <c r="G880" s="882" t="str">
        <f t="shared" si="51"/>
        <v/>
      </c>
      <c r="H880" s="919"/>
      <c r="I880" s="922">
        <v>1908</v>
      </c>
      <c r="J880" s="907"/>
      <c r="K880" s="906"/>
      <c r="L880" s="921" t="str">
        <f t="shared" si="49"/>
        <v/>
      </c>
      <c r="M880" s="155" t="str">
        <f t="shared" si="50"/>
        <v/>
      </c>
      <c r="T880" s="75"/>
      <c r="U880" s="75"/>
      <c r="V880" s="75"/>
      <c r="W880" s="75"/>
      <c r="X880" s="75"/>
      <c r="Y880" s="340"/>
      <c r="Z880" s="341"/>
      <c r="AA880" s="341"/>
      <c r="AB880" s="341"/>
      <c r="AC880" s="340"/>
      <c r="AD880" s="75"/>
      <c r="AE880" s="75"/>
      <c r="AF880" s="75"/>
      <c r="AG880" s="344"/>
      <c r="AH880" s="344"/>
      <c r="AI880" s="344"/>
      <c r="AJ880" s="97"/>
      <c r="AK880" s="4"/>
    </row>
    <row r="881" spans="2:37" s="113" customFormat="1" x14ac:dyDescent="0.4">
      <c r="B881" s="80"/>
      <c r="C881" s="563">
        <v>468</v>
      </c>
      <c r="D881" s="907"/>
      <c r="E881" s="906"/>
      <c r="F881" s="921" t="str">
        <f t="shared" si="48"/>
        <v/>
      </c>
      <c r="G881" s="882" t="str">
        <f t="shared" si="51"/>
        <v/>
      </c>
      <c r="H881" s="919"/>
      <c r="I881" s="922">
        <v>1909</v>
      </c>
      <c r="J881" s="907"/>
      <c r="K881" s="906"/>
      <c r="L881" s="921" t="str">
        <f t="shared" si="49"/>
        <v/>
      </c>
      <c r="M881" s="155" t="str">
        <f t="shared" si="50"/>
        <v/>
      </c>
      <c r="T881" s="75"/>
      <c r="U881" s="75"/>
      <c r="V881" s="75"/>
      <c r="W881" s="75"/>
      <c r="X881" s="75"/>
      <c r="Y881" s="340"/>
      <c r="Z881" s="341"/>
      <c r="AA881" s="341"/>
      <c r="AB881" s="341"/>
      <c r="AC881" s="340"/>
      <c r="AD881" s="75"/>
      <c r="AE881" s="75"/>
      <c r="AF881" s="75"/>
      <c r="AG881" s="344"/>
      <c r="AH881" s="344"/>
      <c r="AI881" s="344"/>
      <c r="AJ881" s="97"/>
      <c r="AK881" s="4"/>
    </row>
    <row r="882" spans="2:37" s="113" customFormat="1" x14ac:dyDescent="0.4">
      <c r="B882" s="80"/>
      <c r="C882" s="563">
        <v>469</v>
      </c>
      <c r="D882" s="907"/>
      <c r="E882" s="906"/>
      <c r="F882" s="921" t="str">
        <f t="shared" si="48"/>
        <v/>
      </c>
      <c r="G882" s="882" t="str">
        <f t="shared" si="51"/>
        <v/>
      </c>
      <c r="H882" s="919"/>
      <c r="I882" s="922">
        <v>1910</v>
      </c>
      <c r="J882" s="907"/>
      <c r="K882" s="906"/>
      <c r="L882" s="921" t="str">
        <f t="shared" si="49"/>
        <v/>
      </c>
      <c r="M882" s="155" t="str">
        <f t="shared" si="50"/>
        <v/>
      </c>
      <c r="T882" s="75"/>
      <c r="U882" s="75"/>
      <c r="V882" s="75"/>
      <c r="W882" s="75"/>
      <c r="X882" s="75"/>
      <c r="Y882" s="340"/>
      <c r="Z882" s="341"/>
      <c r="AA882" s="341"/>
      <c r="AB882" s="341"/>
      <c r="AC882" s="340"/>
      <c r="AD882" s="75"/>
      <c r="AE882" s="75"/>
      <c r="AF882" s="75"/>
      <c r="AG882" s="344"/>
      <c r="AH882" s="344"/>
      <c r="AI882" s="344"/>
      <c r="AJ882" s="97"/>
      <c r="AK882" s="4"/>
    </row>
    <row r="883" spans="2:37" s="113" customFormat="1" x14ac:dyDescent="0.4">
      <c r="B883" s="80"/>
      <c r="C883" s="563">
        <v>470</v>
      </c>
      <c r="D883" s="907"/>
      <c r="E883" s="906"/>
      <c r="F883" s="921" t="str">
        <f t="shared" si="48"/>
        <v/>
      </c>
      <c r="G883" s="882" t="str">
        <f t="shared" si="51"/>
        <v/>
      </c>
      <c r="H883" s="919"/>
      <c r="I883" s="922">
        <v>1911</v>
      </c>
      <c r="J883" s="907"/>
      <c r="K883" s="906"/>
      <c r="L883" s="921" t="str">
        <f t="shared" si="49"/>
        <v/>
      </c>
      <c r="M883" s="155" t="str">
        <f t="shared" si="50"/>
        <v/>
      </c>
      <c r="T883" s="75"/>
      <c r="U883" s="75"/>
      <c r="V883" s="75"/>
      <c r="W883" s="75"/>
      <c r="X883" s="75"/>
      <c r="Y883" s="340"/>
      <c r="Z883" s="341"/>
      <c r="AA883" s="341"/>
      <c r="AB883" s="341"/>
      <c r="AC883" s="340"/>
      <c r="AD883" s="75"/>
      <c r="AE883" s="75"/>
      <c r="AF883" s="75"/>
      <c r="AG883" s="344"/>
      <c r="AH883" s="344"/>
      <c r="AI883" s="344"/>
      <c r="AJ883" s="97"/>
      <c r="AK883" s="4"/>
    </row>
    <row r="884" spans="2:37" s="113" customFormat="1" x14ac:dyDescent="0.4">
      <c r="B884" s="80"/>
      <c r="C884" s="563">
        <v>471</v>
      </c>
      <c r="D884" s="907"/>
      <c r="E884" s="906"/>
      <c r="F884" s="921" t="str">
        <f t="shared" si="48"/>
        <v/>
      </c>
      <c r="G884" s="882" t="str">
        <f t="shared" si="51"/>
        <v/>
      </c>
      <c r="H884" s="919"/>
      <c r="I884" s="922">
        <v>1912</v>
      </c>
      <c r="J884" s="907"/>
      <c r="K884" s="906"/>
      <c r="L884" s="921" t="str">
        <f t="shared" si="49"/>
        <v/>
      </c>
      <c r="M884" s="155" t="str">
        <f t="shared" si="50"/>
        <v/>
      </c>
      <c r="T884" s="75"/>
      <c r="U884" s="75"/>
      <c r="V884" s="75"/>
      <c r="W884" s="75"/>
      <c r="X884" s="75"/>
      <c r="Y884" s="340"/>
      <c r="Z884" s="341"/>
      <c r="AA884" s="341"/>
      <c r="AB884" s="341"/>
      <c r="AC884" s="340"/>
      <c r="AD884" s="75"/>
      <c r="AE884" s="75"/>
      <c r="AF884" s="75"/>
      <c r="AG884" s="344"/>
      <c r="AH884" s="344"/>
      <c r="AI884" s="344"/>
      <c r="AJ884" s="97"/>
      <c r="AK884" s="4"/>
    </row>
    <row r="885" spans="2:37" s="113" customFormat="1" x14ac:dyDescent="0.4">
      <c r="B885" s="80"/>
      <c r="C885" s="563">
        <v>472</v>
      </c>
      <c r="D885" s="907"/>
      <c r="E885" s="906"/>
      <c r="F885" s="921" t="str">
        <f t="shared" si="48"/>
        <v/>
      </c>
      <c r="G885" s="882" t="str">
        <f t="shared" si="51"/>
        <v/>
      </c>
      <c r="H885" s="919"/>
      <c r="I885" s="922">
        <v>1913</v>
      </c>
      <c r="J885" s="907"/>
      <c r="K885" s="906"/>
      <c r="L885" s="921" t="str">
        <f t="shared" si="49"/>
        <v/>
      </c>
      <c r="M885" s="155" t="str">
        <f t="shared" si="50"/>
        <v/>
      </c>
      <c r="T885" s="75"/>
      <c r="U885" s="75"/>
      <c r="V885" s="75"/>
      <c r="W885" s="75"/>
      <c r="X885" s="75"/>
      <c r="Y885" s="340"/>
      <c r="Z885" s="341"/>
      <c r="AA885" s="341"/>
      <c r="AB885" s="341"/>
      <c r="AC885" s="340"/>
      <c r="AD885" s="75"/>
      <c r="AE885" s="75"/>
      <c r="AF885" s="75"/>
      <c r="AG885" s="344"/>
      <c r="AH885" s="344"/>
      <c r="AI885" s="344"/>
      <c r="AJ885" s="97"/>
      <c r="AK885" s="4"/>
    </row>
    <row r="886" spans="2:37" s="113" customFormat="1" x14ac:dyDescent="0.4">
      <c r="B886" s="80"/>
      <c r="C886" s="563">
        <v>473</v>
      </c>
      <c r="D886" s="907"/>
      <c r="E886" s="906"/>
      <c r="F886" s="921" t="str">
        <f t="shared" si="48"/>
        <v/>
      </c>
      <c r="G886" s="882" t="str">
        <f t="shared" si="51"/>
        <v/>
      </c>
      <c r="H886" s="919"/>
      <c r="I886" s="922">
        <v>1914</v>
      </c>
      <c r="J886" s="907"/>
      <c r="K886" s="906"/>
      <c r="L886" s="921" t="str">
        <f t="shared" si="49"/>
        <v/>
      </c>
      <c r="M886" s="155" t="str">
        <f t="shared" si="50"/>
        <v/>
      </c>
      <c r="T886" s="75"/>
      <c r="U886" s="75"/>
      <c r="V886" s="75"/>
      <c r="W886" s="75"/>
      <c r="X886" s="75"/>
      <c r="Y886" s="340"/>
      <c r="Z886" s="341"/>
      <c r="AA886" s="341"/>
      <c r="AB886" s="341"/>
      <c r="AC886" s="340"/>
      <c r="AD886" s="75"/>
      <c r="AE886" s="75"/>
      <c r="AF886" s="75"/>
      <c r="AG886" s="344"/>
      <c r="AH886" s="344"/>
      <c r="AI886" s="344"/>
      <c r="AJ886" s="97"/>
      <c r="AK886" s="4"/>
    </row>
    <row r="887" spans="2:37" s="113" customFormat="1" x14ac:dyDescent="0.4">
      <c r="B887" s="80"/>
      <c r="C887" s="563">
        <v>474</v>
      </c>
      <c r="D887" s="907"/>
      <c r="E887" s="906"/>
      <c r="F887" s="921" t="str">
        <f t="shared" si="48"/>
        <v/>
      </c>
      <c r="G887" s="882" t="str">
        <f t="shared" si="51"/>
        <v/>
      </c>
      <c r="H887" s="919"/>
      <c r="I887" s="922">
        <v>1915</v>
      </c>
      <c r="J887" s="907"/>
      <c r="K887" s="906"/>
      <c r="L887" s="921" t="str">
        <f t="shared" si="49"/>
        <v/>
      </c>
      <c r="M887" s="155" t="str">
        <f t="shared" si="50"/>
        <v/>
      </c>
      <c r="T887" s="75"/>
      <c r="U887" s="75"/>
      <c r="V887" s="75"/>
      <c r="W887" s="75"/>
      <c r="X887" s="75"/>
      <c r="Y887" s="340"/>
      <c r="Z887" s="341"/>
      <c r="AA887" s="341"/>
      <c r="AB887" s="341"/>
      <c r="AC887" s="340"/>
      <c r="AD887" s="75"/>
      <c r="AE887" s="75"/>
      <c r="AF887" s="75"/>
      <c r="AG887" s="344"/>
      <c r="AH887" s="344"/>
      <c r="AI887" s="344"/>
      <c r="AJ887" s="97"/>
      <c r="AK887" s="4"/>
    </row>
    <row r="888" spans="2:37" s="113" customFormat="1" x14ac:dyDescent="0.4">
      <c r="B888" s="80"/>
      <c r="C888" s="563">
        <v>475</v>
      </c>
      <c r="D888" s="907"/>
      <c r="E888" s="906"/>
      <c r="F888" s="921" t="str">
        <f t="shared" si="48"/>
        <v/>
      </c>
      <c r="G888" s="882" t="str">
        <f t="shared" si="51"/>
        <v/>
      </c>
      <c r="H888" s="919"/>
      <c r="I888" s="922">
        <v>1916</v>
      </c>
      <c r="J888" s="907"/>
      <c r="K888" s="906"/>
      <c r="L888" s="921" t="str">
        <f t="shared" si="49"/>
        <v/>
      </c>
      <c r="M888" s="155" t="str">
        <f t="shared" si="50"/>
        <v/>
      </c>
      <c r="T888" s="75"/>
      <c r="U888" s="75"/>
      <c r="V888" s="75"/>
      <c r="W888" s="75"/>
      <c r="X888" s="75"/>
      <c r="Y888" s="340"/>
      <c r="Z888" s="341"/>
      <c r="AA888" s="341"/>
      <c r="AB888" s="341"/>
      <c r="AC888" s="340"/>
      <c r="AD888" s="75"/>
      <c r="AE888" s="75"/>
      <c r="AF888" s="75"/>
      <c r="AG888" s="344"/>
      <c r="AH888" s="344"/>
      <c r="AI888" s="344"/>
      <c r="AJ888" s="97"/>
      <c r="AK888" s="4"/>
    </row>
    <row r="889" spans="2:37" s="113" customFormat="1" x14ac:dyDescent="0.4">
      <c r="B889" s="80"/>
      <c r="C889" s="563">
        <v>476</v>
      </c>
      <c r="D889" s="907"/>
      <c r="E889" s="906"/>
      <c r="F889" s="921" t="str">
        <f t="shared" si="48"/>
        <v/>
      </c>
      <c r="G889" s="882" t="str">
        <f t="shared" si="51"/>
        <v/>
      </c>
      <c r="H889" s="919"/>
      <c r="I889" s="922">
        <v>1917</v>
      </c>
      <c r="J889" s="907"/>
      <c r="K889" s="906"/>
      <c r="L889" s="921" t="str">
        <f t="shared" si="49"/>
        <v/>
      </c>
      <c r="M889" s="155" t="str">
        <f t="shared" si="50"/>
        <v/>
      </c>
      <c r="T889" s="75"/>
      <c r="U889" s="75"/>
      <c r="V889" s="75"/>
      <c r="W889" s="75"/>
      <c r="X889" s="75"/>
      <c r="Y889" s="340"/>
      <c r="Z889" s="341"/>
      <c r="AA889" s="341"/>
      <c r="AB889" s="341"/>
      <c r="AC889" s="340"/>
      <c r="AD889" s="75"/>
      <c r="AE889" s="75"/>
      <c r="AF889" s="75"/>
      <c r="AG889" s="344"/>
      <c r="AH889" s="344"/>
      <c r="AI889" s="344"/>
      <c r="AJ889" s="97"/>
      <c r="AK889" s="4"/>
    </row>
    <row r="890" spans="2:37" s="113" customFormat="1" x14ac:dyDescent="0.4">
      <c r="B890" s="80"/>
      <c r="C890" s="563">
        <v>477</v>
      </c>
      <c r="D890" s="907"/>
      <c r="E890" s="906"/>
      <c r="F890" s="921" t="str">
        <f t="shared" si="48"/>
        <v/>
      </c>
      <c r="G890" s="882" t="str">
        <f t="shared" si="51"/>
        <v/>
      </c>
      <c r="H890" s="919"/>
      <c r="I890" s="922">
        <v>1918</v>
      </c>
      <c r="J890" s="907"/>
      <c r="K890" s="906"/>
      <c r="L890" s="921" t="str">
        <f t="shared" si="49"/>
        <v/>
      </c>
      <c r="M890" s="155" t="str">
        <f t="shared" si="50"/>
        <v/>
      </c>
      <c r="T890" s="75"/>
      <c r="U890" s="75"/>
      <c r="V890" s="75"/>
      <c r="W890" s="75"/>
      <c r="X890" s="75"/>
      <c r="Y890" s="340"/>
      <c r="Z890" s="341"/>
      <c r="AA890" s="341"/>
      <c r="AB890" s="341"/>
      <c r="AC890" s="340"/>
      <c r="AD890" s="75"/>
      <c r="AE890" s="75"/>
      <c r="AF890" s="75"/>
      <c r="AG890" s="344"/>
      <c r="AH890" s="344"/>
      <c r="AI890" s="344"/>
      <c r="AJ890" s="97"/>
      <c r="AK890" s="4"/>
    </row>
    <row r="891" spans="2:37" s="113" customFormat="1" x14ac:dyDescent="0.4">
      <c r="B891" s="80"/>
      <c r="C891" s="563">
        <v>478</v>
      </c>
      <c r="D891" s="907"/>
      <c r="E891" s="906"/>
      <c r="F891" s="921" t="str">
        <f t="shared" si="48"/>
        <v/>
      </c>
      <c r="G891" s="882" t="str">
        <f t="shared" si="51"/>
        <v/>
      </c>
      <c r="H891" s="919"/>
      <c r="I891" s="922">
        <v>1919</v>
      </c>
      <c r="J891" s="907"/>
      <c r="K891" s="906"/>
      <c r="L891" s="921" t="str">
        <f t="shared" si="49"/>
        <v/>
      </c>
      <c r="M891" s="155" t="str">
        <f t="shared" si="50"/>
        <v/>
      </c>
      <c r="T891" s="75"/>
      <c r="U891" s="75"/>
      <c r="V891" s="75"/>
      <c r="W891" s="75"/>
      <c r="X891" s="75"/>
      <c r="Y891" s="340"/>
      <c r="Z891" s="341"/>
      <c r="AA891" s="341"/>
      <c r="AB891" s="341"/>
      <c r="AC891" s="340"/>
      <c r="AD891" s="75"/>
      <c r="AE891" s="75"/>
      <c r="AF891" s="75"/>
      <c r="AG891" s="344"/>
      <c r="AH891" s="344"/>
      <c r="AI891" s="344"/>
      <c r="AJ891" s="97"/>
      <c r="AK891" s="4"/>
    </row>
    <row r="892" spans="2:37" s="113" customFormat="1" ht="16" thickBot="1" x14ac:dyDescent="0.45">
      <c r="B892" s="80"/>
      <c r="C892" s="563">
        <v>479</v>
      </c>
      <c r="D892" s="907"/>
      <c r="E892" s="906"/>
      <c r="F892" s="921" t="str">
        <f t="shared" si="48"/>
        <v/>
      </c>
      <c r="G892" s="882" t="str">
        <f t="shared" si="51"/>
        <v/>
      </c>
      <c r="H892" s="919"/>
      <c r="I892" s="923">
        <v>1920</v>
      </c>
      <c r="J892" s="912"/>
      <c r="K892" s="911"/>
      <c r="L892" s="924" t="str">
        <f t="shared" si="49"/>
        <v/>
      </c>
      <c r="M892" s="230" t="str">
        <f t="shared" si="50"/>
        <v/>
      </c>
      <c r="T892" s="75"/>
      <c r="U892" s="75"/>
      <c r="V892" s="75"/>
      <c r="W892" s="75"/>
      <c r="X892" s="75"/>
      <c r="Y892" s="340"/>
      <c r="Z892" s="341"/>
      <c r="AA892" s="341"/>
      <c r="AB892" s="341"/>
      <c r="AC892" s="340"/>
      <c r="AD892" s="75"/>
      <c r="AE892" s="75"/>
      <c r="AF892" s="75"/>
      <c r="AG892" s="344"/>
      <c r="AH892" s="344"/>
      <c r="AI892" s="344"/>
      <c r="AJ892" s="97"/>
      <c r="AK892" s="4"/>
    </row>
    <row r="893" spans="2:37" s="113" customFormat="1" x14ac:dyDescent="0.4">
      <c r="B893" s="80"/>
      <c r="C893" s="563">
        <v>480</v>
      </c>
      <c r="D893" s="907"/>
      <c r="E893" s="906"/>
      <c r="F893" s="921" t="str">
        <f t="shared" si="48"/>
        <v/>
      </c>
      <c r="G893" s="882" t="str">
        <f t="shared" si="51"/>
        <v/>
      </c>
      <c r="H893" s="925"/>
      <c r="I893" s="919"/>
      <c r="J893" s="919"/>
      <c r="K893" s="919"/>
      <c r="L893" s="919"/>
      <c r="O893" s="339"/>
      <c r="T893" s="75"/>
      <c r="U893" s="75"/>
      <c r="V893" s="75"/>
      <c r="W893" s="75"/>
      <c r="X893" s="75"/>
      <c r="Y893" s="340"/>
      <c r="Z893" s="341"/>
      <c r="AA893" s="341"/>
      <c r="AB893" s="341"/>
      <c r="AC893" s="340"/>
      <c r="AD893" s="75"/>
      <c r="AE893" s="75"/>
      <c r="AF893" s="75"/>
      <c r="AG893" s="344"/>
      <c r="AH893" s="344"/>
      <c r="AI893" s="344"/>
      <c r="AJ893" s="97"/>
      <c r="AK893" s="4"/>
    </row>
    <row r="894" spans="2:37" s="113" customFormat="1" x14ac:dyDescent="0.4">
      <c r="B894" s="80"/>
      <c r="C894" s="563">
        <v>481</v>
      </c>
      <c r="D894" s="907"/>
      <c r="E894" s="906"/>
      <c r="F894" s="921" t="str">
        <f t="shared" si="48"/>
        <v/>
      </c>
      <c r="G894" s="882" t="str">
        <f t="shared" si="51"/>
        <v/>
      </c>
      <c r="H894" s="925"/>
      <c r="I894" s="919"/>
      <c r="J894" s="919"/>
      <c r="K894" s="919"/>
      <c r="L894" s="919"/>
      <c r="O894" s="339"/>
      <c r="T894" s="75"/>
      <c r="U894" s="75"/>
      <c r="V894" s="75"/>
      <c r="W894" s="75"/>
      <c r="X894" s="75"/>
      <c r="Y894" s="340"/>
      <c r="Z894" s="341"/>
      <c r="AA894" s="341"/>
      <c r="AB894" s="341"/>
      <c r="AC894" s="340"/>
      <c r="AD894" s="75"/>
      <c r="AE894" s="75"/>
      <c r="AF894" s="75"/>
      <c r="AG894" s="344"/>
      <c r="AH894" s="344"/>
      <c r="AI894" s="344"/>
      <c r="AJ894" s="97"/>
      <c r="AK894" s="4"/>
    </row>
    <row r="895" spans="2:37" s="113" customFormat="1" x14ac:dyDescent="0.4">
      <c r="B895" s="80"/>
      <c r="C895" s="563">
        <v>482</v>
      </c>
      <c r="D895" s="907"/>
      <c r="E895" s="906"/>
      <c r="F895" s="921" t="str">
        <f t="shared" si="48"/>
        <v/>
      </c>
      <c r="G895" s="882" t="str">
        <f t="shared" si="51"/>
        <v/>
      </c>
      <c r="H895" s="925"/>
      <c r="I895" s="919"/>
      <c r="J895" s="919"/>
      <c r="K895" s="919"/>
      <c r="L895" s="919"/>
      <c r="O895" s="339"/>
      <c r="T895" s="75"/>
      <c r="U895" s="75"/>
      <c r="V895" s="75"/>
      <c r="W895" s="75"/>
      <c r="X895" s="75"/>
      <c r="Y895" s="340"/>
      <c r="Z895" s="341"/>
      <c r="AA895" s="341"/>
      <c r="AB895" s="341"/>
      <c r="AC895" s="340"/>
      <c r="AD895" s="75"/>
      <c r="AE895" s="75"/>
      <c r="AF895" s="75"/>
      <c r="AG895" s="344"/>
      <c r="AH895" s="344"/>
      <c r="AI895" s="344"/>
      <c r="AJ895" s="97"/>
      <c r="AK895" s="4"/>
    </row>
    <row r="896" spans="2:37" s="113" customFormat="1" x14ac:dyDescent="0.4">
      <c r="B896" s="80"/>
      <c r="C896" s="563">
        <v>483</v>
      </c>
      <c r="D896" s="907"/>
      <c r="E896" s="906"/>
      <c r="F896" s="921" t="str">
        <f t="shared" si="48"/>
        <v/>
      </c>
      <c r="G896" s="882" t="str">
        <f t="shared" si="51"/>
        <v/>
      </c>
      <c r="H896" s="925"/>
      <c r="I896" s="919"/>
      <c r="J896" s="919"/>
      <c r="K896" s="919"/>
      <c r="L896" s="919"/>
      <c r="O896" s="339"/>
      <c r="T896" s="75"/>
      <c r="U896" s="75"/>
      <c r="V896" s="75"/>
      <c r="W896" s="75"/>
      <c r="X896" s="75"/>
      <c r="Y896" s="340"/>
      <c r="Z896" s="341"/>
      <c r="AA896" s="341"/>
      <c r="AB896" s="341"/>
      <c r="AC896" s="340"/>
      <c r="AD896" s="75"/>
      <c r="AE896" s="75"/>
      <c r="AF896" s="75"/>
      <c r="AG896" s="344"/>
      <c r="AH896" s="344"/>
      <c r="AI896" s="344"/>
      <c r="AJ896" s="97"/>
      <c r="AK896" s="4"/>
    </row>
    <row r="897" spans="2:37" s="113" customFormat="1" x14ac:dyDescent="0.4">
      <c r="B897" s="80"/>
      <c r="C897" s="563">
        <v>484</v>
      </c>
      <c r="D897" s="907"/>
      <c r="E897" s="906"/>
      <c r="F897" s="921" t="str">
        <f t="shared" si="48"/>
        <v/>
      </c>
      <c r="G897" s="882" t="str">
        <f t="shared" si="51"/>
        <v/>
      </c>
      <c r="H897" s="925"/>
      <c r="I897" s="919"/>
      <c r="J897" s="919"/>
      <c r="K897" s="919"/>
      <c r="L897" s="919"/>
      <c r="O897" s="339"/>
      <c r="T897" s="75"/>
      <c r="U897" s="75"/>
      <c r="V897" s="75"/>
      <c r="W897" s="75"/>
      <c r="X897" s="75"/>
      <c r="Y897" s="340"/>
      <c r="Z897" s="341"/>
      <c r="AA897" s="341"/>
      <c r="AB897" s="341"/>
      <c r="AC897" s="340"/>
      <c r="AD897" s="75"/>
      <c r="AE897" s="75"/>
      <c r="AF897" s="75"/>
      <c r="AG897" s="344"/>
      <c r="AH897" s="344"/>
      <c r="AI897" s="344"/>
      <c r="AJ897" s="97"/>
      <c r="AK897" s="4"/>
    </row>
    <row r="898" spans="2:37" s="113" customFormat="1" x14ac:dyDescent="0.4">
      <c r="B898" s="80"/>
      <c r="C898" s="563">
        <v>485</v>
      </c>
      <c r="D898" s="907"/>
      <c r="E898" s="906"/>
      <c r="F898" s="921" t="str">
        <f t="shared" si="48"/>
        <v/>
      </c>
      <c r="G898" s="882" t="str">
        <f t="shared" si="51"/>
        <v/>
      </c>
      <c r="H898" s="925"/>
      <c r="I898" s="919"/>
      <c r="J898" s="919"/>
      <c r="K898" s="919"/>
      <c r="L898" s="919"/>
      <c r="O898" s="339"/>
      <c r="T898" s="75"/>
      <c r="U898" s="75"/>
      <c r="V898" s="75"/>
      <c r="W898" s="75"/>
      <c r="X898" s="75"/>
      <c r="Y898" s="340"/>
      <c r="Z898" s="341"/>
      <c r="AA898" s="341"/>
      <c r="AB898" s="341"/>
      <c r="AC898" s="340"/>
      <c r="AD898" s="75"/>
      <c r="AE898" s="75"/>
      <c r="AF898" s="75"/>
      <c r="AG898" s="344"/>
      <c r="AH898" s="344"/>
      <c r="AI898" s="344"/>
      <c r="AJ898" s="97"/>
      <c r="AK898" s="4"/>
    </row>
    <row r="899" spans="2:37" s="113" customFormat="1" x14ac:dyDescent="0.4">
      <c r="B899" s="80"/>
      <c r="C899" s="563">
        <v>486</v>
      </c>
      <c r="D899" s="907"/>
      <c r="E899" s="906"/>
      <c r="F899" s="921" t="str">
        <f t="shared" si="48"/>
        <v/>
      </c>
      <c r="G899" s="882" t="str">
        <f t="shared" si="51"/>
        <v/>
      </c>
      <c r="H899" s="925"/>
      <c r="I899" s="919"/>
      <c r="J899" s="919"/>
      <c r="K899" s="919"/>
      <c r="L899" s="919"/>
      <c r="O899" s="339"/>
      <c r="T899" s="75"/>
      <c r="U899" s="75"/>
      <c r="V899" s="75"/>
      <c r="W899" s="75"/>
      <c r="X899" s="75"/>
      <c r="Y899" s="340"/>
      <c r="Z899" s="341"/>
      <c r="AA899" s="341"/>
      <c r="AB899" s="341"/>
      <c r="AC899" s="340"/>
      <c r="AD899" s="75"/>
      <c r="AE899" s="75"/>
      <c r="AF899" s="75"/>
      <c r="AG899" s="344"/>
      <c r="AH899" s="344"/>
      <c r="AI899" s="344"/>
      <c r="AJ899" s="97"/>
      <c r="AK899" s="4"/>
    </row>
    <row r="900" spans="2:37" s="113" customFormat="1" x14ac:dyDescent="0.4">
      <c r="B900" s="80"/>
      <c r="C900" s="563">
        <v>487</v>
      </c>
      <c r="D900" s="907"/>
      <c r="E900" s="906"/>
      <c r="F900" s="921" t="str">
        <f t="shared" si="48"/>
        <v/>
      </c>
      <c r="G900" s="882" t="str">
        <f t="shared" si="51"/>
        <v/>
      </c>
      <c r="H900" s="925"/>
      <c r="I900" s="919"/>
      <c r="J900" s="919"/>
      <c r="K900" s="919"/>
      <c r="L900" s="919"/>
      <c r="O900" s="339"/>
      <c r="T900" s="75"/>
      <c r="U900" s="75"/>
      <c r="V900" s="75"/>
      <c r="W900" s="75"/>
      <c r="X900" s="75"/>
      <c r="Y900" s="340"/>
      <c r="Z900" s="341"/>
      <c r="AA900" s="341"/>
      <c r="AB900" s="341"/>
      <c r="AC900" s="340"/>
      <c r="AD900" s="75"/>
      <c r="AE900" s="75"/>
      <c r="AF900" s="75"/>
      <c r="AG900" s="344"/>
      <c r="AH900" s="344"/>
      <c r="AI900" s="344"/>
      <c r="AJ900" s="97"/>
      <c r="AK900" s="4"/>
    </row>
    <row r="901" spans="2:37" s="113" customFormat="1" x14ac:dyDescent="0.4">
      <c r="B901" s="80"/>
      <c r="C901" s="563">
        <v>488</v>
      </c>
      <c r="D901" s="907"/>
      <c r="E901" s="906"/>
      <c r="F901" s="921" t="str">
        <f t="shared" si="48"/>
        <v/>
      </c>
      <c r="G901" s="882" t="str">
        <f t="shared" si="51"/>
        <v/>
      </c>
      <c r="H901" s="925"/>
      <c r="I901" s="919"/>
      <c r="J901" s="919"/>
      <c r="K901" s="919"/>
      <c r="L901" s="919"/>
      <c r="O901" s="339"/>
      <c r="T901" s="75"/>
      <c r="U901" s="75"/>
      <c r="V901" s="75"/>
      <c r="W901" s="75"/>
      <c r="X901" s="75"/>
      <c r="Y901" s="340"/>
      <c r="Z901" s="341"/>
      <c r="AA901" s="341"/>
      <c r="AB901" s="341"/>
      <c r="AC901" s="340"/>
      <c r="AD901" s="75"/>
      <c r="AE901" s="75"/>
      <c r="AF901" s="75"/>
      <c r="AG901" s="344"/>
      <c r="AH901" s="344"/>
      <c r="AI901" s="344"/>
      <c r="AJ901" s="97"/>
      <c r="AK901" s="4"/>
    </row>
    <row r="902" spans="2:37" s="113" customFormat="1" x14ac:dyDescent="0.4">
      <c r="B902" s="80"/>
      <c r="C902" s="563">
        <v>489</v>
      </c>
      <c r="D902" s="907"/>
      <c r="E902" s="906"/>
      <c r="F902" s="921" t="str">
        <f t="shared" si="48"/>
        <v/>
      </c>
      <c r="G902" s="882" t="str">
        <f t="shared" si="51"/>
        <v/>
      </c>
      <c r="H902" s="925"/>
      <c r="I902" s="919"/>
      <c r="J902" s="919"/>
      <c r="K902" s="919"/>
      <c r="L902" s="919"/>
      <c r="O902" s="339"/>
      <c r="T902" s="75"/>
      <c r="U902" s="75"/>
      <c r="V902" s="75"/>
      <c r="W902" s="75"/>
      <c r="X902" s="75"/>
      <c r="Y902" s="340"/>
      <c r="Z902" s="341"/>
      <c r="AA902" s="341"/>
      <c r="AB902" s="341"/>
      <c r="AC902" s="340"/>
      <c r="AD902" s="75"/>
      <c r="AE902" s="75"/>
      <c r="AF902" s="75"/>
      <c r="AG902" s="344"/>
      <c r="AH902" s="344"/>
      <c r="AI902" s="344"/>
      <c r="AJ902" s="97"/>
      <c r="AK902" s="4"/>
    </row>
    <row r="903" spans="2:37" s="113" customFormat="1" x14ac:dyDescent="0.4">
      <c r="B903" s="80"/>
      <c r="C903" s="563">
        <v>490</v>
      </c>
      <c r="D903" s="907"/>
      <c r="E903" s="906"/>
      <c r="F903" s="921" t="str">
        <f t="shared" si="48"/>
        <v/>
      </c>
      <c r="G903" s="882" t="str">
        <f t="shared" si="51"/>
        <v/>
      </c>
      <c r="H903" s="925"/>
      <c r="I903" s="919"/>
      <c r="J903" s="919"/>
      <c r="K903" s="919"/>
      <c r="L903" s="919"/>
      <c r="O903" s="339"/>
      <c r="T903" s="75"/>
      <c r="U903" s="75"/>
      <c r="V903" s="75"/>
      <c r="W903" s="75"/>
      <c r="X903" s="75"/>
      <c r="Y903" s="340"/>
      <c r="Z903" s="341"/>
      <c r="AA903" s="341"/>
      <c r="AB903" s="341"/>
      <c r="AC903" s="340"/>
      <c r="AD903" s="75"/>
      <c r="AE903" s="75"/>
      <c r="AF903" s="75"/>
      <c r="AG903" s="344"/>
      <c r="AH903" s="344"/>
      <c r="AI903" s="344"/>
      <c r="AJ903" s="97"/>
      <c r="AK903" s="4"/>
    </row>
    <row r="904" spans="2:37" s="113" customFormat="1" x14ac:dyDescent="0.4">
      <c r="B904" s="80"/>
      <c r="C904" s="563">
        <v>491</v>
      </c>
      <c r="D904" s="907"/>
      <c r="E904" s="906"/>
      <c r="F904" s="921" t="str">
        <f t="shared" si="48"/>
        <v/>
      </c>
      <c r="G904" s="882" t="str">
        <f t="shared" si="51"/>
        <v/>
      </c>
      <c r="H904" s="925"/>
      <c r="I904" s="919"/>
      <c r="J904" s="919"/>
      <c r="K904" s="919"/>
      <c r="L904" s="919"/>
      <c r="O904" s="339"/>
      <c r="T904" s="75"/>
      <c r="U904" s="75"/>
      <c r="V904" s="75"/>
      <c r="W904" s="75"/>
      <c r="X904" s="75"/>
      <c r="Y904" s="340"/>
      <c r="Z904" s="341"/>
      <c r="AA904" s="341"/>
      <c r="AB904" s="341"/>
      <c r="AC904" s="340"/>
      <c r="AD904" s="75"/>
      <c r="AE904" s="75"/>
      <c r="AF904" s="75"/>
      <c r="AG904" s="344"/>
      <c r="AH904" s="344"/>
      <c r="AI904" s="344"/>
      <c r="AJ904" s="97"/>
      <c r="AK904" s="4"/>
    </row>
    <row r="905" spans="2:37" s="113" customFormat="1" x14ac:dyDescent="0.4">
      <c r="B905" s="80"/>
      <c r="C905" s="563">
        <v>492</v>
      </c>
      <c r="D905" s="907"/>
      <c r="E905" s="906"/>
      <c r="F905" s="921" t="str">
        <f t="shared" si="48"/>
        <v/>
      </c>
      <c r="G905" s="882" t="str">
        <f t="shared" si="51"/>
        <v/>
      </c>
      <c r="H905" s="925"/>
      <c r="I905" s="919"/>
      <c r="J905" s="919"/>
      <c r="K905" s="919"/>
      <c r="L905" s="919"/>
      <c r="O905" s="339"/>
      <c r="T905" s="75"/>
      <c r="U905" s="75"/>
      <c r="V905" s="75"/>
      <c r="W905" s="75"/>
      <c r="X905" s="75"/>
      <c r="Y905" s="340"/>
      <c r="Z905" s="341"/>
      <c r="AA905" s="341"/>
      <c r="AB905" s="341"/>
      <c r="AC905" s="340"/>
      <c r="AD905" s="75"/>
      <c r="AE905" s="75"/>
      <c r="AF905" s="75"/>
      <c r="AG905" s="344"/>
      <c r="AH905" s="344"/>
      <c r="AI905" s="344"/>
      <c r="AJ905" s="97"/>
      <c r="AK905" s="4"/>
    </row>
    <row r="906" spans="2:37" s="113" customFormat="1" x14ac:dyDescent="0.4">
      <c r="B906" s="80"/>
      <c r="C906" s="563">
        <v>493</v>
      </c>
      <c r="D906" s="907"/>
      <c r="E906" s="906"/>
      <c r="F906" s="921" t="str">
        <f t="shared" si="48"/>
        <v/>
      </c>
      <c r="G906" s="882" t="str">
        <f t="shared" si="51"/>
        <v/>
      </c>
      <c r="H906" s="925"/>
      <c r="I906" s="919"/>
      <c r="J906" s="919"/>
      <c r="K906" s="919"/>
      <c r="L906" s="919"/>
      <c r="O906" s="339"/>
      <c r="T906" s="75"/>
      <c r="U906" s="75"/>
      <c r="V906" s="75"/>
      <c r="W906" s="75"/>
      <c r="X906" s="75"/>
      <c r="Y906" s="340"/>
      <c r="Z906" s="341"/>
      <c r="AA906" s="341"/>
      <c r="AB906" s="341"/>
      <c r="AC906" s="340"/>
      <c r="AD906" s="75"/>
      <c r="AE906" s="75"/>
      <c r="AF906" s="75"/>
      <c r="AG906" s="344"/>
      <c r="AH906" s="344"/>
      <c r="AI906" s="344"/>
      <c r="AJ906" s="97"/>
      <c r="AK906" s="4"/>
    </row>
    <row r="907" spans="2:37" s="113" customFormat="1" x14ac:dyDescent="0.4">
      <c r="B907" s="80"/>
      <c r="C907" s="563">
        <v>494</v>
      </c>
      <c r="D907" s="907"/>
      <c r="E907" s="906"/>
      <c r="F907" s="921" t="str">
        <f t="shared" si="48"/>
        <v/>
      </c>
      <c r="G907" s="882" t="str">
        <f t="shared" si="51"/>
        <v/>
      </c>
      <c r="H907" s="925"/>
      <c r="I907" s="919"/>
      <c r="J907" s="919"/>
      <c r="K907" s="919"/>
      <c r="L907" s="919"/>
      <c r="O907" s="339"/>
      <c r="T907" s="75"/>
      <c r="U907" s="75"/>
      <c r="V907" s="75"/>
      <c r="W907" s="75"/>
      <c r="X907" s="75"/>
      <c r="Y907" s="340"/>
      <c r="Z907" s="341"/>
      <c r="AA907" s="341"/>
      <c r="AB907" s="341"/>
      <c r="AC907" s="340"/>
      <c r="AD907" s="75"/>
      <c r="AE907" s="75"/>
      <c r="AF907" s="75"/>
      <c r="AG907" s="344"/>
      <c r="AH907" s="344"/>
      <c r="AI907" s="344"/>
      <c r="AJ907" s="97"/>
      <c r="AK907" s="4"/>
    </row>
    <row r="908" spans="2:37" s="113" customFormat="1" x14ac:dyDescent="0.4">
      <c r="B908" s="80"/>
      <c r="C908" s="563">
        <v>495</v>
      </c>
      <c r="D908" s="907"/>
      <c r="E908" s="906"/>
      <c r="F908" s="921" t="str">
        <f t="shared" si="48"/>
        <v/>
      </c>
      <c r="G908" s="882" t="str">
        <f t="shared" si="51"/>
        <v/>
      </c>
      <c r="H908" s="925"/>
      <c r="I908" s="919"/>
      <c r="J908" s="919"/>
      <c r="K908" s="919"/>
      <c r="L908" s="919"/>
      <c r="O908" s="339"/>
      <c r="T908" s="75"/>
      <c r="U908" s="75"/>
      <c r="V908" s="75"/>
      <c r="W908" s="75"/>
      <c r="X908" s="75"/>
      <c r="Y908" s="340"/>
      <c r="Z908" s="341"/>
      <c r="AA908" s="341"/>
      <c r="AB908" s="341"/>
      <c r="AC908" s="340"/>
      <c r="AD908" s="75"/>
      <c r="AE908" s="75"/>
      <c r="AF908" s="75"/>
      <c r="AG908" s="344"/>
      <c r="AH908" s="344"/>
      <c r="AI908" s="344"/>
      <c r="AJ908" s="97"/>
      <c r="AK908" s="4"/>
    </row>
    <row r="909" spans="2:37" s="113" customFormat="1" x14ac:dyDescent="0.4">
      <c r="B909" s="80"/>
      <c r="C909" s="563">
        <v>496</v>
      </c>
      <c r="D909" s="907"/>
      <c r="E909" s="906"/>
      <c r="F909" s="921" t="str">
        <f t="shared" si="48"/>
        <v/>
      </c>
      <c r="G909" s="882" t="str">
        <f t="shared" si="51"/>
        <v/>
      </c>
      <c r="H909" s="925"/>
      <c r="I909" s="919"/>
      <c r="J909" s="919"/>
      <c r="K909" s="919"/>
      <c r="L909" s="919"/>
      <c r="O909" s="339"/>
      <c r="T909" s="75"/>
      <c r="U909" s="75"/>
      <c r="V909" s="75"/>
      <c r="W909" s="75"/>
      <c r="X909" s="75"/>
      <c r="Y909" s="340"/>
      <c r="Z909" s="341"/>
      <c r="AA909" s="341"/>
      <c r="AB909" s="341"/>
      <c r="AC909" s="340"/>
      <c r="AD909" s="75"/>
      <c r="AE909" s="75"/>
      <c r="AF909" s="75"/>
      <c r="AG909" s="344"/>
      <c r="AH909" s="344"/>
      <c r="AI909" s="344"/>
      <c r="AJ909" s="97"/>
      <c r="AK909" s="4"/>
    </row>
    <row r="910" spans="2:37" s="113" customFormat="1" x14ac:dyDescent="0.4">
      <c r="B910" s="80"/>
      <c r="C910" s="563">
        <v>497</v>
      </c>
      <c r="D910" s="907"/>
      <c r="E910" s="906"/>
      <c r="F910" s="921" t="str">
        <f t="shared" si="48"/>
        <v/>
      </c>
      <c r="G910" s="882" t="str">
        <f t="shared" si="51"/>
        <v/>
      </c>
      <c r="H910" s="925"/>
      <c r="I910" s="919"/>
      <c r="J910" s="919"/>
      <c r="K910" s="919"/>
      <c r="L910" s="919"/>
      <c r="O910" s="339"/>
      <c r="T910" s="75"/>
      <c r="U910" s="75"/>
      <c r="V910" s="75"/>
      <c r="W910" s="75"/>
      <c r="X910" s="75"/>
      <c r="Y910" s="340"/>
      <c r="Z910" s="341"/>
      <c r="AA910" s="341"/>
      <c r="AB910" s="341"/>
      <c r="AC910" s="340"/>
      <c r="AD910" s="75"/>
      <c r="AE910" s="75"/>
      <c r="AF910" s="75"/>
      <c r="AG910" s="344"/>
      <c r="AH910" s="344"/>
      <c r="AI910" s="344"/>
      <c r="AJ910" s="97"/>
      <c r="AK910" s="4"/>
    </row>
    <row r="911" spans="2:37" s="113" customFormat="1" x14ac:dyDescent="0.4">
      <c r="B911" s="80"/>
      <c r="C911" s="563">
        <v>498</v>
      </c>
      <c r="D911" s="907"/>
      <c r="E911" s="906"/>
      <c r="F911" s="921" t="str">
        <f t="shared" si="48"/>
        <v/>
      </c>
      <c r="G911" s="882" t="str">
        <f t="shared" si="51"/>
        <v/>
      </c>
      <c r="H911" s="925"/>
      <c r="I911" s="919"/>
      <c r="J911" s="919"/>
      <c r="K911" s="919"/>
      <c r="L911" s="919"/>
      <c r="O911" s="339"/>
      <c r="T911" s="75"/>
      <c r="U911" s="75"/>
      <c r="V911" s="75"/>
      <c r="W911" s="75"/>
      <c r="X911" s="75"/>
      <c r="Y911" s="340"/>
      <c r="Z911" s="341"/>
      <c r="AA911" s="341"/>
      <c r="AB911" s="341"/>
      <c r="AC911" s="340"/>
      <c r="AD911" s="75"/>
      <c r="AE911" s="75"/>
      <c r="AF911" s="75"/>
      <c r="AG911" s="344"/>
      <c r="AH911" s="344"/>
      <c r="AI911" s="344"/>
      <c r="AJ911" s="97"/>
      <c r="AK911" s="4"/>
    </row>
    <row r="912" spans="2:37" s="113" customFormat="1" x14ac:dyDescent="0.4">
      <c r="B912" s="80"/>
      <c r="C912" s="563">
        <v>499</v>
      </c>
      <c r="D912" s="907"/>
      <c r="E912" s="906"/>
      <c r="F912" s="921" t="str">
        <f t="shared" si="48"/>
        <v/>
      </c>
      <c r="G912" s="882" t="str">
        <f t="shared" si="51"/>
        <v/>
      </c>
      <c r="H912" s="925"/>
      <c r="I912" s="919"/>
      <c r="J912" s="919"/>
      <c r="K912" s="919"/>
      <c r="L912" s="919"/>
      <c r="O912" s="339"/>
      <c r="T912" s="75"/>
      <c r="U912" s="75"/>
      <c r="V912" s="75"/>
      <c r="W912" s="75"/>
      <c r="X912" s="75"/>
      <c r="Y912" s="340"/>
      <c r="Z912" s="341"/>
      <c r="AA912" s="341"/>
      <c r="AB912" s="341"/>
      <c r="AC912" s="340"/>
      <c r="AD912" s="75"/>
      <c r="AE912" s="75"/>
      <c r="AF912" s="75"/>
      <c r="AG912" s="344"/>
      <c r="AH912" s="344"/>
      <c r="AI912" s="344"/>
      <c r="AJ912" s="97"/>
      <c r="AK912" s="4"/>
    </row>
    <row r="913" spans="2:37" s="113" customFormat="1" x14ac:dyDescent="0.4">
      <c r="B913" s="80"/>
      <c r="C913" s="563">
        <v>500</v>
      </c>
      <c r="D913" s="907"/>
      <c r="E913" s="906"/>
      <c r="F913" s="921" t="str">
        <f t="shared" si="48"/>
        <v/>
      </c>
      <c r="G913" s="882" t="str">
        <f t="shared" si="51"/>
        <v/>
      </c>
      <c r="H913" s="925"/>
      <c r="I913" s="919"/>
      <c r="J913" s="919"/>
      <c r="K913" s="919"/>
      <c r="L913" s="919"/>
      <c r="O913" s="339"/>
      <c r="T913" s="75"/>
      <c r="U913" s="75"/>
      <c r="V913" s="75"/>
      <c r="W913" s="75"/>
      <c r="X913" s="75"/>
      <c r="Y913" s="340"/>
      <c r="Z913" s="341"/>
      <c r="AA913" s="341"/>
      <c r="AB913" s="341"/>
      <c r="AC913" s="340"/>
      <c r="AD913" s="75"/>
      <c r="AE913" s="75"/>
      <c r="AF913" s="75"/>
      <c r="AG913" s="344"/>
      <c r="AH913" s="344"/>
      <c r="AI913" s="344"/>
      <c r="AJ913" s="97"/>
      <c r="AK913" s="4"/>
    </row>
    <row r="914" spans="2:37" s="113" customFormat="1" x14ac:dyDescent="0.4">
      <c r="B914" s="80"/>
      <c r="C914" s="563">
        <v>501</v>
      </c>
      <c r="D914" s="907"/>
      <c r="E914" s="906"/>
      <c r="F914" s="921" t="str">
        <f t="shared" si="48"/>
        <v/>
      </c>
      <c r="G914" s="882" t="str">
        <f t="shared" si="51"/>
        <v/>
      </c>
      <c r="H914" s="925"/>
      <c r="I914" s="919"/>
      <c r="J914" s="919"/>
      <c r="K914" s="919"/>
      <c r="L914" s="919"/>
      <c r="O914" s="339"/>
      <c r="T914" s="75"/>
      <c r="U914" s="75"/>
      <c r="V914" s="75"/>
      <c r="W914" s="75"/>
      <c r="X914" s="75"/>
      <c r="Y914" s="340"/>
      <c r="Z914" s="341"/>
      <c r="AA914" s="341"/>
      <c r="AB914" s="341"/>
      <c r="AC914" s="340"/>
      <c r="AD914" s="75"/>
      <c r="AE914" s="75"/>
      <c r="AF914" s="75"/>
      <c r="AG914" s="344"/>
      <c r="AH914" s="344"/>
      <c r="AI914" s="344"/>
      <c r="AJ914" s="97"/>
      <c r="AK914" s="4"/>
    </row>
    <row r="915" spans="2:37" s="113" customFormat="1" x14ac:dyDescent="0.4">
      <c r="B915" s="80"/>
      <c r="C915" s="563">
        <v>502</v>
      </c>
      <c r="D915" s="907"/>
      <c r="E915" s="906"/>
      <c r="F915" s="921" t="str">
        <f t="shared" si="48"/>
        <v/>
      </c>
      <c r="G915" s="882" t="str">
        <f t="shared" si="51"/>
        <v/>
      </c>
      <c r="H915" s="925"/>
      <c r="I915" s="919"/>
      <c r="J915" s="919"/>
      <c r="K915" s="919"/>
      <c r="L915" s="919"/>
      <c r="O915" s="339"/>
      <c r="T915" s="75"/>
      <c r="U915" s="75"/>
      <c r="V915" s="75"/>
      <c r="W915" s="75"/>
      <c r="X915" s="75"/>
      <c r="Y915" s="340"/>
      <c r="Z915" s="341"/>
      <c r="AA915" s="341"/>
      <c r="AB915" s="341"/>
      <c r="AC915" s="340"/>
      <c r="AD915" s="75"/>
      <c r="AE915" s="75"/>
      <c r="AF915" s="75"/>
      <c r="AG915" s="344"/>
      <c r="AH915" s="344"/>
      <c r="AI915" s="344"/>
      <c r="AJ915" s="97"/>
      <c r="AK915" s="4"/>
    </row>
    <row r="916" spans="2:37" s="113" customFormat="1" x14ac:dyDescent="0.4">
      <c r="B916" s="80"/>
      <c r="C916" s="563">
        <v>503</v>
      </c>
      <c r="D916" s="907"/>
      <c r="E916" s="906"/>
      <c r="F916" s="921" t="str">
        <f t="shared" si="48"/>
        <v/>
      </c>
      <c r="G916" s="882" t="str">
        <f t="shared" si="51"/>
        <v/>
      </c>
      <c r="H916" s="925"/>
      <c r="I916" s="919"/>
      <c r="J916" s="919"/>
      <c r="K916" s="919"/>
      <c r="L916" s="919"/>
      <c r="O916" s="339"/>
      <c r="T916" s="75"/>
      <c r="U916" s="75"/>
      <c r="V916" s="75"/>
      <c r="W916" s="75"/>
      <c r="X916" s="75"/>
      <c r="Y916" s="340"/>
      <c r="Z916" s="341"/>
      <c r="AA916" s="341"/>
      <c r="AB916" s="341"/>
      <c r="AC916" s="340"/>
      <c r="AD916" s="75"/>
      <c r="AE916" s="75"/>
      <c r="AF916" s="75"/>
      <c r="AG916" s="344"/>
      <c r="AH916" s="344"/>
      <c r="AI916" s="344"/>
      <c r="AJ916" s="97"/>
      <c r="AK916" s="4"/>
    </row>
    <row r="917" spans="2:37" s="113" customFormat="1" x14ac:dyDescent="0.4">
      <c r="B917" s="80"/>
      <c r="C917" s="563">
        <v>504</v>
      </c>
      <c r="D917" s="907"/>
      <c r="E917" s="906"/>
      <c r="F917" s="921" t="str">
        <f t="shared" si="48"/>
        <v/>
      </c>
      <c r="G917" s="882" t="str">
        <f t="shared" si="51"/>
        <v/>
      </c>
      <c r="H917" s="925"/>
      <c r="I917" s="919"/>
      <c r="J917" s="919"/>
      <c r="K917" s="919"/>
      <c r="L917" s="919"/>
      <c r="O917" s="339"/>
      <c r="T917" s="75"/>
      <c r="U917" s="75"/>
      <c r="V917" s="75"/>
      <c r="W917" s="75"/>
      <c r="X917" s="75"/>
      <c r="Y917" s="340"/>
      <c r="Z917" s="341"/>
      <c r="AA917" s="341"/>
      <c r="AB917" s="341"/>
      <c r="AC917" s="340"/>
      <c r="AD917" s="75"/>
      <c r="AE917" s="75"/>
      <c r="AF917" s="75"/>
      <c r="AG917" s="344"/>
      <c r="AH917" s="344"/>
      <c r="AI917" s="344"/>
      <c r="AJ917" s="97"/>
      <c r="AK917" s="4"/>
    </row>
    <row r="918" spans="2:37" s="113" customFormat="1" x14ac:dyDescent="0.4">
      <c r="B918" s="80"/>
      <c r="C918" s="563">
        <v>505</v>
      </c>
      <c r="D918" s="907"/>
      <c r="E918" s="906"/>
      <c r="F918" s="921" t="str">
        <f t="shared" si="48"/>
        <v/>
      </c>
      <c r="G918" s="882" t="str">
        <f t="shared" si="51"/>
        <v/>
      </c>
      <c r="H918" s="925"/>
      <c r="I918" s="919"/>
      <c r="J918" s="919"/>
      <c r="K918" s="919"/>
      <c r="L918" s="919"/>
      <c r="O918" s="339"/>
      <c r="T918" s="75"/>
      <c r="U918" s="75"/>
      <c r="V918" s="75"/>
      <c r="W918" s="75"/>
      <c r="X918" s="75"/>
      <c r="Y918" s="340"/>
      <c r="Z918" s="341"/>
      <c r="AA918" s="341"/>
      <c r="AB918" s="341"/>
      <c r="AC918" s="340"/>
      <c r="AD918" s="75"/>
      <c r="AE918" s="75"/>
      <c r="AF918" s="75"/>
      <c r="AG918" s="344"/>
      <c r="AH918" s="344"/>
      <c r="AI918" s="344"/>
      <c r="AJ918" s="97"/>
      <c r="AK918" s="4"/>
    </row>
    <row r="919" spans="2:37" s="113" customFormat="1" x14ac:dyDescent="0.4">
      <c r="B919" s="80"/>
      <c r="C919" s="563">
        <v>506</v>
      </c>
      <c r="D919" s="907"/>
      <c r="E919" s="906"/>
      <c r="F919" s="921" t="str">
        <f t="shared" si="48"/>
        <v/>
      </c>
      <c r="G919" s="882" t="str">
        <f t="shared" si="51"/>
        <v/>
      </c>
      <c r="H919" s="925"/>
      <c r="I919" s="919"/>
      <c r="J919" s="919"/>
      <c r="K919" s="919"/>
      <c r="L919" s="919"/>
      <c r="O919" s="339"/>
      <c r="T919" s="75"/>
      <c r="U919" s="75"/>
      <c r="V919" s="75"/>
      <c r="W919" s="75"/>
      <c r="X919" s="75"/>
      <c r="Y919" s="340"/>
      <c r="Z919" s="341"/>
      <c r="AA919" s="341"/>
      <c r="AB919" s="341"/>
      <c r="AC919" s="340"/>
      <c r="AD919" s="75"/>
      <c r="AE919" s="75"/>
      <c r="AF919" s="75"/>
      <c r="AG919" s="344"/>
      <c r="AH919" s="344"/>
      <c r="AI919" s="344"/>
      <c r="AJ919" s="97"/>
      <c r="AK919" s="4"/>
    </row>
    <row r="920" spans="2:37" s="113" customFormat="1" x14ac:dyDescent="0.4">
      <c r="B920" s="80"/>
      <c r="C920" s="563">
        <v>507</v>
      </c>
      <c r="D920" s="907"/>
      <c r="E920" s="906"/>
      <c r="F920" s="921" t="str">
        <f t="shared" si="48"/>
        <v/>
      </c>
      <c r="G920" s="882" t="str">
        <f t="shared" si="51"/>
        <v/>
      </c>
      <c r="H920" s="925"/>
      <c r="I920" s="919"/>
      <c r="J920" s="919"/>
      <c r="K920" s="919"/>
      <c r="L920" s="919"/>
      <c r="O920" s="339"/>
      <c r="T920" s="75"/>
      <c r="U920" s="75"/>
      <c r="V920" s="75"/>
      <c r="W920" s="75"/>
      <c r="X920" s="75"/>
      <c r="Y920" s="340"/>
      <c r="Z920" s="341"/>
      <c r="AA920" s="341"/>
      <c r="AB920" s="341"/>
      <c r="AC920" s="340"/>
      <c r="AD920" s="75"/>
      <c r="AE920" s="75"/>
      <c r="AF920" s="75"/>
      <c r="AG920" s="344"/>
      <c r="AH920" s="344"/>
      <c r="AI920" s="344"/>
      <c r="AJ920" s="97"/>
      <c r="AK920" s="4"/>
    </row>
    <row r="921" spans="2:37" s="113" customFormat="1" x14ac:dyDescent="0.4">
      <c r="B921" s="80"/>
      <c r="C921" s="563">
        <v>508</v>
      </c>
      <c r="D921" s="907"/>
      <c r="E921" s="906"/>
      <c r="F921" s="921" t="str">
        <f t="shared" si="48"/>
        <v/>
      </c>
      <c r="G921" s="882" t="str">
        <f t="shared" si="51"/>
        <v/>
      </c>
      <c r="H921" s="925"/>
      <c r="I921" s="919"/>
      <c r="J921" s="919"/>
      <c r="K921" s="919"/>
      <c r="L921" s="919"/>
      <c r="O921" s="339"/>
      <c r="T921" s="75"/>
      <c r="U921" s="75"/>
      <c r="V921" s="75"/>
      <c r="W921" s="75"/>
      <c r="X921" s="75"/>
      <c r="Y921" s="340"/>
      <c r="Z921" s="341"/>
      <c r="AA921" s="341"/>
      <c r="AB921" s="341"/>
      <c r="AC921" s="340"/>
      <c r="AD921" s="75"/>
      <c r="AE921" s="75"/>
      <c r="AF921" s="75"/>
      <c r="AG921" s="344"/>
      <c r="AH921" s="344"/>
      <c r="AI921" s="344"/>
      <c r="AJ921" s="97"/>
      <c r="AK921" s="4"/>
    </row>
    <row r="922" spans="2:37" s="113" customFormat="1" x14ac:dyDescent="0.4">
      <c r="B922" s="80"/>
      <c r="C922" s="563">
        <v>509</v>
      </c>
      <c r="D922" s="907"/>
      <c r="E922" s="906"/>
      <c r="F922" s="921" t="str">
        <f t="shared" si="48"/>
        <v/>
      </c>
      <c r="G922" s="882" t="str">
        <f t="shared" si="51"/>
        <v/>
      </c>
      <c r="H922" s="925"/>
      <c r="I922" s="919"/>
      <c r="J922" s="919"/>
      <c r="K922" s="919"/>
      <c r="L922" s="919"/>
      <c r="O922" s="339"/>
      <c r="T922" s="75"/>
      <c r="U922" s="75"/>
      <c r="V922" s="75"/>
      <c r="W922" s="75"/>
      <c r="X922" s="75"/>
      <c r="Y922" s="340"/>
      <c r="Z922" s="341"/>
      <c r="AA922" s="341"/>
      <c r="AB922" s="341"/>
      <c r="AC922" s="340"/>
      <c r="AD922" s="75"/>
      <c r="AE922" s="75"/>
      <c r="AF922" s="75"/>
      <c r="AG922" s="344"/>
      <c r="AH922" s="344"/>
      <c r="AI922" s="344"/>
      <c r="AJ922" s="97"/>
      <c r="AK922" s="4"/>
    </row>
    <row r="923" spans="2:37" s="113" customFormat="1" x14ac:dyDescent="0.4">
      <c r="B923" s="80"/>
      <c r="C923" s="563">
        <v>510</v>
      </c>
      <c r="D923" s="907"/>
      <c r="E923" s="906"/>
      <c r="F923" s="921" t="str">
        <f t="shared" si="48"/>
        <v/>
      </c>
      <c r="G923" s="882" t="str">
        <f t="shared" si="51"/>
        <v/>
      </c>
      <c r="H923" s="925"/>
      <c r="I923" s="919"/>
      <c r="J923" s="919"/>
      <c r="K923" s="919"/>
      <c r="L923" s="919"/>
      <c r="O923" s="339"/>
      <c r="T923" s="75"/>
      <c r="U923" s="75"/>
      <c r="V923" s="75"/>
      <c r="W923" s="75"/>
      <c r="X923" s="75"/>
      <c r="Y923" s="340"/>
      <c r="Z923" s="341"/>
      <c r="AA923" s="341"/>
      <c r="AB923" s="341"/>
      <c r="AC923" s="340"/>
      <c r="AD923" s="75"/>
      <c r="AE923" s="75"/>
      <c r="AF923" s="75"/>
      <c r="AG923" s="344"/>
      <c r="AH923" s="344"/>
      <c r="AI923" s="344"/>
      <c r="AJ923" s="97"/>
      <c r="AK923" s="4"/>
    </row>
    <row r="924" spans="2:37" s="113" customFormat="1" x14ac:dyDescent="0.4">
      <c r="B924" s="80"/>
      <c r="C924" s="563">
        <v>511</v>
      </c>
      <c r="D924" s="907"/>
      <c r="E924" s="906"/>
      <c r="F924" s="921" t="str">
        <f t="shared" si="48"/>
        <v/>
      </c>
      <c r="G924" s="882" t="str">
        <f t="shared" si="51"/>
        <v/>
      </c>
      <c r="H924" s="925"/>
      <c r="I924" s="919"/>
      <c r="J924" s="919"/>
      <c r="K924" s="919"/>
      <c r="L924" s="919"/>
      <c r="O924" s="339"/>
      <c r="T924" s="75"/>
      <c r="U924" s="75"/>
      <c r="V924" s="75"/>
      <c r="W924" s="75"/>
      <c r="X924" s="75"/>
      <c r="Y924" s="340"/>
      <c r="Z924" s="341"/>
      <c r="AA924" s="341"/>
      <c r="AB924" s="341"/>
      <c r="AC924" s="340"/>
      <c r="AD924" s="75"/>
      <c r="AE924" s="75"/>
      <c r="AF924" s="75"/>
      <c r="AG924" s="344"/>
      <c r="AH924" s="344"/>
      <c r="AI924" s="344"/>
      <c r="AJ924" s="97"/>
      <c r="AK924" s="4"/>
    </row>
    <row r="925" spans="2:37" s="113" customFormat="1" x14ac:dyDescent="0.4">
      <c r="B925" s="80"/>
      <c r="C925" s="563">
        <v>512</v>
      </c>
      <c r="D925" s="907"/>
      <c r="E925" s="906"/>
      <c r="F925" s="921" t="str">
        <f t="shared" si="48"/>
        <v/>
      </c>
      <c r="G925" s="882" t="str">
        <f t="shared" si="51"/>
        <v/>
      </c>
      <c r="H925" s="925"/>
      <c r="I925" s="919"/>
      <c r="J925" s="919"/>
      <c r="K925" s="919"/>
      <c r="L925" s="919"/>
      <c r="O925" s="339"/>
      <c r="T925" s="75"/>
      <c r="U925" s="75"/>
      <c r="V925" s="75"/>
      <c r="W925" s="75"/>
      <c r="X925" s="75"/>
      <c r="Y925" s="340"/>
      <c r="Z925" s="341"/>
      <c r="AA925" s="341"/>
      <c r="AB925" s="341"/>
      <c r="AC925" s="340"/>
      <c r="AD925" s="75"/>
      <c r="AE925" s="75"/>
      <c r="AF925" s="75"/>
      <c r="AG925" s="344"/>
      <c r="AH925" s="344"/>
      <c r="AI925" s="344"/>
      <c r="AJ925" s="97"/>
      <c r="AK925" s="4"/>
    </row>
    <row r="926" spans="2:37" s="113" customFormat="1" x14ac:dyDescent="0.4">
      <c r="B926" s="80"/>
      <c r="C926" s="563">
        <v>513</v>
      </c>
      <c r="D926" s="907"/>
      <c r="E926" s="906"/>
      <c r="F926" s="921" t="str">
        <f t="shared" ref="F926:F989" si="52">IF($D$30="","",IF(OR(
AND(C926&gt;=0,C926&lt;=$D$32),
AND(C926&gt;=$E$30,C926&lt;=$E$32),
AND(C926&gt;=$F$30,C926&lt;=$F$32),
AND(C926&gt;=$G$30,C926&lt;=$G$32),
AND(C926&gt;=$H$30,C926&lt;=$H$32),
AND(C926&gt;=$I$30,C926&lt;=$I$32),
AND(C926&gt;=$J$30,C926&lt;=$J$32),
AND(C926&gt;=$K$30,C926&lt;=$K$32),
AND(C926&gt;=$L$30,C926&lt;=$L$32),
AND(C926&gt;=$M$30,C926&lt;=$M$32,$M$32&lt;&gt;""),
AND(C926&gt;=$N$30,C926&lt;=$N$32,$N$32&lt;&gt;""),
AND(C926&gt;=$O$30,C926&lt;=$O$32,$O$32&lt;&gt;""),
AND(C926&gt;=$P$30,C926&lt;=$P$32,$P$32&lt;&gt;""),
AND(C926&gt;=$Q$30,C926&lt;=$Q$32,$Q$32&lt;&gt;"")
),"ON","OFF"))</f>
        <v/>
      </c>
      <c r="G926" s="882" t="str">
        <f t="shared" si="51"/>
        <v/>
      </c>
      <c r="H926" s="925"/>
      <c r="I926" s="919"/>
      <c r="J926" s="919"/>
      <c r="K926" s="919"/>
      <c r="L926" s="919"/>
      <c r="O926" s="339"/>
      <c r="T926" s="75"/>
      <c r="U926" s="75"/>
      <c r="V926" s="75"/>
      <c r="W926" s="75"/>
      <c r="X926" s="75"/>
      <c r="Y926" s="340"/>
      <c r="Z926" s="341"/>
      <c r="AA926" s="341"/>
      <c r="AB926" s="341"/>
      <c r="AC926" s="340"/>
      <c r="AD926" s="75"/>
      <c r="AE926" s="75"/>
      <c r="AF926" s="75"/>
      <c r="AG926" s="344"/>
      <c r="AH926" s="344"/>
      <c r="AI926" s="344"/>
      <c r="AJ926" s="97"/>
      <c r="AK926" s="4"/>
    </row>
    <row r="927" spans="2:37" s="113" customFormat="1" x14ac:dyDescent="0.4">
      <c r="B927" s="80"/>
      <c r="C927" s="563">
        <v>514</v>
      </c>
      <c r="D927" s="907"/>
      <c r="E927" s="906"/>
      <c r="F927" s="921" t="str">
        <f t="shared" si="52"/>
        <v/>
      </c>
      <c r="G927" s="882" t="str">
        <f t="shared" ref="G927:G990" si="53">IF(OR($D$47="",$D$48=""),"",IF(OR(
AND(C927&gt;=$D$47,C927&lt;=$D$48),
AND(C927&gt;=$E$47,C927&lt;=$E$48),
AND(C927&gt;=$F$47,C927&lt;=$F$48),
AND(C927&gt;=$G$47,C927&lt;=$G$48),
AND(C927&gt;=$H$47,C927&lt;=$H$48),
AND(C927&gt;=$I$47,C927&lt;=$I$48),
AND(C927&gt;=$J$47,C927&lt;=$J$48),
AND(C927&gt;=$K$47,C927&lt;=$K$48),
AND(C927&gt;=$L$47,C927&lt;=$L$48),
AND(C927&gt;=$M$47,C927&lt;=$M$48),
AND(C927&gt;=$N$47,C927&lt;=$N$48),
AND(C927&gt;=$O$47,C927&lt;=$O$48),
AND(C927&gt;=$P$47,C927&lt;=$P$48),
AND(C927&gt;=$Q$47,C927&lt;=$Q$48),
AND(C927&gt;=$R$47,C927&lt;=$R$48),
AND(C927&gt;=$S$47,C927&lt;=$S$48),
AND(C927&gt;=$T$47,C927&lt;=$T$48),
AND(C927&gt;=$U$47,C927&lt;=$U$48),
AND(C927&gt;=$V$47,C927&lt;=$V$48),
AND(C927&gt;=$W$47,C927&lt;=$W$48),
AND(C927&gt;=$X$47,C927&lt;=$X$48),
AND(C927&gt;=$Y$47,C927&lt;=$Y$48),
AND(C927&gt;=$Z$47,C927&lt;=$Z$48),
AND(C927&gt;=$AA$47,C927&lt;=$AA$48),
AND(C927&gt;=$AB$47,C927&lt;=$AB$48),
AND(C927&gt;=$AC$47,C927&lt;=$AC$48),
AND(C927&gt;=$AD$47,C927&lt;=$AD$48),
AND(C927&gt;=$AE$47,C927&lt;=$AE$48),
AND(C927&gt;=$AF$47,C927&lt;=$AF$48),
AND(C927&gt;=$AG$47,C927&lt;=$AG$48)
),"ON","OFF"))</f>
        <v/>
      </c>
      <c r="H927" s="925"/>
      <c r="I927" s="919"/>
      <c r="J927" s="919"/>
      <c r="K927" s="919"/>
      <c r="L927" s="919"/>
      <c r="O927" s="339"/>
      <c r="T927" s="75"/>
      <c r="U927" s="75"/>
      <c r="V927" s="75"/>
      <c r="W927" s="75"/>
      <c r="X927" s="75"/>
      <c r="Y927" s="340"/>
      <c r="Z927" s="341"/>
      <c r="AA927" s="341"/>
      <c r="AB927" s="341"/>
      <c r="AC927" s="340"/>
      <c r="AD927" s="75"/>
      <c r="AE927" s="75"/>
      <c r="AF927" s="75"/>
      <c r="AG927" s="344"/>
      <c r="AH927" s="344"/>
      <c r="AI927" s="344"/>
      <c r="AJ927" s="97"/>
      <c r="AK927" s="4"/>
    </row>
    <row r="928" spans="2:37" s="113" customFormat="1" x14ac:dyDescent="0.4">
      <c r="B928" s="80"/>
      <c r="C928" s="563">
        <v>515</v>
      </c>
      <c r="D928" s="907"/>
      <c r="E928" s="906"/>
      <c r="F928" s="921" t="str">
        <f t="shared" si="52"/>
        <v/>
      </c>
      <c r="G928" s="882" t="str">
        <f t="shared" si="53"/>
        <v/>
      </c>
      <c r="H928" s="925"/>
      <c r="I928" s="919"/>
      <c r="J928" s="919"/>
      <c r="K928" s="919"/>
      <c r="L928" s="919"/>
      <c r="O928" s="339"/>
      <c r="T928" s="75"/>
      <c r="U928" s="75"/>
      <c r="V928" s="75"/>
      <c r="W928" s="75"/>
      <c r="X928" s="75"/>
      <c r="Y928" s="340"/>
      <c r="Z928" s="341"/>
      <c r="AA928" s="341"/>
      <c r="AB928" s="341"/>
      <c r="AC928" s="340"/>
      <c r="AD928" s="75"/>
      <c r="AE928" s="75"/>
      <c r="AF928" s="75"/>
      <c r="AG928" s="344"/>
      <c r="AH928" s="344"/>
      <c r="AI928" s="344"/>
      <c r="AJ928" s="97"/>
      <c r="AK928" s="4"/>
    </row>
    <row r="929" spans="2:37" s="113" customFormat="1" x14ac:dyDescent="0.4">
      <c r="B929" s="80"/>
      <c r="C929" s="563">
        <v>516</v>
      </c>
      <c r="D929" s="907"/>
      <c r="E929" s="906"/>
      <c r="F929" s="921" t="str">
        <f t="shared" si="52"/>
        <v/>
      </c>
      <c r="G929" s="882" t="str">
        <f t="shared" si="53"/>
        <v/>
      </c>
      <c r="H929" s="925"/>
      <c r="I929" s="919"/>
      <c r="J929" s="919"/>
      <c r="K929" s="919"/>
      <c r="L929" s="919"/>
      <c r="O929" s="339"/>
      <c r="T929" s="75"/>
      <c r="U929" s="75"/>
      <c r="V929" s="75"/>
      <c r="W929" s="75"/>
      <c r="X929" s="75"/>
      <c r="Y929" s="340"/>
      <c r="Z929" s="341"/>
      <c r="AA929" s="341"/>
      <c r="AB929" s="341"/>
      <c r="AC929" s="340"/>
      <c r="AD929" s="75"/>
      <c r="AE929" s="75"/>
      <c r="AF929" s="75"/>
      <c r="AG929" s="344"/>
      <c r="AH929" s="344"/>
      <c r="AI929" s="344"/>
      <c r="AJ929" s="97"/>
      <c r="AK929" s="4"/>
    </row>
    <row r="930" spans="2:37" s="113" customFormat="1" x14ac:dyDescent="0.4">
      <c r="B930" s="80"/>
      <c r="C930" s="563">
        <v>517</v>
      </c>
      <c r="D930" s="907"/>
      <c r="E930" s="906"/>
      <c r="F930" s="921" t="str">
        <f t="shared" si="52"/>
        <v/>
      </c>
      <c r="G930" s="882" t="str">
        <f t="shared" si="53"/>
        <v/>
      </c>
      <c r="H930" s="925"/>
      <c r="I930" s="919"/>
      <c r="J930" s="919"/>
      <c r="K930" s="919"/>
      <c r="L930" s="919"/>
      <c r="O930" s="339"/>
      <c r="T930" s="75"/>
      <c r="U930" s="75"/>
      <c r="V930" s="75"/>
      <c r="W930" s="75"/>
      <c r="X930" s="75"/>
      <c r="Y930" s="340"/>
      <c r="Z930" s="341"/>
      <c r="AA930" s="341"/>
      <c r="AB930" s="341"/>
      <c r="AC930" s="340"/>
      <c r="AD930" s="75"/>
      <c r="AE930" s="75"/>
      <c r="AF930" s="75"/>
      <c r="AG930" s="344"/>
      <c r="AH930" s="344"/>
      <c r="AI930" s="344"/>
      <c r="AJ930" s="97"/>
      <c r="AK930" s="4"/>
    </row>
    <row r="931" spans="2:37" s="113" customFormat="1" x14ac:dyDescent="0.4">
      <c r="B931" s="80"/>
      <c r="C931" s="563">
        <v>518</v>
      </c>
      <c r="D931" s="907"/>
      <c r="E931" s="906"/>
      <c r="F931" s="921" t="str">
        <f t="shared" si="52"/>
        <v/>
      </c>
      <c r="G931" s="882" t="str">
        <f t="shared" si="53"/>
        <v/>
      </c>
      <c r="H931" s="925"/>
      <c r="I931" s="919"/>
      <c r="J931" s="919"/>
      <c r="K931" s="919"/>
      <c r="L931" s="919"/>
      <c r="O931" s="339"/>
      <c r="T931" s="75"/>
      <c r="U931" s="75"/>
      <c r="V931" s="75"/>
      <c r="W931" s="75"/>
      <c r="X931" s="75"/>
      <c r="Y931" s="340"/>
      <c r="Z931" s="341"/>
      <c r="AA931" s="341"/>
      <c r="AB931" s="341"/>
      <c r="AC931" s="340"/>
      <c r="AD931" s="75"/>
      <c r="AE931" s="75"/>
      <c r="AF931" s="75"/>
      <c r="AG931" s="344"/>
      <c r="AH931" s="344"/>
      <c r="AI931" s="344"/>
      <c r="AJ931" s="97"/>
      <c r="AK931" s="4"/>
    </row>
    <row r="932" spans="2:37" s="113" customFormat="1" x14ac:dyDescent="0.4">
      <c r="B932" s="80"/>
      <c r="C932" s="563">
        <v>519</v>
      </c>
      <c r="D932" s="907"/>
      <c r="E932" s="906"/>
      <c r="F932" s="921" t="str">
        <f t="shared" si="52"/>
        <v/>
      </c>
      <c r="G932" s="882" t="str">
        <f t="shared" si="53"/>
        <v/>
      </c>
      <c r="H932" s="925"/>
      <c r="I932" s="919"/>
      <c r="J932" s="919"/>
      <c r="K932" s="919"/>
      <c r="L932" s="919"/>
      <c r="O932" s="339"/>
      <c r="T932" s="75"/>
      <c r="U932" s="75"/>
      <c r="V932" s="75"/>
      <c r="W932" s="75"/>
      <c r="X932" s="75"/>
      <c r="Y932" s="340"/>
      <c r="Z932" s="341"/>
      <c r="AA932" s="341"/>
      <c r="AB932" s="341"/>
      <c r="AC932" s="340"/>
      <c r="AD932" s="75"/>
      <c r="AE932" s="75"/>
      <c r="AF932" s="75"/>
      <c r="AG932" s="344"/>
      <c r="AH932" s="344"/>
      <c r="AI932" s="344"/>
      <c r="AJ932" s="97"/>
      <c r="AK932" s="4"/>
    </row>
    <row r="933" spans="2:37" s="113" customFormat="1" x14ac:dyDescent="0.4">
      <c r="B933" s="80"/>
      <c r="C933" s="563">
        <v>520</v>
      </c>
      <c r="D933" s="907"/>
      <c r="E933" s="906"/>
      <c r="F933" s="921" t="str">
        <f t="shared" si="52"/>
        <v/>
      </c>
      <c r="G933" s="882" t="str">
        <f t="shared" si="53"/>
        <v/>
      </c>
      <c r="H933" s="925"/>
      <c r="I933" s="919"/>
      <c r="J933" s="919"/>
      <c r="K933" s="919"/>
      <c r="L933" s="919"/>
      <c r="O933" s="339"/>
      <c r="T933" s="75"/>
      <c r="U933" s="75"/>
      <c r="V933" s="75"/>
      <c r="W933" s="75"/>
      <c r="X933" s="75"/>
      <c r="Y933" s="340"/>
      <c r="Z933" s="341"/>
      <c r="AA933" s="341"/>
      <c r="AB933" s="341"/>
      <c r="AC933" s="340"/>
      <c r="AD933" s="75"/>
      <c r="AE933" s="75"/>
      <c r="AF933" s="75"/>
      <c r="AG933" s="344"/>
      <c r="AH933" s="344"/>
      <c r="AI933" s="344"/>
      <c r="AJ933" s="97"/>
      <c r="AK933" s="4"/>
    </row>
    <row r="934" spans="2:37" s="113" customFormat="1" x14ac:dyDescent="0.4">
      <c r="B934" s="80"/>
      <c r="C934" s="563">
        <v>521</v>
      </c>
      <c r="D934" s="907"/>
      <c r="E934" s="906"/>
      <c r="F934" s="921" t="str">
        <f t="shared" si="52"/>
        <v/>
      </c>
      <c r="G934" s="882" t="str">
        <f t="shared" si="53"/>
        <v/>
      </c>
      <c r="H934" s="925"/>
      <c r="I934" s="919"/>
      <c r="J934" s="919"/>
      <c r="K934" s="919"/>
      <c r="L934" s="919"/>
      <c r="O934" s="339"/>
      <c r="T934" s="75"/>
      <c r="U934" s="75"/>
      <c r="V934" s="75"/>
      <c r="W934" s="75"/>
      <c r="X934" s="75"/>
      <c r="Y934" s="340"/>
      <c r="Z934" s="341"/>
      <c r="AA934" s="341"/>
      <c r="AB934" s="341"/>
      <c r="AC934" s="340"/>
      <c r="AD934" s="75"/>
      <c r="AE934" s="75"/>
      <c r="AF934" s="75"/>
      <c r="AG934" s="344"/>
      <c r="AH934" s="344"/>
      <c r="AI934" s="344"/>
      <c r="AJ934" s="97"/>
      <c r="AK934" s="4"/>
    </row>
    <row r="935" spans="2:37" s="113" customFormat="1" x14ac:dyDescent="0.4">
      <c r="B935" s="80"/>
      <c r="C935" s="563">
        <v>522</v>
      </c>
      <c r="D935" s="907"/>
      <c r="E935" s="906"/>
      <c r="F935" s="921" t="str">
        <f t="shared" si="52"/>
        <v/>
      </c>
      <c r="G935" s="882" t="str">
        <f t="shared" si="53"/>
        <v/>
      </c>
      <c r="H935" s="925"/>
      <c r="I935" s="919"/>
      <c r="J935" s="919"/>
      <c r="K935" s="919"/>
      <c r="L935" s="919"/>
      <c r="O935" s="339"/>
      <c r="T935" s="75"/>
      <c r="U935" s="75"/>
      <c r="V935" s="75"/>
      <c r="W935" s="75"/>
      <c r="X935" s="75"/>
      <c r="Y935" s="340"/>
      <c r="Z935" s="341"/>
      <c r="AA935" s="341"/>
      <c r="AB935" s="341"/>
      <c r="AC935" s="340"/>
      <c r="AD935" s="75"/>
      <c r="AE935" s="75"/>
      <c r="AF935" s="75"/>
      <c r="AG935" s="344"/>
      <c r="AH935" s="344"/>
      <c r="AI935" s="344"/>
      <c r="AJ935" s="97"/>
      <c r="AK935" s="4"/>
    </row>
    <row r="936" spans="2:37" s="113" customFormat="1" x14ac:dyDescent="0.4">
      <c r="B936" s="80"/>
      <c r="C936" s="563">
        <v>523</v>
      </c>
      <c r="D936" s="907"/>
      <c r="E936" s="906"/>
      <c r="F936" s="921" t="str">
        <f t="shared" si="52"/>
        <v/>
      </c>
      <c r="G936" s="882" t="str">
        <f t="shared" si="53"/>
        <v/>
      </c>
      <c r="H936" s="925"/>
      <c r="I936" s="919"/>
      <c r="J936" s="919"/>
      <c r="K936" s="919"/>
      <c r="L936" s="919"/>
      <c r="O936" s="339"/>
      <c r="T936" s="75"/>
      <c r="U936" s="75"/>
      <c r="V936" s="75"/>
      <c r="W936" s="75"/>
      <c r="X936" s="75"/>
      <c r="Y936" s="340"/>
      <c r="Z936" s="341"/>
      <c r="AA936" s="341"/>
      <c r="AB936" s="341"/>
      <c r="AC936" s="340"/>
      <c r="AD936" s="75"/>
      <c r="AE936" s="75"/>
      <c r="AF936" s="75"/>
      <c r="AG936" s="344"/>
      <c r="AH936" s="344"/>
      <c r="AI936" s="344"/>
      <c r="AJ936" s="97"/>
      <c r="AK936" s="4"/>
    </row>
    <row r="937" spans="2:37" s="113" customFormat="1" x14ac:dyDescent="0.4">
      <c r="B937" s="80"/>
      <c r="C937" s="563">
        <v>524</v>
      </c>
      <c r="D937" s="907"/>
      <c r="E937" s="906"/>
      <c r="F937" s="921" t="str">
        <f t="shared" si="52"/>
        <v/>
      </c>
      <c r="G937" s="882" t="str">
        <f t="shared" si="53"/>
        <v/>
      </c>
      <c r="H937" s="925"/>
      <c r="I937" s="919"/>
      <c r="J937" s="919"/>
      <c r="K937" s="919"/>
      <c r="L937" s="919"/>
      <c r="O937" s="339"/>
      <c r="T937" s="75"/>
      <c r="U937" s="75"/>
      <c r="V937" s="75"/>
      <c r="W937" s="75"/>
      <c r="X937" s="75"/>
      <c r="Y937" s="340"/>
      <c r="Z937" s="341"/>
      <c r="AA937" s="341"/>
      <c r="AB937" s="341"/>
      <c r="AC937" s="340"/>
      <c r="AD937" s="75"/>
      <c r="AE937" s="75"/>
      <c r="AF937" s="75"/>
      <c r="AG937" s="344"/>
      <c r="AH937" s="344"/>
      <c r="AI937" s="344"/>
      <c r="AJ937" s="97"/>
      <c r="AK937" s="4"/>
    </row>
    <row r="938" spans="2:37" s="113" customFormat="1" x14ac:dyDescent="0.4">
      <c r="B938" s="80"/>
      <c r="C938" s="563">
        <v>525</v>
      </c>
      <c r="D938" s="907"/>
      <c r="E938" s="906"/>
      <c r="F938" s="921" t="str">
        <f t="shared" si="52"/>
        <v/>
      </c>
      <c r="G938" s="882" t="str">
        <f t="shared" si="53"/>
        <v/>
      </c>
      <c r="H938" s="925"/>
      <c r="I938" s="919"/>
      <c r="J938" s="919"/>
      <c r="K938" s="919"/>
      <c r="L938" s="919"/>
      <c r="O938" s="339"/>
      <c r="T938" s="75"/>
      <c r="U938" s="75"/>
      <c r="V938" s="75"/>
      <c r="W938" s="75"/>
      <c r="X938" s="75"/>
      <c r="Y938" s="340"/>
      <c r="Z938" s="341"/>
      <c r="AA938" s="341"/>
      <c r="AB938" s="341"/>
      <c r="AC938" s="340"/>
      <c r="AD938" s="75"/>
      <c r="AE938" s="75"/>
      <c r="AF938" s="75"/>
      <c r="AG938" s="344"/>
      <c r="AH938" s="344"/>
      <c r="AI938" s="344"/>
      <c r="AJ938" s="97"/>
      <c r="AK938" s="4"/>
    </row>
    <row r="939" spans="2:37" s="113" customFormat="1" x14ac:dyDescent="0.4">
      <c r="B939" s="80"/>
      <c r="C939" s="563">
        <v>526</v>
      </c>
      <c r="D939" s="907"/>
      <c r="E939" s="906"/>
      <c r="F939" s="921" t="str">
        <f t="shared" si="52"/>
        <v/>
      </c>
      <c r="G939" s="882" t="str">
        <f t="shared" si="53"/>
        <v/>
      </c>
      <c r="H939" s="925"/>
      <c r="I939" s="919"/>
      <c r="J939" s="919"/>
      <c r="K939" s="919"/>
      <c r="L939" s="919"/>
      <c r="O939" s="339"/>
      <c r="T939" s="75"/>
      <c r="U939" s="75"/>
      <c r="V939" s="75"/>
      <c r="W939" s="75"/>
      <c r="X939" s="75"/>
      <c r="Y939" s="340"/>
      <c r="Z939" s="341"/>
      <c r="AA939" s="341"/>
      <c r="AB939" s="341"/>
      <c r="AC939" s="340"/>
      <c r="AD939" s="75"/>
      <c r="AE939" s="75"/>
      <c r="AF939" s="75"/>
      <c r="AG939" s="344"/>
      <c r="AH939" s="344"/>
      <c r="AI939" s="344"/>
      <c r="AJ939" s="97"/>
      <c r="AK939" s="4"/>
    </row>
    <row r="940" spans="2:37" s="113" customFormat="1" x14ac:dyDescent="0.4">
      <c r="B940" s="80"/>
      <c r="C940" s="563">
        <v>527</v>
      </c>
      <c r="D940" s="907"/>
      <c r="E940" s="906"/>
      <c r="F940" s="921" t="str">
        <f t="shared" si="52"/>
        <v/>
      </c>
      <c r="G940" s="882" t="str">
        <f t="shared" si="53"/>
        <v/>
      </c>
      <c r="H940" s="925"/>
      <c r="I940" s="919"/>
      <c r="J940" s="919"/>
      <c r="K940" s="919"/>
      <c r="L940" s="919"/>
      <c r="O940" s="339"/>
      <c r="T940" s="75"/>
      <c r="U940" s="75"/>
      <c r="V940" s="75"/>
      <c r="W940" s="75"/>
      <c r="X940" s="75"/>
      <c r="Y940" s="340"/>
      <c r="Z940" s="341"/>
      <c r="AA940" s="341"/>
      <c r="AB940" s="341"/>
      <c r="AC940" s="340"/>
      <c r="AD940" s="75"/>
      <c r="AE940" s="75"/>
      <c r="AF940" s="75"/>
      <c r="AG940" s="344"/>
      <c r="AH940" s="344"/>
      <c r="AI940" s="344"/>
      <c r="AJ940" s="97"/>
      <c r="AK940" s="4"/>
    </row>
    <row r="941" spans="2:37" s="113" customFormat="1" x14ac:dyDescent="0.4">
      <c r="B941" s="80"/>
      <c r="C941" s="563">
        <v>528</v>
      </c>
      <c r="D941" s="907"/>
      <c r="E941" s="906"/>
      <c r="F941" s="921" t="str">
        <f t="shared" si="52"/>
        <v/>
      </c>
      <c r="G941" s="882" t="str">
        <f t="shared" si="53"/>
        <v/>
      </c>
      <c r="H941" s="925"/>
      <c r="I941" s="919"/>
      <c r="J941" s="919"/>
      <c r="K941" s="919"/>
      <c r="L941" s="919"/>
      <c r="O941" s="339"/>
      <c r="T941" s="75"/>
      <c r="U941" s="75"/>
      <c r="V941" s="75"/>
      <c r="W941" s="75"/>
      <c r="X941" s="75"/>
      <c r="Y941" s="340"/>
      <c r="Z941" s="341"/>
      <c r="AA941" s="341"/>
      <c r="AB941" s="341"/>
      <c r="AC941" s="340"/>
      <c r="AD941" s="75"/>
      <c r="AE941" s="75"/>
      <c r="AF941" s="75"/>
      <c r="AG941" s="344"/>
      <c r="AH941" s="344"/>
      <c r="AI941" s="344"/>
      <c r="AJ941" s="97"/>
      <c r="AK941" s="4"/>
    </row>
    <row r="942" spans="2:37" s="113" customFormat="1" x14ac:dyDescent="0.4">
      <c r="B942" s="80"/>
      <c r="C942" s="563">
        <v>529</v>
      </c>
      <c r="D942" s="907"/>
      <c r="E942" s="906"/>
      <c r="F942" s="921" t="str">
        <f t="shared" si="52"/>
        <v/>
      </c>
      <c r="G942" s="882" t="str">
        <f t="shared" si="53"/>
        <v/>
      </c>
      <c r="H942" s="925"/>
      <c r="I942" s="919"/>
      <c r="J942" s="919"/>
      <c r="K942" s="919"/>
      <c r="L942" s="919"/>
      <c r="O942" s="339"/>
      <c r="T942" s="75"/>
      <c r="U942" s="75"/>
      <c r="V942" s="75"/>
      <c r="W942" s="75"/>
      <c r="X942" s="75"/>
      <c r="Y942" s="340"/>
      <c r="Z942" s="341"/>
      <c r="AA942" s="341"/>
      <c r="AB942" s="341"/>
      <c r="AC942" s="340"/>
      <c r="AD942" s="75"/>
      <c r="AE942" s="75"/>
      <c r="AF942" s="75"/>
      <c r="AG942" s="344"/>
      <c r="AH942" s="344"/>
      <c r="AI942" s="344"/>
      <c r="AJ942" s="97"/>
      <c r="AK942" s="4"/>
    </row>
    <row r="943" spans="2:37" s="113" customFormat="1" x14ac:dyDescent="0.4">
      <c r="B943" s="80"/>
      <c r="C943" s="563">
        <v>530</v>
      </c>
      <c r="D943" s="907"/>
      <c r="E943" s="906"/>
      <c r="F943" s="921" t="str">
        <f t="shared" si="52"/>
        <v/>
      </c>
      <c r="G943" s="882" t="str">
        <f t="shared" si="53"/>
        <v/>
      </c>
      <c r="H943" s="925"/>
      <c r="I943" s="919"/>
      <c r="J943" s="919"/>
      <c r="K943" s="919"/>
      <c r="L943" s="919"/>
      <c r="O943" s="339"/>
      <c r="T943" s="75"/>
      <c r="U943" s="75"/>
      <c r="V943" s="75"/>
      <c r="W943" s="75"/>
      <c r="X943" s="75"/>
      <c r="Y943" s="340"/>
      <c r="Z943" s="341"/>
      <c r="AA943" s="341"/>
      <c r="AB943" s="341"/>
      <c r="AC943" s="340"/>
      <c r="AD943" s="75"/>
      <c r="AE943" s="75"/>
      <c r="AF943" s="75"/>
      <c r="AG943" s="344"/>
      <c r="AH943" s="344"/>
      <c r="AI943" s="344"/>
      <c r="AJ943" s="97"/>
      <c r="AK943" s="4"/>
    </row>
    <row r="944" spans="2:37" s="113" customFormat="1" x14ac:dyDescent="0.4">
      <c r="B944" s="80"/>
      <c r="C944" s="563">
        <v>531</v>
      </c>
      <c r="D944" s="907"/>
      <c r="E944" s="906"/>
      <c r="F944" s="921" t="str">
        <f t="shared" si="52"/>
        <v/>
      </c>
      <c r="G944" s="882" t="str">
        <f t="shared" si="53"/>
        <v/>
      </c>
      <c r="H944" s="925"/>
      <c r="I944" s="919"/>
      <c r="J944" s="919"/>
      <c r="K944" s="919"/>
      <c r="L944" s="919"/>
      <c r="O944" s="339"/>
      <c r="T944" s="75"/>
      <c r="U944" s="75"/>
      <c r="V944" s="75"/>
      <c r="W944" s="75"/>
      <c r="X944" s="75"/>
      <c r="Y944" s="340"/>
      <c r="Z944" s="341"/>
      <c r="AA944" s="341"/>
      <c r="AB944" s="341"/>
      <c r="AC944" s="340"/>
      <c r="AD944" s="75"/>
      <c r="AE944" s="75"/>
      <c r="AF944" s="75"/>
      <c r="AG944" s="344"/>
      <c r="AH944" s="344"/>
      <c r="AI944" s="344"/>
      <c r="AJ944" s="97"/>
      <c r="AK944" s="4"/>
    </row>
    <row r="945" spans="2:37" s="113" customFormat="1" x14ac:dyDescent="0.4">
      <c r="B945" s="80"/>
      <c r="C945" s="563">
        <v>532</v>
      </c>
      <c r="D945" s="907"/>
      <c r="E945" s="906"/>
      <c r="F945" s="921" t="str">
        <f t="shared" si="52"/>
        <v/>
      </c>
      <c r="G945" s="882" t="str">
        <f t="shared" si="53"/>
        <v/>
      </c>
      <c r="H945" s="925"/>
      <c r="I945" s="919"/>
      <c r="J945" s="919"/>
      <c r="K945" s="919"/>
      <c r="L945" s="919"/>
      <c r="O945" s="339"/>
      <c r="T945" s="75"/>
      <c r="U945" s="75"/>
      <c r="V945" s="75"/>
      <c r="W945" s="75"/>
      <c r="X945" s="75"/>
      <c r="Y945" s="340"/>
      <c r="Z945" s="341"/>
      <c r="AA945" s="341"/>
      <c r="AB945" s="341"/>
      <c r="AC945" s="340"/>
      <c r="AD945" s="75"/>
      <c r="AE945" s="75"/>
      <c r="AF945" s="75"/>
      <c r="AG945" s="344"/>
      <c r="AH945" s="344"/>
      <c r="AI945" s="344"/>
      <c r="AJ945" s="97"/>
      <c r="AK945" s="4"/>
    </row>
    <row r="946" spans="2:37" s="113" customFormat="1" x14ac:dyDescent="0.4">
      <c r="B946" s="80"/>
      <c r="C946" s="563">
        <v>533</v>
      </c>
      <c r="D946" s="907"/>
      <c r="E946" s="906"/>
      <c r="F946" s="921" t="str">
        <f t="shared" si="52"/>
        <v/>
      </c>
      <c r="G946" s="882" t="str">
        <f t="shared" si="53"/>
        <v/>
      </c>
      <c r="H946" s="925"/>
      <c r="I946" s="919"/>
      <c r="J946" s="919"/>
      <c r="K946" s="919"/>
      <c r="L946" s="919"/>
      <c r="O946" s="339"/>
      <c r="T946" s="75"/>
      <c r="U946" s="75"/>
      <c r="V946" s="75"/>
      <c r="W946" s="75"/>
      <c r="X946" s="75"/>
      <c r="Y946" s="340"/>
      <c r="Z946" s="341"/>
      <c r="AA946" s="341"/>
      <c r="AB946" s="341"/>
      <c r="AC946" s="340"/>
      <c r="AD946" s="75"/>
      <c r="AE946" s="75"/>
      <c r="AF946" s="75"/>
      <c r="AG946" s="344"/>
      <c r="AH946" s="344"/>
      <c r="AI946" s="344"/>
      <c r="AJ946" s="97"/>
      <c r="AK946" s="4"/>
    </row>
    <row r="947" spans="2:37" s="113" customFormat="1" x14ac:dyDescent="0.4">
      <c r="B947" s="80"/>
      <c r="C947" s="563">
        <v>534</v>
      </c>
      <c r="D947" s="907"/>
      <c r="E947" s="906"/>
      <c r="F947" s="921" t="str">
        <f t="shared" si="52"/>
        <v/>
      </c>
      <c r="G947" s="882" t="str">
        <f t="shared" si="53"/>
        <v/>
      </c>
      <c r="H947" s="925"/>
      <c r="I947" s="919"/>
      <c r="J947" s="919"/>
      <c r="K947" s="919"/>
      <c r="L947" s="919"/>
      <c r="O947" s="339"/>
      <c r="T947" s="75"/>
      <c r="U947" s="75"/>
      <c r="V947" s="75"/>
      <c r="W947" s="75"/>
      <c r="X947" s="75"/>
      <c r="Y947" s="340"/>
      <c r="Z947" s="341"/>
      <c r="AA947" s="341"/>
      <c r="AB947" s="341"/>
      <c r="AC947" s="340"/>
      <c r="AD947" s="75"/>
      <c r="AE947" s="75"/>
      <c r="AF947" s="75"/>
      <c r="AG947" s="344"/>
      <c r="AH947" s="344"/>
      <c r="AI947" s="344"/>
      <c r="AJ947" s="97"/>
      <c r="AK947" s="4"/>
    </row>
    <row r="948" spans="2:37" s="113" customFormat="1" x14ac:dyDescent="0.4">
      <c r="B948" s="80"/>
      <c r="C948" s="563">
        <v>535</v>
      </c>
      <c r="D948" s="907"/>
      <c r="E948" s="906"/>
      <c r="F948" s="921" t="str">
        <f t="shared" si="52"/>
        <v/>
      </c>
      <c r="G948" s="882" t="str">
        <f t="shared" si="53"/>
        <v/>
      </c>
      <c r="H948" s="925"/>
      <c r="I948" s="919"/>
      <c r="J948" s="919"/>
      <c r="K948" s="919"/>
      <c r="L948" s="919"/>
      <c r="O948" s="339"/>
      <c r="T948" s="75"/>
      <c r="U948" s="75"/>
      <c r="V948" s="75"/>
      <c r="W948" s="75"/>
      <c r="X948" s="75"/>
      <c r="Y948" s="340"/>
      <c r="Z948" s="341"/>
      <c r="AA948" s="341"/>
      <c r="AB948" s="341"/>
      <c r="AC948" s="340"/>
      <c r="AD948" s="75"/>
      <c r="AE948" s="75"/>
      <c r="AF948" s="75"/>
      <c r="AG948" s="344"/>
      <c r="AH948" s="344"/>
      <c r="AI948" s="344"/>
      <c r="AJ948" s="97"/>
      <c r="AK948" s="4"/>
    </row>
    <row r="949" spans="2:37" s="113" customFormat="1" x14ac:dyDescent="0.4">
      <c r="B949" s="80"/>
      <c r="C949" s="563">
        <v>536</v>
      </c>
      <c r="D949" s="907"/>
      <c r="E949" s="906"/>
      <c r="F949" s="921" t="str">
        <f t="shared" si="52"/>
        <v/>
      </c>
      <c r="G949" s="882" t="str">
        <f t="shared" si="53"/>
        <v/>
      </c>
      <c r="H949" s="925"/>
      <c r="I949" s="919"/>
      <c r="J949" s="919"/>
      <c r="K949" s="919"/>
      <c r="L949" s="919"/>
      <c r="O949" s="339"/>
      <c r="T949" s="75"/>
      <c r="U949" s="75"/>
      <c r="V949" s="75"/>
      <c r="W949" s="75"/>
      <c r="X949" s="75"/>
      <c r="Y949" s="340"/>
      <c r="Z949" s="341"/>
      <c r="AA949" s="341"/>
      <c r="AB949" s="341"/>
      <c r="AC949" s="340"/>
      <c r="AD949" s="75"/>
      <c r="AE949" s="75"/>
      <c r="AF949" s="75"/>
      <c r="AG949" s="344"/>
      <c r="AH949" s="344"/>
      <c r="AI949" s="344"/>
      <c r="AJ949" s="97"/>
      <c r="AK949" s="4"/>
    </row>
    <row r="950" spans="2:37" s="113" customFormat="1" x14ac:dyDescent="0.4">
      <c r="B950" s="80"/>
      <c r="C950" s="563">
        <v>537</v>
      </c>
      <c r="D950" s="907"/>
      <c r="E950" s="906"/>
      <c r="F950" s="921" t="str">
        <f t="shared" si="52"/>
        <v/>
      </c>
      <c r="G950" s="882" t="str">
        <f t="shared" si="53"/>
        <v/>
      </c>
      <c r="H950" s="925"/>
      <c r="I950" s="919"/>
      <c r="J950" s="919"/>
      <c r="K950" s="919"/>
      <c r="L950" s="919"/>
      <c r="O950" s="339"/>
      <c r="T950" s="75"/>
      <c r="U950" s="75"/>
      <c r="V950" s="75"/>
      <c r="W950" s="75"/>
      <c r="X950" s="75"/>
      <c r="Y950" s="340"/>
      <c r="Z950" s="341"/>
      <c r="AA950" s="341"/>
      <c r="AB950" s="341"/>
      <c r="AC950" s="340"/>
      <c r="AD950" s="75"/>
      <c r="AE950" s="75"/>
      <c r="AF950" s="75"/>
      <c r="AG950" s="344"/>
      <c r="AH950" s="344"/>
      <c r="AI950" s="344"/>
      <c r="AJ950" s="97"/>
      <c r="AK950" s="4"/>
    </row>
    <row r="951" spans="2:37" s="113" customFormat="1" x14ac:dyDescent="0.4">
      <c r="B951" s="80"/>
      <c r="C951" s="563">
        <v>538</v>
      </c>
      <c r="D951" s="907"/>
      <c r="E951" s="906"/>
      <c r="F951" s="921" t="str">
        <f t="shared" si="52"/>
        <v/>
      </c>
      <c r="G951" s="882" t="str">
        <f t="shared" si="53"/>
        <v/>
      </c>
      <c r="H951" s="925"/>
      <c r="I951" s="919"/>
      <c r="J951" s="919"/>
      <c r="K951" s="919"/>
      <c r="L951" s="919"/>
      <c r="O951" s="339"/>
      <c r="T951" s="75"/>
      <c r="U951" s="75"/>
      <c r="V951" s="75"/>
      <c r="W951" s="75"/>
      <c r="X951" s="75"/>
      <c r="Y951" s="340"/>
      <c r="Z951" s="341"/>
      <c r="AA951" s="341"/>
      <c r="AB951" s="341"/>
      <c r="AC951" s="340"/>
      <c r="AD951" s="75"/>
      <c r="AE951" s="75"/>
      <c r="AF951" s="75"/>
      <c r="AG951" s="344"/>
      <c r="AH951" s="344"/>
      <c r="AI951" s="344"/>
      <c r="AJ951" s="97"/>
      <c r="AK951" s="4"/>
    </row>
    <row r="952" spans="2:37" s="113" customFormat="1" x14ac:dyDescent="0.4">
      <c r="B952" s="80"/>
      <c r="C952" s="563">
        <v>539</v>
      </c>
      <c r="D952" s="907"/>
      <c r="E952" s="906"/>
      <c r="F952" s="921" t="str">
        <f t="shared" si="52"/>
        <v/>
      </c>
      <c r="G952" s="882" t="str">
        <f t="shared" si="53"/>
        <v/>
      </c>
      <c r="H952" s="925"/>
      <c r="I952" s="919"/>
      <c r="J952" s="919"/>
      <c r="K952" s="919"/>
      <c r="L952" s="919"/>
      <c r="O952" s="339"/>
      <c r="T952" s="75"/>
      <c r="U952" s="75"/>
      <c r="V952" s="75"/>
      <c r="W952" s="75"/>
      <c r="X952" s="75"/>
      <c r="Y952" s="340"/>
      <c r="Z952" s="341"/>
      <c r="AA952" s="341"/>
      <c r="AB952" s="341"/>
      <c r="AC952" s="340"/>
      <c r="AD952" s="75"/>
      <c r="AE952" s="75"/>
      <c r="AF952" s="75"/>
      <c r="AG952" s="344"/>
      <c r="AH952" s="344"/>
      <c r="AI952" s="344"/>
      <c r="AJ952" s="97"/>
      <c r="AK952" s="4"/>
    </row>
    <row r="953" spans="2:37" s="113" customFormat="1" x14ac:dyDescent="0.4">
      <c r="B953" s="80"/>
      <c r="C953" s="563">
        <v>540</v>
      </c>
      <c r="D953" s="907"/>
      <c r="E953" s="906"/>
      <c r="F953" s="921" t="str">
        <f t="shared" si="52"/>
        <v/>
      </c>
      <c r="G953" s="882" t="str">
        <f t="shared" si="53"/>
        <v/>
      </c>
      <c r="H953" s="925"/>
      <c r="I953" s="919"/>
      <c r="J953" s="919"/>
      <c r="K953" s="919"/>
      <c r="L953" s="919"/>
      <c r="O953" s="339"/>
      <c r="T953" s="75"/>
      <c r="U953" s="75"/>
      <c r="V953" s="75"/>
      <c r="W953" s="75"/>
      <c r="X953" s="75"/>
      <c r="Y953" s="340"/>
      <c r="Z953" s="341"/>
      <c r="AA953" s="341"/>
      <c r="AB953" s="341"/>
      <c r="AC953" s="340"/>
      <c r="AD953" s="75"/>
      <c r="AE953" s="75"/>
      <c r="AF953" s="75"/>
      <c r="AG953" s="344"/>
      <c r="AH953" s="344"/>
      <c r="AI953" s="344"/>
      <c r="AJ953" s="97"/>
      <c r="AK953" s="4"/>
    </row>
    <row r="954" spans="2:37" s="113" customFormat="1" x14ac:dyDescent="0.4">
      <c r="B954" s="80"/>
      <c r="C954" s="563">
        <v>541</v>
      </c>
      <c r="D954" s="907"/>
      <c r="E954" s="906"/>
      <c r="F954" s="921" t="str">
        <f t="shared" si="52"/>
        <v/>
      </c>
      <c r="G954" s="882" t="str">
        <f t="shared" si="53"/>
        <v/>
      </c>
      <c r="H954" s="925"/>
      <c r="I954" s="919"/>
      <c r="J954" s="919"/>
      <c r="K954" s="919"/>
      <c r="L954" s="919"/>
      <c r="O954" s="339"/>
      <c r="T954" s="75"/>
      <c r="U954" s="75"/>
      <c r="V954" s="75"/>
      <c r="W954" s="75"/>
      <c r="X954" s="75"/>
      <c r="Y954" s="340"/>
      <c r="Z954" s="341"/>
      <c r="AA954" s="341"/>
      <c r="AB954" s="341"/>
      <c r="AC954" s="340"/>
      <c r="AD954" s="75"/>
      <c r="AE954" s="75"/>
      <c r="AF954" s="75"/>
      <c r="AG954" s="344"/>
      <c r="AH954" s="344"/>
      <c r="AI954" s="344"/>
      <c r="AJ954" s="97"/>
      <c r="AK954" s="4"/>
    </row>
    <row r="955" spans="2:37" s="113" customFormat="1" x14ac:dyDescent="0.4">
      <c r="B955" s="80"/>
      <c r="C955" s="563">
        <v>542</v>
      </c>
      <c r="D955" s="907"/>
      <c r="E955" s="906"/>
      <c r="F955" s="921" t="str">
        <f t="shared" si="52"/>
        <v/>
      </c>
      <c r="G955" s="882" t="str">
        <f t="shared" si="53"/>
        <v/>
      </c>
      <c r="H955" s="925"/>
      <c r="I955" s="919"/>
      <c r="J955" s="919"/>
      <c r="K955" s="919"/>
      <c r="L955" s="919"/>
      <c r="O955" s="339"/>
      <c r="T955" s="75"/>
      <c r="U955" s="75"/>
      <c r="V955" s="75"/>
      <c r="W955" s="75"/>
      <c r="X955" s="75"/>
      <c r="Y955" s="340"/>
      <c r="Z955" s="341"/>
      <c r="AA955" s="341"/>
      <c r="AB955" s="341"/>
      <c r="AC955" s="340"/>
      <c r="AD955" s="75"/>
      <c r="AE955" s="75"/>
      <c r="AF955" s="75"/>
      <c r="AG955" s="344"/>
      <c r="AH955" s="344"/>
      <c r="AI955" s="344"/>
      <c r="AJ955" s="97"/>
      <c r="AK955" s="4"/>
    </row>
    <row r="956" spans="2:37" s="113" customFormat="1" x14ac:dyDescent="0.4">
      <c r="B956" s="80"/>
      <c r="C956" s="563">
        <v>543</v>
      </c>
      <c r="D956" s="907"/>
      <c r="E956" s="906"/>
      <c r="F956" s="921" t="str">
        <f t="shared" si="52"/>
        <v/>
      </c>
      <c r="G956" s="882" t="str">
        <f t="shared" si="53"/>
        <v/>
      </c>
      <c r="H956" s="925"/>
      <c r="I956" s="919"/>
      <c r="J956" s="919"/>
      <c r="K956" s="919"/>
      <c r="L956" s="919"/>
      <c r="O956" s="339"/>
      <c r="T956" s="75"/>
      <c r="U956" s="75"/>
      <c r="V956" s="75"/>
      <c r="W956" s="75"/>
      <c r="X956" s="75"/>
      <c r="Y956" s="340"/>
      <c r="Z956" s="341"/>
      <c r="AA956" s="341"/>
      <c r="AB956" s="341"/>
      <c r="AC956" s="340"/>
      <c r="AD956" s="75"/>
      <c r="AE956" s="75"/>
      <c r="AF956" s="75"/>
      <c r="AG956" s="344"/>
      <c r="AH956" s="344"/>
      <c r="AI956" s="344"/>
      <c r="AJ956" s="97"/>
      <c r="AK956" s="4"/>
    </row>
    <row r="957" spans="2:37" s="113" customFormat="1" x14ac:dyDescent="0.4">
      <c r="B957" s="80"/>
      <c r="C957" s="563">
        <v>544</v>
      </c>
      <c r="D957" s="907"/>
      <c r="E957" s="906"/>
      <c r="F957" s="921" t="str">
        <f t="shared" si="52"/>
        <v/>
      </c>
      <c r="G957" s="882" t="str">
        <f t="shared" si="53"/>
        <v/>
      </c>
      <c r="H957" s="925"/>
      <c r="I957" s="919"/>
      <c r="J957" s="919"/>
      <c r="K957" s="919"/>
      <c r="L957" s="919"/>
      <c r="O957" s="339"/>
      <c r="T957" s="75"/>
      <c r="U957" s="75"/>
      <c r="V957" s="75"/>
      <c r="W957" s="75"/>
      <c r="X957" s="75"/>
      <c r="Y957" s="340"/>
      <c r="Z957" s="341"/>
      <c r="AA957" s="341"/>
      <c r="AB957" s="341"/>
      <c r="AC957" s="340"/>
      <c r="AD957" s="75"/>
      <c r="AE957" s="75"/>
      <c r="AF957" s="75"/>
      <c r="AG957" s="344"/>
      <c r="AH957" s="344"/>
      <c r="AI957" s="344"/>
      <c r="AJ957" s="97"/>
      <c r="AK957" s="4"/>
    </row>
    <row r="958" spans="2:37" s="113" customFormat="1" x14ac:dyDescent="0.4">
      <c r="B958" s="80"/>
      <c r="C958" s="563">
        <v>545</v>
      </c>
      <c r="D958" s="907"/>
      <c r="E958" s="906"/>
      <c r="F958" s="921" t="str">
        <f t="shared" si="52"/>
        <v/>
      </c>
      <c r="G958" s="882" t="str">
        <f t="shared" si="53"/>
        <v/>
      </c>
      <c r="H958" s="925"/>
      <c r="I958" s="919"/>
      <c r="J958" s="919"/>
      <c r="K958" s="919"/>
      <c r="L958" s="919"/>
      <c r="O958" s="339"/>
      <c r="T958" s="75"/>
      <c r="U958" s="75"/>
      <c r="V958" s="75"/>
      <c r="W958" s="75"/>
      <c r="X958" s="75"/>
      <c r="Y958" s="340"/>
      <c r="Z958" s="341"/>
      <c r="AA958" s="341"/>
      <c r="AB958" s="341"/>
      <c r="AC958" s="340"/>
      <c r="AD958" s="75"/>
      <c r="AE958" s="75"/>
      <c r="AF958" s="75"/>
      <c r="AG958" s="344"/>
      <c r="AH958" s="344"/>
      <c r="AI958" s="344"/>
      <c r="AJ958" s="97"/>
      <c r="AK958" s="4"/>
    </row>
    <row r="959" spans="2:37" s="113" customFormat="1" x14ac:dyDescent="0.4">
      <c r="B959" s="80"/>
      <c r="C959" s="563">
        <v>546</v>
      </c>
      <c r="D959" s="907"/>
      <c r="E959" s="906"/>
      <c r="F959" s="921" t="str">
        <f t="shared" si="52"/>
        <v/>
      </c>
      <c r="G959" s="882" t="str">
        <f t="shared" si="53"/>
        <v/>
      </c>
      <c r="H959" s="925"/>
      <c r="I959" s="919"/>
      <c r="J959" s="919"/>
      <c r="K959" s="919"/>
      <c r="L959" s="919"/>
      <c r="O959" s="339"/>
      <c r="T959" s="75"/>
      <c r="U959" s="75"/>
      <c r="V959" s="75"/>
      <c r="W959" s="75"/>
      <c r="X959" s="75"/>
      <c r="Y959" s="340"/>
      <c r="Z959" s="341"/>
      <c r="AA959" s="341"/>
      <c r="AB959" s="341"/>
      <c r="AC959" s="340"/>
      <c r="AD959" s="75"/>
      <c r="AE959" s="75"/>
      <c r="AF959" s="75"/>
      <c r="AG959" s="344"/>
      <c r="AH959" s="344"/>
      <c r="AI959" s="344"/>
      <c r="AJ959" s="97"/>
      <c r="AK959" s="4"/>
    </row>
    <row r="960" spans="2:37" s="113" customFormat="1" x14ac:dyDescent="0.4">
      <c r="B960" s="80"/>
      <c r="C960" s="563">
        <v>547</v>
      </c>
      <c r="D960" s="907"/>
      <c r="E960" s="906"/>
      <c r="F960" s="921" t="str">
        <f t="shared" si="52"/>
        <v/>
      </c>
      <c r="G960" s="882" t="str">
        <f t="shared" si="53"/>
        <v/>
      </c>
      <c r="H960" s="925"/>
      <c r="I960" s="919"/>
      <c r="J960" s="919"/>
      <c r="K960" s="919"/>
      <c r="L960" s="919"/>
      <c r="O960" s="339"/>
      <c r="T960" s="75"/>
      <c r="U960" s="75"/>
      <c r="V960" s="75"/>
      <c r="W960" s="75"/>
      <c r="X960" s="75"/>
      <c r="Y960" s="340"/>
      <c r="Z960" s="341"/>
      <c r="AA960" s="341"/>
      <c r="AB960" s="341"/>
      <c r="AC960" s="340"/>
      <c r="AD960" s="75"/>
      <c r="AE960" s="75"/>
      <c r="AF960" s="75"/>
      <c r="AG960" s="344"/>
      <c r="AH960" s="344"/>
      <c r="AI960" s="344"/>
      <c r="AJ960" s="97"/>
      <c r="AK960" s="4"/>
    </row>
    <row r="961" spans="2:37" s="113" customFormat="1" x14ac:dyDescent="0.4">
      <c r="B961" s="80"/>
      <c r="C961" s="563">
        <v>548</v>
      </c>
      <c r="D961" s="907"/>
      <c r="E961" s="906"/>
      <c r="F961" s="921" t="str">
        <f t="shared" si="52"/>
        <v/>
      </c>
      <c r="G961" s="882" t="str">
        <f t="shared" si="53"/>
        <v/>
      </c>
      <c r="H961" s="925"/>
      <c r="I961" s="919"/>
      <c r="J961" s="919"/>
      <c r="K961" s="919"/>
      <c r="L961" s="919"/>
      <c r="O961" s="339"/>
      <c r="T961" s="75"/>
      <c r="U961" s="75"/>
      <c r="V961" s="75"/>
      <c r="W961" s="75"/>
      <c r="X961" s="75"/>
      <c r="Y961" s="340"/>
      <c r="Z961" s="341"/>
      <c r="AA961" s="341"/>
      <c r="AB961" s="341"/>
      <c r="AC961" s="340"/>
      <c r="AD961" s="75"/>
      <c r="AE961" s="75"/>
      <c r="AF961" s="75"/>
      <c r="AG961" s="344"/>
      <c r="AH961" s="344"/>
      <c r="AI961" s="344"/>
      <c r="AJ961" s="97"/>
      <c r="AK961" s="4"/>
    </row>
    <row r="962" spans="2:37" s="113" customFormat="1" x14ac:dyDescent="0.4">
      <c r="B962" s="80"/>
      <c r="C962" s="563">
        <v>549</v>
      </c>
      <c r="D962" s="907"/>
      <c r="E962" s="906"/>
      <c r="F962" s="921" t="str">
        <f t="shared" si="52"/>
        <v/>
      </c>
      <c r="G962" s="882" t="str">
        <f t="shared" si="53"/>
        <v/>
      </c>
      <c r="H962" s="925"/>
      <c r="I962" s="919"/>
      <c r="J962" s="919"/>
      <c r="K962" s="919"/>
      <c r="L962" s="919"/>
      <c r="O962" s="339"/>
      <c r="T962" s="75"/>
      <c r="U962" s="75"/>
      <c r="V962" s="75"/>
      <c r="W962" s="75"/>
      <c r="X962" s="75"/>
      <c r="Y962" s="340"/>
      <c r="Z962" s="341"/>
      <c r="AA962" s="341"/>
      <c r="AB962" s="341"/>
      <c r="AC962" s="340"/>
      <c r="AD962" s="75"/>
      <c r="AE962" s="75"/>
      <c r="AF962" s="75"/>
      <c r="AG962" s="344"/>
      <c r="AH962" s="344"/>
      <c r="AI962" s="344"/>
      <c r="AJ962" s="97"/>
      <c r="AK962" s="4"/>
    </row>
    <row r="963" spans="2:37" s="113" customFormat="1" x14ac:dyDescent="0.4">
      <c r="B963" s="80"/>
      <c r="C963" s="563">
        <v>550</v>
      </c>
      <c r="D963" s="907"/>
      <c r="E963" s="906"/>
      <c r="F963" s="921" t="str">
        <f t="shared" si="52"/>
        <v/>
      </c>
      <c r="G963" s="882" t="str">
        <f t="shared" si="53"/>
        <v/>
      </c>
      <c r="H963" s="925"/>
      <c r="I963" s="919"/>
      <c r="J963" s="919"/>
      <c r="K963" s="919"/>
      <c r="L963" s="919"/>
      <c r="O963" s="339"/>
      <c r="T963" s="75"/>
      <c r="U963" s="75"/>
      <c r="V963" s="75"/>
      <c r="W963" s="75"/>
      <c r="X963" s="75"/>
      <c r="Y963" s="340"/>
      <c r="Z963" s="341"/>
      <c r="AA963" s="341"/>
      <c r="AB963" s="341"/>
      <c r="AC963" s="340"/>
      <c r="AD963" s="75"/>
      <c r="AE963" s="75"/>
      <c r="AF963" s="75"/>
      <c r="AG963" s="344"/>
      <c r="AH963" s="344"/>
      <c r="AI963" s="344"/>
      <c r="AJ963" s="97"/>
      <c r="AK963" s="4"/>
    </row>
    <row r="964" spans="2:37" s="113" customFormat="1" x14ac:dyDescent="0.4">
      <c r="B964" s="80"/>
      <c r="C964" s="563">
        <v>551</v>
      </c>
      <c r="D964" s="907"/>
      <c r="E964" s="906"/>
      <c r="F964" s="921" t="str">
        <f t="shared" si="52"/>
        <v/>
      </c>
      <c r="G964" s="882" t="str">
        <f t="shared" si="53"/>
        <v/>
      </c>
      <c r="H964" s="925"/>
      <c r="I964" s="919"/>
      <c r="J964" s="919"/>
      <c r="K964" s="919"/>
      <c r="L964" s="919"/>
      <c r="O964" s="339"/>
      <c r="T964" s="75"/>
      <c r="U964" s="75"/>
      <c r="V964" s="75"/>
      <c r="W964" s="75"/>
      <c r="X964" s="75"/>
      <c r="Y964" s="340"/>
      <c r="Z964" s="341"/>
      <c r="AA964" s="341"/>
      <c r="AB964" s="341"/>
      <c r="AC964" s="340"/>
      <c r="AD964" s="75"/>
      <c r="AE964" s="75"/>
      <c r="AF964" s="75"/>
      <c r="AG964" s="344"/>
      <c r="AH964" s="344"/>
      <c r="AI964" s="344"/>
      <c r="AJ964" s="97"/>
      <c r="AK964" s="4"/>
    </row>
    <row r="965" spans="2:37" s="113" customFormat="1" x14ac:dyDescent="0.4">
      <c r="B965" s="80"/>
      <c r="C965" s="563">
        <v>552</v>
      </c>
      <c r="D965" s="907"/>
      <c r="E965" s="906"/>
      <c r="F965" s="921" t="str">
        <f t="shared" si="52"/>
        <v/>
      </c>
      <c r="G965" s="882" t="str">
        <f t="shared" si="53"/>
        <v/>
      </c>
      <c r="H965" s="925"/>
      <c r="I965" s="919"/>
      <c r="J965" s="919"/>
      <c r="K965" s="919"/>
      <c r="L965" s="919"/>
      <c r="O965" s="339"/>
      <c r="T965" s="75"/>
      <c r="U965" s="75"/>
      <c r="V965" s="75"/>
      <c r="W965" s="75"/>
      <c r="X965" s="75"/>
      <c r="Y965" s="340"/>
      <c r="Z965" s="341"/>
      <c r="AA965" s="341"/>
      <c r="AB965" s="341"/>
      <c r="AC965" s="340"/>
      <c r="AD965" s="75"/>
      <c r="AE965" s="75"/>
      <c r="AF965" s="75"/>
      <c r="AG965" s="344"/>
      <c r="AH965" s="344"/>
      <c r="AI965" s="344"/>
      <c r="AJ965" s="97"/>
      <c r="AK965" s="4"/>
    </row>
    <row r="966" spans="2:37" s="113" customFormat="1" x14ac:dyDescent="0.4">
      <c r="B966" s="80"/>
      <c r="C966" s="563">
        <v>553</v>
      </c>
      <c r="D966" s="907"/>
      <c r="E966" s="906"/>
      <c r="F966" s="921" t="str">
        <f t="shared" si="52"/>
        <v/>
      </c>
      <c r="G966" s="882" t="str">
        <f t="shared" si="53"/>
        <v/>
      </c>
      <c r="H966" s="925"/>
      <c r="I966" s="919"/>
      <c r="J966" s="919"/>
      <c r="K966" s="919"/>
      <c r="L966" s="919"/>
      <c r="O966" s="339"/>
      <c r="T966" s="75"/>
      <c r="U966" s="75"/>
      <c r="V966" s="75"/>
      <c r="W966" s="75"/>
      <c r="X966" s="75"/>
      <c r="Y966" s="340"/>
      <c r="Z966" s="341"/>
      <c r="AA966" s="341"/>
      <c r="AB966" s="341"/>
      <c r="AC966" s="340"/>
      <c r="AD966" s="75"/>
      <c r="AE966" s="75"/>
      <c r="AF966" s="75"/>
      <c r="AG966" s="344"/>
      <c r="AH966" s="344"/>
      <c r="AI966" s="344"/>
      <c r="AJ966" s="97"/>
      <c r="AK966" s="4"/>
    </row>
    <row r="967" spans="2:37" s="113" customFormat="1" x14ac:dyDescent="0.4">
      <c r="B967" s="80"/>
      <c r="C967" s="563">
        <v>554</v>
      </c>
      <c r="D967" s="907"/>
      <c r="E967" s="906"/>
      <c r="F967" s="921" t="str">
        <f t="shared" si="52"/>
        <v/>
      </c>
      <c r="G967" s="882" t="str">
        <f t="shared" si="53"/>
        <v/>
      </c>
      <c r="H967" s="925"/>
      <c r="I967" s="919"/>
      <c r="J967" s="919"/>
      <c r="K967" s="919"/>
      <c r="L967" s="919"/>
      <c r="O967" s="339"/>
      <c r="T967" s="75"/>
      <c r="U967" s="75"/>
      <c r="V967" s="75"/>
      <c r="W967" s="75"/>
      <c r="X967" s="75"/>
      <c r="Y967" s="340"/>
      <c r="Z967" s="341"/>
      <c r="AA967" s="341"/>
      <c r="AB967" s="341"/>
      <c r="AC967" s="340"/>
      <c r="AD967" s="75"/>
      <c r="AE967" s="75"/>
      <c r="AF967" s="75"/>
      <c r="AG967" s="344"/>
      <c r="AH967" s="344"/>
      <c r="AI967" s="344"/>
      <c r="AJ967" s="97"/>
      <c r="AK967" s="4"/>
    </row>
    <row r="968" spans="2:37" s="113" customFormat="1" x14ac:dyDescent="0.4">
      <c r="B968" s="80"/>
      <c r="C968" s="563">
        <v>555</v>
      </c>
      <c r="D968" s="907"/>
      <c r="E968" s="906"/>
      <c r="F968" s="921" t="str">
        <f t="shared" si="52"/>
        <v/>
      </c>
      <c r="G968" s="882" t="str">
        <f t="shared" si="53"/>
        <v/>
      </c>
      <c r="H968" s="925"/>
      <c r="I968" s="919"/>
      <c r="J968" s="919"/>
      <c r="K968" s="919"/>
      <c r="L968" s="919"/>
      <c r="O968" s="339"/>
      <c r="T968" s="75"/>
      <c r="U968" s="75"/>
      <c r="V968" s="75"/>
      <c r="W968" s="75"/>
      <c r="X968" s="75"/>
      <c r="Y968" s="340"/>
      <c r="Z968" s="341"/>
      <c r="AA968" s="341"/>
      <c r="AB968" s="341"/>
      <c r="AC968" s="340"/>
      <c r="AD968" s="75"/>
      <c r="AE968" s="75"/>
      <c r="AF968" s="75"/>
      <c r="AG968" s="344"/>
      <c r="AH968" s="344"/>
      <c r="AI968" s="344"/>
      <c r="AJ968" s="97"/>
      <c r="AK968" s="4"/>
    </row>
    <row r="969" spans="2:37" s="113" customFormat="1" x14ac:dyDescent="0.4">
      <c r="B969" s="80"/>
      <c r="C969" s="563">
        <v>556</v>
      </c>
      <c r="D969" s="907"/>
      <c r="E969" s="906"/>
      <c r="F969" s="921" t="str">
        <f t="shared" si="52"/>
        <v/>
      </c>
      <c r="G969" s="882" t="str">
        <f t="shared" si="53"/>
        <v/>
      </c>
      <c r="H969" s="925"/>
      <c r="I969" s="919"/>
      <c r="J969" s="919"/>
      <c r="K969" s="919"/>
      <c r="L969" s="919"/>
      <c r="O969" s="339"/>
      <c r="T969" s="75"/>
      <c r="U969" s="75"/>
      <c r="V969" s="75"/>
      <c r="W969" s="75"/>
      <c r="X969" s="75"/>
      <c r="Y969" s="340"/>
      <c r="Z969" s="341"/>
      <c r="AA969" s="341"/>
      <c r="AB969" s="341"/>
      <c r="AC969" s="340"/>
      <c r="AD969" s="75"/>
      <c r="AE969" s="75"/>
      <c r="AF969" s="75"/>
      <c r="AG969" s="344"/>
      <c r="AH969" s="344"/>
      <c r="AI969" s="344"/>
      <c r="AJ969" s="97"/>
      <c r="AK969" s="4"/>
    </row>
    <row r="970" spans="2:37" s="113" customFormat="1" x14ac:dyDescent="0.4">
      <c r="B970" s="80"/>
      <c r="C970" s="563">
        <v>557</v>
      </c>
      <c r="D970" s="907"/>
      <c r="E970" s="906"/>
      <c r="F970" s="921" t="str">
        <f t="shared" si="52"/>
        <v/>
      </c>
      <c r="G970" s="882" t="str">
        <f t="shared" si="53"/>
        <v/>
      </c>
      <c r="H970" s="925"/>
      <c r="I970" s="919"/>
      <c r="J970" s="919"/>
      <c r="K970" s="919"/>
      <c r="L970" s="919"/>
      <c r="O970" s="339"/>
      <c r="T970" s="75"/>
      <c r="U970" s="75"/>
      <c r="V970" s="75"/>
      <c r="W970" s="75"/>
      <c r="X970" s="75"/>
      <c r="Y970" s="340"/>
      <c r="Z970" s="341"/>
      <c r="AA970" s="341"/>
      <c r="AB970" s="341"/>
      <c r="AC970" s="340"/>
      <c r="AD970" s="75"/>
      <c r="AE970" s="75"/>
      <c r="AF970" s="75"/>
      <c r="AG970" s="344"/>
      <c r="AH970" s="344"/>
      <c r="AI970" s="344"/>
      <c r="AJ970" s="97"/>
      <c r="AK970" s="4"/>
    </row>
    <row r="971" spans="2:37" s="113" customFormat="1" x14ac:dyDescent="0.4">
      <c r="B971" s="80"/>
      <c r="C971" s="563">
        <v>558</v>
      </c>
      <c r="D971" s="907"/>
      <c r="E971" s="906"/>
      <c r="F971" s="921" t="str">
        <f t="shared" si="52"/>
        <v/>
      </c>
      <c r="G971" s="882" t="str">
        <f t="shared" si="53"/>
        <v/>
      </c>
      <c r="H971" s="925"/>
      <c r="I971" s="919"/>
      <c r="J971" s="919"/>
      <c r="K971" s="919"/>
      <c r="L971" s="919"/>
      <c r="O971" s="339"/>
      <c r="T971" s="75"/>
      <c r="U971" s="75"/>
      <c r="V971" s="75"/>
      <c r="W971" s="75"/>
      <c r="X971" s="75"/>
      <c r="Y971" s="340"/>
      <c r="Z971" s="341"/>
      <c r="AA971" s="341"/>
      <c r="AB971" s="341"/>
      <c r="AC971" s="340"/>
      <c r="AD971" s="75"/>
      <c r="AE971" s="75"/>
      <c r="AF971" s="75"/>
      <c r="AG971" s="344"/>
      <c r="AH971" s="344"/>
      <c r="AI971" s="344"/>
      <c r="AJ971" s="97"/>
      <c r="AK971" s="4"/>
    </row>
    <row r="972" spans="2:37" s="113" customFormat="1" x14ac:dyDescent="0.4">
      <c r="B972" s="80"/>
      <c r="C972" s="563">
        <v>559</v>
      </c>
      <c r="D972" s="907"/>
      <c r="E972" s="906"/>
      <c r="F972" s="921" t="str">
        <f t="shared" si="52"/>
        <v/>
      </c>
      <c r="G972" s="882" t="str">
        <f t="shared" si="53"/>
        <v/>
      </c>
      <c r="H972" s="925"/>
      <c r="I972" s="919"/>
      <c r="J972" s="919"/>
      <c r="K972" s="919"/>
      <c r="L972" s="919"/>
      <c r="O972" s="339"/>
      <c r="T972" s="75"/>
      <c r="U972" s="75"/>
      <c r="V972" s="75"/>
      <c r="W972" s="75"/>
      <c r="X972" s="75"/>
      <c r="Y972" s="340"/>
      <c r="Z972" s="341"/>
      <c r="AA972" s="341"/>
      <c r="AB972" s="341"/>
      <c r="AC972" s="340"/>
      <c r="AD972" s="75"/>
      <c r="AE972" s="75"/>
      <c r="AF972" s="75"/>
      <c r="AG972" s="344"/>
      <c r="AH972" s="344"/>
      <c r="AI972" s="344"/>
      <c r="AJ972" s="97"/>
      <c r="AK972" s="4"/>
    </row>
    <row r="973" spans="2:37" s="113" customFormat="1" x14ac:dyDescent="0.4">
      <c r="B973" s="80"/>
      <c r="C973" s="563">
        <v>560</v>
      </c>
      <c r="D973" s="907"/>
      <c r="E973" s="906"/>
      <c r="F973" s="921" t="str">
        <f t="shared" si="52"/>
        <v/>
      </c>
      <c r="G973" s="882" t="str">
        <f t="shared" si="53"/>
        <v/>
      </c>
      <c r="H973" s="925"/>
      <c r="I973" s="919"/>
      <c r="J973" s="919"/>
      <c r="K973" s="919"/>
      <c r="L973" s="919"/>
      <c r="O973" s="339"/>
      <c r="T973" s="75"/>
      <c r="U973" s="75"/>
      <c r="V973" s="75"/>
      <c r="W973" s="75"/>
      <c r="X973" s="75"/>
      <c r="Y973" s="340"/>
      <c r="Z973" s="341"/>
      <c r="AA973" s="341"/>
      <c r="AB973" s="341"/>
      <c r="AC973" s="340"/>
      <c r="AD973" s="75"/>
      <c r="AE973" s="75"/>
      <c r="AF973" s="75"/>
      <c r="AG973" s="344"/>
      <c r="AH973" s="344"/>
      <c r="AI973" s="344"/>
      <c r="AJ973" s="97"/>
      <c r="AK973" s="4"/>
    </row>
    <row r="974" spans="2:37" s="113" customFormat="1" x14ac:dyDescent="0.4">
      <c r="B974" s="80"/>
      <c r="C974" s="563">
        <v>561</v>
      </c>
      <c r="D974" s="907"/>
      <c r="E974" s="906"/>
      <c r="F974" s="921" t="str">
        <f t="shared" si="52"/>
        <v/>
      </c>
      <c r="G974" s="882" t="str">
        <f t="shared" si="53"/>
        <v/>
      </c>
      <c r="H974" s="925"/>
      <c r="I974" s="919"/>
      <c r="J974" s="919"/>
      <c r="K974" s="919"/>
      <c r="L974" s="919"/>
      <c r="O974" s="339"/>
      <c r="T974" s="75"/>
      <c r="U974" s="75"/>
      <c r="V974" s="75"/>
      <c r="W974" s="75"/>
      <c r="X974" s="75"/>
      <c r="Y974" s="340"/>
      <c r="Z974" s="341"/>
      <c r="AA974" s="341"/>
      <c r="AB974" s="341"/>
      <c r="AC974" s="340"/>
      <c r="AD974" s="75"/>
      <c r="AE974" s="75"/>
      <c r="AF974" s="75"/>
      <c r="AG974" s="344"/>
      <c r="AH974" s="344"/>
      <c r="AI974" s="344"/>
      <c r="AJ974" s="97"/>
      <c r="AK974" s="4"/>
    </row>
    <row r="975" spans="2:37" s="113" customFormat="1" x14ac:dyDescent="0.4">
      <c r="B975" s="80"/>
      <c r="C975" s="563">
        <v>562</v>
      </c>
      <c r="D975" s="907"/>
      <c r="E975" s="906"/>
      <c r="F975" s="921" t="str">
        <f t="shared" si="52"/>
        <v/>
      </c>
      <c r="G975" s="882" t="str">
        <f t="shared" si="53"/>
        <v/>
      </c>
      <c r="H975" s="925"/>
      <c r="I975" s="919"/>
      <c r="J975" s="919"/>
      <c r="K975" s="919"/>
      <c r="L975" s="919"/>
      <c r="O975" s="339"/>
      <c r="T975" s="75"/>
      <c r="U975" s="75"/>
      <c r="V975" s="75"/>
      <c r="W975" s="75"/>
      <c r="X975" s="75"/>
      <c r="Y975" s="340"/>
      <c r="Z975" s="341"/>
      <c r="AA975" s="341"/>
      <c r="AB975" s="341"/>
      <c r="AC975" s="340"/>
      <c r="AD975" s="75"/>
      <c r="AE975" s="75"/>
      <c r="AF975" s="75"/>
      <c r="AG975" s="344"/>
      <c r="AH975" s="344"/>
      <c r="AI975" s="344"/>
      <c r="AJ975" s="97"/>
      <c r="AK975" s="4"/>
    </row>
    <row r="976" spans="2:37" s="113" customFormat="1" x14ac:dyDescent="0.4">
      <c r="B976" s="80"/>
      <c r="C976" s="563">
        <v>563</v>
      </c>
      <c r="D976" s="907"/>
      <c r="E976" s="906"/>
      <c r="F976" s="921" t="str">
        <f t="shared" si="52"/>
        <v/>
      </c>
      <c r="G976" s="882" t="str">
        <f t="shared" si="53"/>
        <v/>
      </c>
      <c r="H976" s="925"/>
      <c r="I976" s="919"/>
      <c r="J976" s="919"/>
      <c r="K976" s="919"/>
      <c r="L976" s="919"/>
      <c r="O976" s="339"/>
      <c r="T976" s="75"/>
      <c r="U976" s="75"/>
      <c r="V976" s="75"/>
      <c r="W976" s="75"/>
      <c r="X976" s="75"/>
      <c r="Y976" s="340"/>
      <c r="Z976" s="341"/>
      <c r="AA976" s="341"/>
      <c r="AB976" s="341"/>
      <c r="AC976" s="340"/>
      <c r="AD976" s="75"/>
      <c r="AE976" s="75"/>
      <c r="AF976" s="75"/>
      <c r="AG976" s="344"/>
      <c r="AH976" s="344"/>
      <c r="AI976" s="344"/>
      <c r="AJ976" s="97"/>
      <c r="AK976" s="4"/>
    </row>
    <row r="977" spans="2:37" s="113" customFormat="1" x14ac:dyDescent="0.4">
      <c r="B977" s="80"/>
      <c r="C977" s="563">
        <v>564</v>
      </c>
      <c r="D977" s="907"/>
      <c r="E977" s="906"/>
      <c r="F977" s="921" t="str">
        <f t="shared" si="52"/>
        <v/>
      </c>
      <c r="G977" s="882" t="str">
        <f t="shared" si="53"/>
        <v/>
      </c>
      <c r="H977" s="925"/>
      <c r="I977" s="919"/>
      <c r="J977" s="919"/>
      <c r="K977" s="919"/>
      <c r="L977" s="919"/>
      <c r="O977" s="339"/>
      <c r="T977" s="75"/>
      <c r="U977" s="75"/>
      <c r="V977" s="75"/>
      <c r="W977" s="75"/>
      <c r="X977" s="75"/>
      <c r="Y977" s="340"/>
      <c r="Z977" s="341"/>
      <c r="AA977" s="341"/>
      <c r="AB977" s="341"/>
      <c r="AC977" s="340"/>
      <c r="AD977" s="75"/>
      <c r="AE977" s="75"/>
      <c r="AF977" s="75"/>
      <c r="AG977" s="344"/>
      <c r="AH977" s="344"/>
      <c r="AI977" s="344"/>
      <c r="AJ977" s="97"/>
      <c r="AK977" s="4"/>
    </row>
    <row r="978" spans="2:37" s="113" customFormat="1" x14ac:dyDescent="0.4">
      <c r="B978" s="80"/>
      <c r="C978" s="563">
        <v>565</v>
      </c>
      <c r="D978" s="907"/>
      <c r="E978" s="906"/>
      <c r="F978" s="921" t="str">
        <f t="shared" si="52"/>
        <v/>
      </c>
      <c r="G978" s="882" t="str">
        <f t="shared" si="53"/>
        <v/>
      </c>
      <c r="H978" s="925"/>
      <c r="I978" s="919"/>
      <c r="J978" s="919"/>
      <c r="K978" s="919"/>
      <c r="L978" s="919"/>
      <c r="O978" s="339"/>
      <c r="T978" s="75"/>
      <c r="U978" s="75"/>
      <c r="V978" s="75"/>
      <c r="W978" s="75"/>
      <c r="X978" s="75"/>
      <c r="Y978" s="340"/>
      <c r="Z978" s="341"/>
      <c r="AA978" s="341"/>
      <c r="AB978" s="341"/>
      <c r="AC978" s="340"/>
      <c r="AD978" s="75"/>
      <c r="AE978" s="75"/>
      <c r="AF978" s="75"/>
      <c r="AG978" s="344"/>
      <c r="AH978" s="344"/>
      <c r="AI978" s="344"/>
      <c r="AJ978" s="97"/>
      <c r="AK978" s="4"/>
    </row>
    <row r="979" spans="2:37" s="113" customFormat="1" x14ac:dyDescent="0.4">
      <c r="B979" s="80"/>
      <c r="C979" s="563">
        <v>566</v>
      </c>
      <c r="D979" s="907"/>
      <c r="E979" s="906"/>
      <c r="F979" s="921" t="str">
        <f t="shared" si="52"/>
        <v/>
      </c>
      <c r="G979" s="882" t="str">
        <f t="shared" si="53"/>
        <v/>
      </c>
      <c r="H979" s="925"/>
      <c r="I979" s="919"/>
      <c r="J979" s="919"/>
      <c r="K979" s="919"/>
      <c r="L979" s="919"/>
      <c r="O979" s="339"/>
      <c r="T979" s="75"/>
      <c r="U979" s="75"/>
      <c r="V979" s="75"/>
      <c r="W979" s="75"/>
      <c r="X979" s="75"/>
      <c r="Y979" s="340"/>
      <c r="Z979" s="341"/>
      <c r="AA979" s="341"/>
      <c r="AB979" s="341"/>
      <c r="AC979" s="340"/>
      <c r="AD979" s="75"/>
      <c r="AE979" s="75"/>
      <c r="AF979" s="75"/>
      <c r="AG979" s="344"/>
      <c r="AH979" s="344"/>
      <c r="AI979" s="344"/>
      <c r="AJ979" s="97"/>
      <c r="AK979" s="4"/>
    </row>
    <row r="980" spans="2:37" s="113" customFormat="1" x14ac:dyDescent="0.4">
      <c r="B980" s="80"/>
      <c r="C980" s="563">
        <v>567</v>
      </c>
      <c r="D980" s="907"/>
      <c r="E980" s="906"/>
      <c r="F980" s="921" t="str">
        <f t="shared" si="52"/>
        <v/>
      </c>
      <c r="G980" s="882" t="str">
        <f t="shared" si="53"/>
        <v/>
      </c>
      <c r="H980" s="925"/>
      <c r="I980" s="919"/>
      <c r="J980" s="919"/>
      <c r="K980" s="919"/>
      <c r="L980" s="919"/>
      <c r="O980" s="339"/>
      <c r="T980" s="75"/>
      <c r="U980" s="75"/>
      <c r="V980" s="75"/>
      <c r="W980" s="75"/>
      <c r="X980" s="75"/>
      <c r="Y980" s="340"/>
      <c r="Z980" s="341"/>
      <c r="AA980" s="341"/>
      <c r="AB980" s="341"/>
      <c r="AC980" s="340"/>
      <c r="AD980" s="75"/>
      <c r="AE980" s="75"/>
      <c r="AF980" s="75"/>
      <c r="AG980" s="344"/>
      <c r="AH980" s="344"/>
      <c r="AI980" s="344"/>
      <c r="AJ980" s="97"/>
      <c r="AK980" s="4"/>
    </row>
    <row r="981" spans="2:37" s="113" customFormat="1" x14ac:dyDescent="0.4">
      <c r="B981" s="80"/>
      <c r="C981" s="563">
        <v>568</v>
      </c>
      <c r="D981" s="907"/>
      <c r="E981" s="906"/>
      <c r="F981" s="921" t="str">
        <f t="shared" si="52"/>
        <v/>
      </c>
      <c r="G981" s="882" t="str">
        <f t="shared" si="53"/>
        <v/>
      </c>
      <c r="H981" s="925"/>
      <c r="I981" s="919"/>
      <c r="J981" s="919"/>
      <c r="K981" s="919"/>
      <c r="L981" s="919"/>
      <c r="O981" s="339"/>
      <c r="T981" s="75"/>
      <c r="U981" s="75"/>
      <c r="V981" s="75"/>
      <c r="W981" s="75"/>
      <c r="X981" s="75"/>
      <c r="Y981" s="340"/>
      <c r="Z981" s="341"/>
      <c r="AA981" s="341"/>
      <c r="AB981" s="341"/>
      <c r="AC981" s="340"/>
      <c r="AD981" s="75"/>
      <c r="AE981" s="75"/>
      <c r="AF981" s="75"/>
      <c r="AG981" s="344"/>
      <c r="AH981" s="344"/>
      <c r="AI981" s="344"/>
      <c r="AJ981" s="97"/>
      <c r="AK981" s="4"/>
    </row>
    <row r="982" spans="2:37" s="113" customFormat="1" x14ac:dyDescent="0.4">
      <c r="B982" s="80"/>
      <c r="C982" s="563">
        <v>569</v>
      </c>
      <c r="D982" s="907"/>
      <c r="E982" s="906"/>
      <c r="F982" s="921" t="str">
        <f t="shared" si="52"/>
        <v/>
      </c>
      <c r="G982" s="882" t="str">
        <f t="shared" si="53"/>
        <v/>
      </c>
      <c r="H982" s="925"/>
      <c r="I982" s="919"/>
      <c r="J982" s="919"/>
      <c r="K982" s="919"/>
      <c r="L982" s="919"/>
      <c r="O982" s="339"/>
      <c r="T982" s="75"/>
      <c r="U982" s="75"/>
      <c r="V982" s="75"/>
      <c r="W982" s="75"/>
      <c r="X982" s="75"/>
      <c r="Y982" s="340"/>
      <c r="Z982" s="341"/>
      <c r="AA982" s="341"/>
      <c r="AB982" s="341"/>
      <c r="AC982" s="340"/>
      <c r="AD982" s="75"/>
      <c r="AE982" s="75"/>
      <c r="AF982" s="75"/>
      <c r="AG982" s="344"/>
      <c r="AH982" s="344"/>
      <c r="AI982" s="344"/>
      <c r="AJ982" s="97"/>
      <c r="AK982" s="4"/>
    </row>
    <row r="983" spans="2:37" s="113" customFormat="1" x14ac:dyDescent="0.4">
      <c r="B983" s="80"/>
      <c r="C983" s="563">
        <v>570</v>
      </c>
      <c r="D983" s="907"/>
      <c r="E983" s="906"/>
      <c r="F983" s="921" t="str">
        <f t="shared" si="52"/>
        <v/>
      </c>
      <c r="G983" s="882" t="str">
        <f t="shared" si="53"/>
        <v/>
      </c>
      <c r="H983" s="925"/>
      <c r="I983" s="919"/>
      <c r="J983" s="919"/>
      <c r="K983" s="919"/>
      <c r="L983" s="919"/>
      <c r="O983" s="339"/>
      <c r="T983" s="75"/>
      <c r="U983" s="75"/>
      <c r="V983" s="75"/>
      <c r="W983" s="75"/>
      <c r="X983" s="75"/>
      <c r="Y983" s="340"/>
      <c r="Z983" s="341"/>
      <c r="AA983" s="341"/>
      <c r="AB983" s="341"/>
      <c r="AC983" s="340"/>
      <c r="AD983" s="75"/>
      <c r="AE983" s="75"/>
      <c r="AF983" s="75"/>
      <c r="AG983" s="344"/>
      <c r="AH983" s="344"/>
      <c r="AI983" s="344"/>
      <c r="AJ983" s="97"/>
      <c r="AK983" s="4"/>
    </row>
    <row r="984" spans="2:37" s="113" customFormat="1" x14ac:dyDescent="0.4">
      <c r="B984" s="80"/>
      <c r="C984" s="563">
        <v>571</v>
      </c>
      <c r="D984" s="907"/>
      <c r="E984" s="906"/>
      <c r="F984" s="921" t="str">
        <f t="shared" si="52"/>
        <v/>
      </c>
      <c r="G984" s="882" t="str">
        <f t="shared" si="53"/>
        <v/>
      </c>
      <c r="H984" s="925"/>
      <c r="I984" s="919"/>
      <c r="J984" s="919"/>
      <c r="K984" s="919"/>
      <c r="L984" s="919"/>
      <c r="O984" s="339"/>
      <c r="T984" s="75"/>
      <c r="U984" s="75"/>
      <c r="V984" s="75"/>
      <c r="W984" s="75"/>
      <c r="X984" s="75"/>
      <c r="Y984" s="340"/>
      <c r="Z984" s="341"/>
      <c r="AA984" s="341"/>
      <c r="AB984" s="341"/>
      <c r="AC984" s="340"/>
      <c r="AD984" s="75"/>
      <c r="AE984" s="75"/>
      <c r="AF984" s="75"/>
      <c r="AG984" s="344"/>
      <c r="AH984" s="344"/>
      <c r="AI984" s="344"/>
      <c r="AJ984" s="97"/>
      <c r="AK984" s="4"/>
    </row>
    <row r="985" spans="2:37" s="113" customFormat="1" x14ac:dyDescent="0.4">
      <c r="B985" s="80"/>
      <c r="C985" s="563">
        <v>572</v>
      </c>
      <c r="D985" s="907"/>
      <c r="E985" s="906"/>
      <c r="F985" s="921" t="str">
        <f t="shared" si="52"/>
        <v/>
      </c>
      <c r="G985" s="882" t="str">
        <f t="shared" si="53"/>
        <v/>
      </c>
      <c r="H985" s="925"/>
      <c r="I985" s="919"/>
      <c r="J985" s="919"/>
      <c r="K985" s="919"/>
      <c r="L985" s="919"/>
      <c r="O985" s="339"/>
      <c r="T985" s="75"/>
      <c r="U985" s="75"/>
      <c r="V985" s="75"/>
      <c r="W985" s="75"/>
      <c r="X985" s="75"/>
      <c r="Y985" s="340"/>
      <c r="Z985" s="341"/>
      <c r="AA985" s="341"/>
      <c r="AB985" s="341"/>
      <c r="AC985" s="340"/>
      <c r="AD985" s="75"/>
      <c r="AE985" s="75"/>
      <c r="AF985" s="75"/>
      <c r="AG985" s="344"/>
      <c r="AH985" s="344"/>
      <c r="AI985" s="344"/>
      <c r="AJ985" s="97"/>
      <c r="AK985" s="4"/>
    </row>
    <row r="986" spans="2:37" s="113" customFormat="1" x14ac:dyDescent="0.4">
      <c r="B986" s="80"/>
      <c r="C986" s="563">
        <v>573</v>
      </c>
      <c r="D986" s="907"/>
      <c r="E986" s="906"/>
      <c r="F986" s="921" t="str">
        <f t="shared" si="52"/>
        <v/>
      </c>
      <c r="G986" s="882" t="str">
        <f t="shared" si="53"/>
        <v/>
      </c>
      <c r="H986" s="925"/>
      <c r="I986" s="919"/>
      <c r="J986" s="919"/>
      <c r="K986" s="919"/>
      <c r="L986" s="919"/>
      <c r="O986" s="339"/>
      <c r="T986" s="75"/>
      <c r="U986" s="75"/>
      <c r="V986" s="75"/>
      <c r="W986" s="75"/>
      <c r="X986" s="75"/>
      <c r="Y986" s="340"/>
      <c r="Z986" s="341"/>
      <c r="AA986" s="341"/>
      <c r="AB986" s="341"/>
      <c r="AC986" s="340"/>
      <c r="AD986" s="75"/>
      <c r="AE986" s="75"/>
      <c r="AF986" s="75"/>
      <c r="AG986" s="344"/>
      <c r="AH986" s="344"/>
      <c r="AI986" s="344"/>
      <c r="AJ986" s="97"/>
      <c r="AK986" s="4"/>
    </row>
    <row r="987" spans="2:37" s="113" customFormat="1" x14ac:dyDescent="0.4">
      <c r="B987" s="80"/>
      <c r="C987" s="563">
        <v>574</v>
      </c>
      <c r="D987" s="907"/>
      <c r="E987" s="906"/>
      <c r="F987" s="921" t="str">
        <f t="shared" si="52"/>
        <v/>
      </c>
      <c r="G987" s="882" t="str">
        <f t="shared" si="53"/>
        <v/>
      </c>
      <c r="H987" s="925"/>
      <c r="I987" s="919"/>
      <c r="J987" s="919"/>
      <c r="K987" s="919"/>
      <c r="L987" s="919"/>
      <c r="O987" s="339"/>
      <c r="T987" s="75"/>
      <c r="U987" s="75"/>
      <c r="V987" s="75"/>
      <c r="W987" s="75"/>
      <c r="X987" s="75"/>
      <c r="Y987" s="340"/>
      <c r="Z987" s="341"/>
      <c r="AA987" s="341"/>
      <c r="AB987" s="341"/>
      <c r="AC987" s="340"/>
      <c r="AD987" s="75"/>
      <c r="AE987" s="75"/>
      <c r="AF987" s="75"/>
      <c r="AG987" s="344"/>
      <c r="AH987" s="344"/>
      <c r="AI987" s="344"/>
      <c r="AJ987" s="97"/>
      <c r="AK987" s="4"/>
    </row>
    <row r="988" spans="2:37" s="113" customFormat="1" x14ac:dyDescent="0.4">
      <c r="B988" s="80"/>
      <c r="C988" s="563">
        <v>575</v>
      </c>
      <c r="D988" s="907"/>
      <c r="E988" s="906"/>
      <c r="F988" s="921" t="str">
        <f t="shared" si="52"/>
        <v/>
      </c>
      <c r="G988" s="882" t="str">
        <f t="shared" si="53"/>
        <v/>
      </c>
      <c r="H988" s="925"/>
      <c r="I988" s="919"/>
      <c r="J988" s="919"/>
      <c r="K988" s="919"/>
      <c r="L988" s="919"/>
      <c r="O988" s="339"/>
      <c r="T988" s="75"/>
      <c r="U988" s="75"/>
      <c r="V988" s="75"/>
      <c r="W988" s="75"/>
      <c r="X988" s="75"/>
      <c r="Y988" s="340"/>
      <c r="Z988" s="341"/>
      <c r="AA988" s="341"/>
      <c r="AB988" s="341"/>
      <c r="AC988" s="340"/>
      <c r="AD988" s="75"/>
      <c r="AE988" s="75"/>
      <c r="AF988" s="75"/>
      <c r="AG988" s="344"/>
      <c r="AH988" s="344"/>
      <c r="AI988" s="344"/>
      <c r="AJ988" s="97"/>
      <c r="AK988" s="4"/>
    </row>
    <row r="989" spans="2:37" s="113" customFormat="1" x14ac:dyDescent="0.4">
      <c r="B989" s="80"/>
      <c r="C989" s="563">
        <v>576</v>
      </c>
      <c r="D989" s="907"/>
      <c r="E989" s="906"/>
      <c r="F989" s="921" t="str">
        <f t="shared" si="52"/>
        <v/>
      </c>
      <c r="G989" s="882" t="str">
        <f t="shared" si="53"/>
        <v/>
      </c>
      <c r="H989" s="925"/>
      <c r="I989" s="919"/>
      <c r="J989" s="919"/>
      <c r="K989" s="919"/>
      <c r="L989" s="919"/>
      <c r="O989" s="339"/>
      <c r="T989" s="75"/>
      <c r="U989" s="75"/>
      <c r="V989" s="75"/>
      <c r="W989" s="75"/>
      <c r="X989" s="75"/>
      <c r="Y989" s="340"/>
      <c r="Z989" s="341"/>
      <c r="AA989" s="341"/>
      <c r="AB989" s="341"/>
      <c r="AC989" s="340"/>
      <c r="AD989" s="75"/>
      <c r="AE989" s="75"/>
      <c r="AF989" s="75"/>
      <c r="AG989" s="344"/>
      <c r="AH989" s="344"/>
      <c r="AI989" s="344"/>
      <c r="AJ989" s="97"/>
      <c r="AK989" s="4"/>
    </row>
    <row r="990" spans="2:37" s="113" customFormat="1" x14ac:dyDescent="0.4">
      <c r="B990" s="80"/>
      <c r="C990" s="563">
        <v>577</v>
      </c>
      <c r="D990" s="907"/>
      <c r="E990" s="906"/>
      <c r="F990" s="921" t="str">
        <f t="shared" ref="F990:F1053" si="54">IF($D$30="","",IF(OR(
AND(C990&gt;=0,C990&lt;=$D$32),
AND(C990&gt;=$E$30,C990&lt;=$E$32),
AND(C990&gt;=$F$30,C990&lt;=$F$32),
AND(C990&gt;=$G$30,C990&lt;=$G$32),
AND(C990&gt;=$H$30,C990&lt;=$H$32),
AND(C990&gt;=$I$30,C990&lt;=$I$32),
AND(C990&gt;=$J$30,C990&lt;=$J$32),
AND(C990&gt;=$K$30,C990&lt;=$K$32),
AND(C990&gt;=$L$30,C990&lt;=$L$32),
AND(C990&gt;=$M$30,C990&lt;=$M$32,$M$32&lt;&gt;""),
AND(C990&gt;=$N$30,C990&lt;=$N$32,$N$32&lt;&gt;""),
AND(C990&gt;=$O$30,C990&lt;=$O$32,$O$32&lt;&gt;""),
AND(C990&gt;=$P$30,C990&lt;=$P$32,$P$32&lt;&gt;""),
AND(C990&gt;=$Q$30,C990&lt;=$Q$32,$Q$32&lt;&gt;"")
),"ON","OFF"))</f>
        <v/>
      </c>
      <c r="G990" s="882" t="str">
        <f t="shared" si="53"/>
        <v/>
      </c>
      <c r="H990" s="925"/>
      <c r="I990" s="919"/>
      <c r="J990" s="919"/>
      <c r="K990" s="919"/>
      <c r="L990" s="919"/>
      <c r="O990" s="339"/>
      <c r="T990" s="75"/>
      <c r="U990" s="75"/>
      <c r="V990" s="75"/>
      <c r="W990" s="75"/>
      <c r="X990" s="75"/>
      <c r="Y990" s="340"/>
      <c r="Z990" s="341"/>
      <c r="AA990" s="341"/>
      <c r="AB990" s="341"/>
      <c r="AC990" s="340"/>
      <c r="AD990" s="75"/>
      <c r="AE990" s="75"/>
      <c r="AF990" s="75"/>
      <c r="AG990" s="344"/>
      <c r="AH990" s="344"/>
      <c r="AI990" s="344"/>
      <c r="AJ990" s="97"/>
      <c r="AK990" s="4"/>
    </row>
    <row r="991" spans="2:37" s="113" customFormat="1" x14ac:dyDescent="0.4">
      <c r="B991" s="80"/>
      <c r="C991" s="563">
        <v>578</v>
      </c>
      <c r="D991" s="907"/>
      <c r="E991" s="906"/>
      <c r="F991" s="921" t="str">
        <f t="shared" si="54"/>
        <v/>
      </c>
      <c r="G991" s="882" t="str">
        <f t="shared" ref="G991:G1054" si="55">IF(OR($D$47="",$D$48=""),"",IF(OR(
AND(C991&gt;=$D$47,C991&lt;=$D$48),
AND(C991&gt;=$E$47,C991&lt;=$E$48),
AND(C991&gt;=$F$47,C991&lt;=$F$48),
AND(C991&gt;=$G$47,C991&lt;=$G$48),
AND(C991&gt;=$H$47,C991&lt;=$H$48),
AND(C991&gt;=$I$47,C991&lt;=$I$48),
AND(C991&gt;=$J$47,C991&lt;=$J$48),
AND(C991&gt;=$K$47,C991&lt;=$K$48),
AND(C991&gt;=$L$47,C991&lt;=$L$48),
AND(C991&gt;=$M$47,C991&lt;=$M$48),
AND(C991&gt;=$N$47,C991&lt;=$N$48),
AND(C991&gt;=$O$47,C991&lt;=$O$48),
AND(C991&gt;=$P$47,C991&lt;=$P$48),
AND(C991&gt;=$Q$47,C991&lt;=$Q$48),
AND(C991&gt;=$R$47,C991&lt;=$R$48),
AND(C991&gt;=$S$47,C991&lt;=$S$48),
AND(C991&gt;=$T$47,C991&lt;=$T$48),
AND(C991&gt;=$U$47,C991&lt;=$U$48),
AND(C991&gt;=$V$47,C991&lt;=$V$48),
AND(C991&gt;=$W$47,C991&lt;=$W$48),
AND(C991&gt;=$X$47,C991&lt;=$X$48),
AND(C991&gt;=$Y$47,C991&lt;=$Y$48),
AND(C991&gt;=$Z$47,C991&lt;=$Z$48),
AND(C991&gt;=$AA$47,C991&lt;=$AA$48),
AND(C991&gt;=$AB$47,C991&lt;=$AB$48),
AND(C991&gt;=$AC$47,C991&lt;=$AC$48),
AND(C991&gt;=$AD$47,C991&lt;=$AD$48),
AND(C991&gt;=$AE$47,C991&lt;=$AE$48),
AND(C991&gt;=$AF$47,C991&lt;=$AF$48),
AND(C991&gt;=$AG$47,C991&lt;=$AG$48)
),"ON","OFF"))</f>
        <v/>
      </c>
      <c r="H991" s="925"/>
      <c r="I991" s="919"/>
      <c r="J991" s="919"/>
      <c r="K991" s="919"/>
      <c r="L991" s="919"/>
      <c r="O991" s="339"/>
      <c r="T991" s="75"/>
      <c r="U991" s="75"/>
      <c r="V991" s="75"/>
      <c r="W991" s="75"/>
      <c r="X991" s="75"/>
      <c r="Y991" s="340"/>
      <c r="Z991" s="341"/>
      <c r="AA991" s="341"/>
      <c r="AB991" s="341"/>
      <c r="AC991" s="340"/>
      <c r="AD991" s="75"/>
      <c r="AE991" s="75"/>
      <c r="AF991" s="75"/>
      <c r="AG991" s="344"/>
      <c r="AH991" s="344"/>
      <c r="AI991" s="344"/>
      <c r="AJ991" s="97"/>
      <c r="AK991" s="4"/>
    </row>
    <row r="992" spans="2:37" s="113" customFormat="1" x14ac:dyDescent="0.4">
      <c r="B992" s="80"/>
      <c r="C992" s="563">
        <v>579</v>
      </c>
      <c r="D992" s="907"/>
      <c r="E992" s="906"/>
      <c r="F992" s="921" t="str">
        <f t="shared" si="54"/>
        <v/>
      </c>
      <c r="G992" s="882" t="str">
        <f t="shared" si="55"/>
        <v/>
      </c>
      <c r="H992" s="925"/>
      <c r="I992" s="919"/>
      <c r="J992" s="919"/>
      <c r="K992" s="919"/>
      <c r="L992" s="919"/>
      <c r="O992" s="339"/>
      <c r="T992" s="75"/>
      <c r="U992" s="75"/>
      <c r="V992" s="75"/>
      <c r="W992" s="75"/>
      <c r="X992" s="75"/>
      <c r="Y992" s="340"/>
      <c r="Z992" s="341"/>
      <c r="AA992" s="341"/>
      <c r="AB992" s="341"/>
      <c r="AC992" s="340"/>
      <c r="AD992" s="75"/>
      <c r="AE992" s="75"/>
      <c r="AF992" s="75"/>
      <c r="AG992" s="344"/>
      <c r="AH992" s="344"/>
      <c r="AI992" s="344"/>
      <c r="AJ992" s="97"/>
      <c r="AK992" s="4"/>
    </row>
    <row r="993" spans="2:37" s="113" customFormat="1" x14ac:dyDescent="0.4">
      <c r="B993" s="80"/>
      <c r="C993" s="563">
        <v>580</v>
      </c>
      <c r="D993" s="907"/>
      <c r="E993" s="906"/>
      <c r="F993" s="921" t="str">
        <f t="shared" si="54"/>
        <v/>
      </c>
      <c r="G993" s="882" t="str">
        <f t="shared" si="55"/>
        <v/>
      </c>
      <c r="H993" s="925"/>
      <c r="I993" s="919"/>
      <c r="J993" s="919"/>
      <c r="K993" s="919"/>
      <c r="L993" s="919"/>
      <c r="O993" s="339"/>
      <c r="T993" s="75"/>
      <c r="U993" s="75"/>
      <c r="V993" s="75"/>
      <c r="W993" s="75"/>
      <c r="X993" s="75"/>
      <c r="Y993" s="340"/>
      <c r="Z993" s="341"/>
      <c r="AA993" s="341"/>
      <c r="AB993" s="341"/>
      <c r="AC993" s="340"/>
      <c r="AD993" s="75"/>
      <c r="AE993" s="75"/>
      <c r="AF993" s="75"/>
      <c r="AG993" s="344"/>
      <c r="AH993" s="344"/>
      <c r="AI993" s="344"/>
      <c r="AJ993" s="97"/>
      <c r="AK993" s="4"/>
    </row>
    <row r="994" spans="2:37" s="113" customFormat="1" x14ac:dyDescent="0.4">
      <c r="B994" s="80"/>
      <c r="C994" s="563">
        <v>581</v>
      </c>
      <c r="D994" s="907"/>
      <c r="E994" s="906"/>
      <c r="F994" s="921" t="str">
        <f t="shared" si="54"/>
        <v/>
      </c>
      <c r="G994" s="882" t="str">
        <f t="shared" si="55"/>
        <v/>
      </c>
      <c r="H994" s="925"/>
      <c r="I994" s="919"/>
      <c r="J994" s="919"/>
      <c r="K994" s="919"/>
      <c r="L994" s="919"/>
      <c r="O994" s="339"/>
      <c r="T994" s="75"/>
      <c r="U994" s="75"/>
      <c r="V994" s="75"/>
      <c r="W994" s="75"/>
      <c r="X994" s="75"/>
      <c r="Y994" s="340"/>
      <c r="Z994" s="341"/>
      <c r="AA994" s="341"/>
      <c r="AB994" s="341"/>
      <c r="AC994" s="340"/>
      <c r="AD994" s="75"/>
      <c r="AE994" s="75"/>
      <c r="AF994" s="75"/>
      <c r="AG994" s="344"/>
      <c r="AH994" s="344"/>
      <c r="AI994" s="344"/>
      <c r="AJ994" s="97"/>
      <c r="AK994" s="4"/>
    </row>
    <row r="995" spans="2:37" s="113" customFormat="1" x14ac:dyDescent="0.4">
      <c r="B995" s="80"/>
      <c r="C995" s="563">
        <v>582</v>
      </c>
      <c r="D995" s="907"/>
      <c r="E995" s="906"/>
      <c r="F995" s="921" t="str">
        <f t="shared" si="54"/>
        <v/>
      </c>
      <c r="G995" s="882" t="str">
        <f t="shared" si="55"/>
        <v/>
      </c>
      <c r="H995" s="925"/>
      <c r="I995" s="919"/>
      <c r="J995" s="919"/>
      <c r="K995" s="919"/>
      <c r="L995" s="919"/>
      <c r="O995" s="339"/>
      <c r="T995" s="75"/>
      <c r="U995" s="75"/>
      <c r="V995" s="75"/>
      <c r="W995" s="75"/>
      <c r="X995" s="75"/>
      <c r="Y995" s="340"/>
      <c r="Z995" s="341"/>
      <c r="AA995" s="341"/>
      <c r="AB995" s="341"/>
      <c r="AC995" s="340"/>
      <c r="AD995" s="75"/>
      <c r="AE995" s="75"/>
      <c r="AF995" s="75"/>
      <c r="AG995" s="344"/>
      <c r="AH995" s="344"/>
      <c r="AI995" s="344"/>
      <c r="AJ995" s="97"/>
      <c r="AK995" s="4"/>
    </row>
    <row r="996" spans="2:37" s="113" customFormat="1" x14ac:dyDescent="0.4">
      <c r="B996" s="80"/>
      <c r="C996" s="563">
        <v>583</v>
      </c>
      <c r="D996" s="907"/>
      <c r="E996" s="906"/>
      <c r="F996" s="921" t="str">
        <f t="shared" si="54"/>
        <v/>
      </c>
      <c r="G996" s="882" t="str">
        <f t="shared" si="55"/>
        <v/>
      </c>
      <c r="H996" s="925"/>
      <c r="I996" s="919"/>
      <c r="J996" s="919"/>
      <c r="K996" s="919"/>
      <c r="L996" s="919"/>
      <c r="O996" s="339"/>
      <c r="T996" s="75"/>
      <c r="U996" s="75"/>
      <c r="V996" s="75"/>
      <c r="W996" s="75"/>
      <c r="X996" s="75"/>
      <c r="Y996" s="340"/>
      <c r="Z996" s="341"/>
      <c r="AA996" s="341"/>
      <c r="AB996" s="341"/>
      <c r="AC996" s="340"/>
      <c r="AD996" s="75"/>
      <c r="AE996" s="75"/>
      <c r="AF996" s="75"/>
      <c r="AG996" s="344"/>
      <c r="AH996" s="344"/>
      <c r="AI996" s="344"/>
      <c r="AJ996" s="97"/>
      <c r="AK996" s="4"/>
    </row>
    <row r="997" spans="2:37" s="113" customFormat="1" x14ac:dyDescent="0.4">
      <c r="B997" s="80"/>
      <c r="C997" s="563">
        <v>584</v>
      </c>
      <c r="D997" s="907"/>
      <c r="E997" s="906"/>
      <c r="F997" s="921" t="str">
        <f t="shared" si="54"/>
        <v/>
      </c>
      <c r="G997" s="882" t="str">
        <f t="shared" si="55"/>
        <v/>
      </c>
      <c r="H997" s="925"/>
      <c r="I997" s="919"/>
      <c r="J997" s="919"/>
      <c r="K997" s="919"/>
      <c r="L997" s="919"/>
      <c r="O997" s="339"/>
      <c r="T997" s="75"/>
      <c r="U997" s="75"/>
      <c r="V997" s="75"/>
      <c r="W997" s="75"/>
      <c r="X997" s="75"/>
      <c r="Y997" s="340"/>
      <c r="Z997" s="341"/>
      <c r="AA997" s="341"/>
      <c r="AB997" s="341"/>
      <c r="AC997" s="340"/>
      <c r="AD997" s="75"/>
      <c r="AE997" s="75"/>
      <c r="AF997" s="75"/>
      <c r="AG997" s="344"/>
      <c r="AH997" s="344"/>
      <c r="AI997" s="344"/>
      <c r="AJ997" s="97"/>
      <c r="AK997" s="4"/>
    </row>
    <row r="998" spans="2:37" s="113" customFormat="1" x14ac:dyDescent="0.4">
      <c r="B998" s="80"/>
      <c r="C998" s="563">
        <v>585</v>
      </c>
      <c r="D998" s="907"/>
      <c r="E998" s="906"/>
      <c r="F998" s="921" t="str">
        <f t="shared" si="54"/>
        <v/>
      </c>
      <c r="G998" s="882" t="str">
        <f t="shared" si="55"/>
        <v/>
      </c>
      <c r="H998" s="925"/>
      <c r="I998" s="919"/>
      <c r="J998" s="919"/>
      <c r="K998" s="919"/>
      <c r="L998" s="919"/>
      <c r="O998" s="339"/>
      <c r="T998" s="75"/>
      <c r="U998" s="75"/>
      <c r="V998" s="75"/>
      <c r="W998" s="75"/>
      <c r="X998" s="75"/>
      <c r="Y998" s="340"/>
      <c r="Z998" s="341"/>
      <c r="AA998" s="341"/>
      <c r="AB998" s="341"/>
      <c r="AC998" s="340"/>
      <c r="AD998" s="75"/>
      <c r="AE998" s="75"/>
      <c r="AF998" s="75"/>
      <c r="AG998" s="344"/>
      <c r="AH998" s="344"/>
      <c r="AI998" s="344"/>
      <c r="AJ998" s="97"/>
      <c r="AK998" s="4"/>
    </row>
    <row r="999" spans="2:37" s="113" customFormat="1" x14ac:dyDescent="0.4">
      <c r="B999" s="80"/>
      <c r="C999" s="563">
        <v>586</v>
      </c>
      <c r="D999" s="907"/>
      <c r="E999" s="906"/>
      <c r="F999" s="921" t="str">
        <f t="shared" si="54"/>
        <v/>
      </c>
      <c r="G999" s="882" t="str">
        <f t="shared" si="55"/>
        <v/>
      </c>
      <c r="H999" s="925"/>
      <c r="I999" s="919"/>
      <c r="J999" s="919"/>
      <c r="K999" s="919"/>
      <c r="L999" s="919"/>
      <c r="O999" s="339"/>
      <c r="T999" s="75"/>
      <c r="U999" s="75"/>
      <c r="V999" s="75"/>
      <c r="W999" s="75"/>
      <c r="X999" s="75"/>
      <c r="Y999" s="340"/>
      <c r="Z999" s="341"/>
      <c r="AA999" s="341"/>
      <c r="AB999" s="341"/>
      <c r="AC999" s="340"/>
      <c r="AD999" s="75"/>
      <c r="AE999" s="75"/>
      <c r="AF999" s="75"/>
      <c r="AG999" s="344"/>
      <c r="AH999" s="344"/>
      <c r="AI999" s="344"/>
      <c r="AJ999" s="97"/>
      <c r="AK999" s="4"/>
    </row>
    <row r="1000" spans="2:37" s="113" customFormat="1" x14ac:dyDescent="0.4">
      <c r="B1000" s="80"/>
      <c r="C1000" s="563">
        <v>587</v>
      </c>
      <c r="D1000" s="907"/>
      <c r="E1000" s="906"/>
      <c r="F1000" s="921" t="str">
        <f t="shared" si="54"/>
        <v/>
      </c>
      <c r="G1000" s="882" t="str">
        <f t="shared" si="55"/>
        <v/>
      </c>
      <c r="H1000" s="925"/>
      <c r="I1000" s="919"/>
      <c r="J1000" s="919"/>
      <c r="K1000" s="919"/>
      <c r="L1000" s="919"/>
      <c r="O1000" s="339"/>
      <c r="T1000" s="75"/>
      <c r="U1000" s="75"/>
      <c r="V1000" s="75"/>
      <c r="W1000" s="75"/>
      <c r="X1000" s="75"/>
      <c r="Y1000" s="340"/>
      <c r="Z1000" s="341"/>
      <c r="AA1000" s="341"/>
      <c r="AB1000" s="341"/>
      <c r="AC1000" s="340"/>
      <c r="AD1000" s="75"/>
      <c r="AE1000" s="75"/>
      <c r="AF1000" s="75"/>
      <c r="AG1000" s="344"/>
      <c r="AH1000" s="344"/>
      <c r="AI1000" s="344"/>
      <c r="AJ1000" s="97"/>
      <c r="AK1000" s="4"/>
    </row>
    <row r="1001" spans="2:37" s="113" customFormat="1" x14ac:dyDescent="0.4">
      <c r="B1001" s="80"/>
      <c r="C1001" s="563">
        <v>588</v>
      </c>
      <c r="D1001" s="907"/>
      <c r="E1001" s="906"/>
      <c r="F1001" s="921" t="str">
        <f t="shared" si="54"/>
        <v/>
      </c>
      <c r="G1001" s="882" t="str">
        <f t="shared" si="55"/>
        <v/>
      </c>
      <c r="H1001" s="925"/>
      <c r="I1001" s="919"/>
      <c r="J1001" s="919"/>
      <c r="K1001" s="919"/>
      <c r="L1001" s="919"/>
      <c r="O1001" s="339"/>
      <c r="T1001" s="75"/>
      <c r="U1001" s="75"/>
      <c r="V1001" s="75"/>
      <c r="W1001" s="75"/>
      <c r="X1001" s="75"/>
      <c r="Y1001" s="340"/>
      <c r="Z1001" s="341"/>
      <c r="AA1001" s="341"/>
      <c r="AB1001" s="341"/>
      <c r="AC1001" s="340"/>
      <c r="AD1001" s="75"/>
      <c r="AE1001" s="75"/>
      <c r="AF1001" s="75"/>
      <c r="AG1001" s="344"/>
      <c r="AH1001" s="344"/>
      <c r="AI1001" s="344"/>
      <c r="AJ1001" s="97"/>
      <c r="AK1001" s="4"/>
    </row>
    <row r="1002" spans="2:37" s="113" customFormat="1" x14ac:dyDescent="0.4">
      <c r="B1002" s="80"/>
      <c r="C1002" s="563">
        <v>589</v>
      </c>
      <c r="D1002" s="907"/>
      <c r="E1002" s="906"/>
      <c r="F1002" s="921" t="str">
        <f t="shared" si="54"/>
        <v/>
      </c>
      <c r="G1002" s="882" t="str">
        <f t="shared" si="55"/>
        <v/>
      </c>
      <c r="H1002" s="925"/>
      <c r="I1002" s="919"/>
      <c r="J1002" s="919"/>
      <c r="K1002" s="919"/>
      <c r="L1002" s="919"/>
      <c r="O1002" s="339"/>
      <c r="T1002" s="75"/>
      <c r="U1002" s="75"/>
      <c r="V1002" s="75"/>
      <c r="W1002" s="75"/>
      <c r="X1002" s="75"/>
      <c r="Y1002" s="340"/>
      <c r="Z1002" s="341"/>
      <c r="AA1002" s="341"/>
      <c r="AB1002" s="341"/>
      <c r="AC1002" s="340"/>
      <c r="AD1002" s="75"/>
      <c r="AE1002" s="75"/>
      <c r="AF1002" s="75"/>
      <c r="AG1002" s="344"/>
      <c r="AH1002" s="344"/>
      <c r="AI1002" s="344"/>
      <c r="AJ1002" s="97"/>
      <c r="AK1002" s="4"/>
    </row>
    <row r="1003" spans="2:37" s="113" customFormat="1" x14ac:dyDescent="0.4">
      <c r="B1003" s="80"/>
      <c r="C1003" s="563">
        <v>590</v>
      </c>
      <c r="D1003" s="907"/>
      <c r="E1003" s="906"/>
      <c r="F1003" s="921" t="str">
        <f t="shared" si="54"/>
        <v/>
      </c>
      <c r="G1003" s="882" t="str">
        <f t="shared" si="55"/>
        <v/>
      </c>
      <c r="H1003" s="925"/>
      <c r="I1003" s="919"/>
      <c r="J1003" s="919"/>
      <c r="K1003" s="919"/>
      <c r="L1003" s="919"/>
      <c r="O1003" s="339"/>
      <c r="T1003" s="75"/>
      <c r="U1003" s="75"/>
      <c r="V1003" s="75"/>
      <c r="W1003" s="75"/>
      <c r="X1003" s="75"/>
      <c r="Y1003" s="340"/>
      <c r="Z1003" s="341"/>
      <c r="AA1003" s="341"/>
      <c r="AB1003" s="341"/>
      <c r="AC1003" s="340"/>
      <c r="AD1003" s="75"/>
      <c r="AE1003" s="75"/>
      <c r="AF1003" s="75"/>
      <c r="AG1003" s="344"/>
      <c r="AH1003" s="344"/>
      <c r="AI1003" s="344"/>
      <c r="AJ1003" s="97"/>
      <c r="AK1003" s="4"/>
    </row>
    <row r="1004" spans="2:37" s="113" customFormat="1" x14ac:dyDescent="0.4">
      <c r="B1004" s="80"/>
      <c r="C1004" s="563">
        <v>591</v>
      </c>
      <c r="D1004" s="907"/>
      <c r="E1004" s="906"/>
      <c r="F1004" s="921" t="str">
        <f t="shared" si="54"/>
        <v/>
      </c>
      <c r="G1004" s="882" t="str">
        <f t="shared" si="55"/>
        <v/>
      </c>
      <c r="H1004" s="925"/>
      <c r="I1004" s="919"/>
      <c r="J1004" s="919"/>
      <c r="K1004" s="919"/>
      <c r="L1004" s="919"/>
      <c r="O1004" s="339"/>
      <c r="T1004" s="75"/>
      <c r="U1004" s="75"/>
      <c r="V1004" s="75"/>
      <c r="W1004" s="75"/>
      <c r="X1004" s="75"/>
      <c r="Y1004" s="340"/>
      <c r="Z1004" s="341"/>
      <c r="AA1004" s="341"/>
      <c r="AB1004" s="341"/>
      <c r="AC1004" s="340"/>
      <c r="AD1004" s="75"/>
      <c r="AE1004" s="75"/>
      <c r="AF1004" s="75"/>
      <c r="AG1004" s="344"/>
      <c r="AH1004" s="344"/>
      <c r="AI1004" s="344"/>
      <c r="AJ1004" s="97"/>
      <c r="AK1004" s="4"/>
    </row>
    <row r="1005" spans="2:37" s="113" customFormat="1" x14ac:dyDescent="0.4">
      <c r="B1005" s="80"/>
      <c r="C1005" s="563">
        <v>592</v>
      </c>
      <c r="D1005" s="907"/>
      <c r="E1005" s="906"/>
      <c r="F1005" s="921" t="str">
        <f t="shared" si="54"/>
        <v/>
      </c>
      <c r="G1005" s="882" t="str">
        <f t="shared" si="55"/>
        <v/>
      </c>
      <c r="H1005" s="925"/>
      <c r="I1005" s="919"/>
      <c r="J1005" s="919"/>
      <c r="K1005" s="919"/>
      <c r="L1005" s="919"/>
      <c r="O1005" s="339"/>
      <c r="T1005" s="75"/>
      <c r="U1005" s="75"/>
      <c r="V1005" s="75"/>
      <c r="W1005" s="75"/>
      <c r="X1005" s="75"/>
      <c r="Y1005" s="340"/>
      <c r="Z1005" s="341"/>
      <c r="AA1005" s="341"/>
      <c r="AB1005" s="341"/>
      <c r="AC1005" s="340"/>
      <c r="AD1005" s="75"/>
      <c r="AE1005" s="75"/>
      <c r="AF1005" s="75"/>
      <c r="AG1005" s="344"/>
      <c r="AH1005" s="344"/>
      <c r="AI1005" s="344"/>
      <c r="AJ1005" s="97"/>
      <c r="AK1005" s="4"/>
    </row>
    <row r="1006" spans="2:37" s="113" customFormat="1" x14ac:dyDescent="0.4">
      <c r="B1006" s="80"/>
      <c r="C1006" s="563">
        <v>593</v>
      </c>
      <c r="D1006" s="907"/>
      <c r="E1006" s="906"/>
      <c r="F1006" s="921" t="str">
        <f t="shared" si="54"/>
        <v/>
      </c>
      <c r="G1006" s="882" t="str">
        <f t="shared" si="55"/>
        <v/>
      </c>
      <c r="H1006" s="925"/>
      <c r="I1006" s="919"/>
      <c r="J1006" s="919"/>
      <c r="K1006" s="919"/>
      <c r="L1006" s="919"/>
      <c r="O1006" s="339"/>
      <c r="T1006" s="75"/>
      <c r="U1006" s="75"/>
      <c r="V1006" s="75"/>
      <c r="W1006" s="75"/>
      <c r="X1006" s="75"/>
      <c r="Y1006" s="340"/>
      <c r="Z1006" s="341"/>
      <c r="AA1006" s="341"/>
      <c r="AB1006" s="341"/>
      <c r="AC1006" s="340"/>
      <c r="AD1006" s="75"/>
      <c r="AE1006" s="75"/>
      <c r="AF1006" s="75"/>
      <c r="AG1006" s="344"/>
      <c r="AH1006" s="344"/>
      <c r="AI1006" s="344"/>
      <c r="AJ1006" s="97"/>
      <c r="AK1006" s="4"/>
    </row>
    <row r="1007" spans="2:37" s="113" customFormat="1" x14ac:dyDescent="0.4">
      <c r="B1007" s="80"/>
      <c r="C1007" s="563">
        <v>594</v>
      </c>
      <c r="D1007" s="907"/>
      <c r="E1007" s="906"/>
      <c r="F1007" s="921" t="str">
        <f t="shared" si="54"/>
        <v/>
      </c>
      <c r="G1007" s="882" t="str">
        <f t="shared" si="55"/>
        <v/>
      </c>
      <c r="H1007" s="925"/>
      <c r="I1007" s="919"/>
      <c r="J1007" s="919"/>
      <c r="K1007" s="919"/>
      <c r="L1007" s="919"/>
      <c r="O1007" s="339"/>
      <c r="T1007" s="75"/>
      <c r="U1007" s="75"/>
      <c r="V1007" s="75"/>
      <c r="W1007" s="75"/>
      <c r="X1007" s="75"/>
      <c r="Y1007" s="340"/>
      <c r="Z1007" s="341"/>
      <c r="AA1007" s="341"/>
      <c r="AB1007" s="341"/>
      <c r="AC1007" s="340"/>
      <c r="AD1007" s="75"/>
      <c r="AE1007" s="75"/>
      <c r="AF1007" s="75"/>
      <c r="AG1007" s="344"/>
      <c r="AH1007" s="344"/>
      <c r="AI1007" s="344"/>
      <c r="AJ1007" s="97"/>
      <c r="AK1007" s="4"/>
    </row>
    <row r="1008" spans="2:37" s="113" customFormat="1" x14ac:dyDescent="0.4">
      <c r="B1008" s="80"/>
      <c r="C1008" s="563">
        <v>595</v>
      </c>
      <c r="D1008" s="907"/>
      <c r="E1008" s="906"/>
      <c r="F1008" s="921" t="str">
        <f t="shared" si="54"/>
        <v/>
      </c>
      <c r="G1008" s="882" t="str">
        <f t="shared" si="55"/>
        <v/>
      </c>
      <c r="H1008" s="925"/>
      <c r="I1008" s="919"/>
      <c r="J1008" s="919"/>
      <c r="K1008" s="919"/>
      <c r="L1008" s="919"/>
      <c r="O1008" s="339"/>
      <c r="T1008" s="75"/>
      <c r="U1008" s="75"/>
      <c r="V1008" s="75"/>
      <c r="W1008" s="75"/>
      <c r="X1008" s="75"/>
      <c r="Y1008" s="340"/>
      <c r="Z1008" s="341"/>
      <c r="AA1008" s="341"/>
      <c r="AB1008" s="341"/>
      <c r="AC1008" s="340"/>
      <c r="AD1008" s="75"/>
      <c r="AE1008" s="75"/>
      <c r="AF1008" s="75"/>
      <c r="AG1008" s="344"/>
      <c r="AH1008" s="344"/>
      <c r="AI1008" s="344"/>
      <c r="AJ1008" s="97"/>
      <c r="AK1008" s="4"/>
    </row>
    <row r="1009" spans="2:37" s="113" customFormat="1" x14ac:dyDescent="0.4">
      <c r="B1009" s="80"/>
      <c r="C1009" s="563">
        <v>596</v>
      </c>
      <c r="D1009" s="907"/>
      <c r="E1009" s="906"/>
      <c r="F1009" s="921" t="str">
        <f t="shared" si="54"/>
        <v/>
      </c>
      <c r="G1009" s="882" t="str">
        <f t="shared" si="55"/>
        <v/>
      </c>
      <c r="H1009" s="925"/>
      <c r="I1009" s="919"/>
      <c r="J1009" s="919"/>
      <c r="K1009" s="919"/>
      <c r="L1009" s="919"/>
      <c r="O1009" s="339"/>
      <c r="T1009" s="75"/>
      <c r="U1009" s="75"/>
      <c r="V1009" s="75"/>
      <c r="W1009" s="75"/>
      <c r="X1009" s="75"/>
      <c r="Y1009" s="340"/>
      <c r="Z1009" s="341"/>
      <c r="AA1009" s="341"/>
      <c r="AB1009" s="341"/>
      <c r="AC1009" s="340"/>
      <c r="AD1009" s="75"/>
      <c r="AE1009" s="75"/>
      <c r="AF1009" s="75"/>
      <c r="AG1009" s="344"/>
      <c r="AH1009" s="344"/>
      <c r="AI1009" s="344"/>
      <c r="AJ1009" s="97"/>
      <c r="AK1009" s="4"/>
    </row>
    <row r="1010" spans="2:37" s="113" customFormat="1" x14ac:dyDescent="0.4">
      <c r="B1010" s="80"/>
      <c r="C1010" s="563">
        <v>597</v>
      </c>
      <c r="D1010" s="907"/>
      <c r="E1010" s="906"/>
      <c r="F1010" s="921" t="str">
        <f t="shared" si="54"/>
        <v/>
      </c>
      <c r="G1010" s="882" t="str">
        <f t="shared" si="55"/>
        <v/>
      </c>
      <c r="H1010" s="925"/>
      <c r="I1010" s="919"/>
      <c r="J1010" s="919"/>
      <c r="K1010" s="919"/>
      <c r="L1010" s="919"/>
      <c r="O1010" s="339"/>
      <c r="T1010" s="75"/>
      <c r="U1010" s="75"/>
      <c r="V1010" s="75"/>
      <c r="W1010" s="75"/>
      <c r="X1010" s="75"/>
      <c r="Y1010" s="340"/>
      <c r="Z1010" s="341"/>
      <c r="AA1010" s="341"/>
      <c r="AB1010" s="341"/>
      <c r="AC1010" s="340"/>
      <c r="AD1010" s="75"/>
      <c r="AE1010" s="75"/>
      <c r="AF1010" s="75"/>
      <c r="AG1010" s="344"/>
      <c r="AH1010" s="344"/>
      <c r="AI1010" s="344"/>
      <c r="AJ1010" s="97"/>
      <c r="AK1010" s="4"/>
    </row>
    <row r="1011" spans="2:37" s="113" customFormat="1" x14ac:dyDescent="0.4">
      <c r="B1011" s="80"/>
      <c r="C1011" s="563">
        <v>598</v>
      </c>
      <c r="D1011" s="907"/>
      <c r="E1011" s="906"/>
      <c r="F1011" s="921" t="str">
        <f t="shared" si="54"/>
        <v/>
      </c>
      <c r="G1011" s="882" t="str">
        <f t="shared" si="55"/>
        <v/>
      </c>
      <c r="H1011" s="925"/>
      <c r="I1011" s="919"/>
      <c r="J1011" s="919"/>
      <c r="K1011" s="919"/>
      <c r="L1011" s="919"/>
      <c r="O1011" s="339"/>
      <c r="T1011" s="75"/>
      <c r="U1011" s="75"/>
      <c r="V1011" s="75"/>
      <c r="W1011" s="75"/>
      <c r="X1011" s="75"/>
      <c r="Y1011" s="340"/>
      <c r="Z1011" s="341"/>
      <c r="AA1011" s="341"/>
      <c r="AB1011" s="341"/>
      <c r="AC1011" s="340"/>
      <c r="AD1011" s="75"/>
      <c r="AE1011" s="75"/>
      <c r="AF1011" s="75"/>
      <c r="AG1011" s="344"/>
      <c r="AH1011" s="344"/>
      <c r="AI1011" s="344"/>
      <c r="AJ1011" s="97"/>
      <c r="AK1011" s="4"/>
    </row>
    <row r="1012" spans="2:37" s="113" customFormat="1" x14ac:dyDescent="0.4">
      <c r="B1012" s="80"/>
      <c r="C1012" s="563">
        <v>599</v>
      </c>
      <c r="D1012" s="907"/>
      <c r="E1012" s="906"/>
      <c r="F1012" s="921" t="str">
        <f t="shared" si="54"/>
        <v/>
      </c>
      <c r="G1012" s="882" t="str">
        <f t="shared" si="55"/>
        <v/>
      </c>
      <c r="H1012" s="925"/>
      <c r="I1012" s="919"/>
      <c r="J1012" s="919"/>
      <c r="K1012" s="919"/>
      <c r="L1012" s="919"/>
      <c r="O1012" s="339"/>
      <c r="T1012" s="75"/>
      <c r="U1012" s="75"/>
      <c r="V1012" s="75"/>
      <c r="W1012" s="75"/>
      <c r="X1012" s="75"/>
      <c r="Y1012" s="340"/>
      <c r="Z1012" s="341"/>
      <c r="AA1012" s="341"/>
      <c r="AB1012" s="341"/>
      <c r="AC1012" s="340"/>
      <c r="AD1012" s="75"/>
      <c r="AE1012" s="75"/>
      <c r="AF1012" s="75"/>
      <c r="AG1012" s="344"/>
      <c r="AH1012" s="344"/>
      <c r="AI1012" s="344"/>
      <c r="AJ1012" s="97"/>
      <c r="AK1012" s="4"/>
    </row>
    <row r="1013" spans="2:37" s="113" customFormat="1" x14ac:dyDescent="0.4">
      <c r="B1013" s="80"/>
      <c r="C1013" s="563">
        <v>600</v>
      </c>
      <c r="D1013" s="907"/>
      <c r="E1013" s="906"/>
      <c r="F1013" s="921" t="str">
        <f t="shared" si="54"/>
        <v/>
      </c>
      <c r="G1013" s="882" t="str">
        <f t="shared" si="55"/>
        <v/>
      </c>
      <c r="H1013" s="925"/>
      <c r="I1013" s="919"/>
      <c r="J1013" s="919"/>
      <c r="K1013" s="919"/>
      <c r="L1013" s="919"/>
      <c r="O1013" s="339"/>
      <c r="T1013" s="75"/>
      <c r="U1013" s="75"/>
      <c r="V1013" s="75"/>
      <c r="W1013" s="75"/>
      <c r="X1013" s="75"/>
      <c r="Y1013" s="340"/>
      <c r="Z1013" s="341"/>
      <c r="AA1013" s="341"/>
      <c r="AB1013" s="341"/>
      <c r="AC1013" s="340"/>
      <c r="AD1013" s="75"/>
      <c r="AE1013" s="75"/>
      <c r="AF1013" s="75"/>
      <c r="AG1013" s="344"/>
      <c r="AH1013" s="344"/>
      <c r="AI1013" s="344"/>
      <c r="AJ1013" s="97"/>
      <c r="AK1013" s="4"/>
    </row>
    <row r="1014" spans="2:37" s="113" customFormat="1" x14ac:dyDescent="0.4">
      <c r="B1014" s="80"/>
      <c r="C1014" s="563">
        <v>601</v>
      </c>
      <c r="D1014" s="907"/>
      <c r="E1014" s="906"/>
      <c r="F1014" s="921" t="str">
        <f t="shared" si="54"/>
        <v/>
      </c>
      <c r="G1014" s="882" t="str">
        <f t="shared" si="55"/>
        <v/>
      </c>
      <c r="H1014" s="925"/>
      <c r="I1014" s="919"/>
      <c r="J1014" s="919"/>
      <c r="K1014" s="919"/>
      <c r="L1014" s="919"/>
      <c r="O1014" s="339"/>
      <c r="T1014" s="75"/>
      <c r="U1014" s="75"/>
      <c r="V1014" s="75"/>
      <c r="W1014" s="75"/>
      <c r="X1014" s="75"/>
      <c r="Y1014" s="340"/>
      <c r="Z1014" s="341"/>
      <c r="AA1014" s="341"/>
      <c r="AB1014" s="341"/>
      <c r="AC1014" s="340"/>
      <c r="AD1014" s="75"/>
      <c r="AE1014" s="75"/>
      <c r="AF1014" s="75"/>
      <c r="AG1014" s="344"/>
      <c r="AH1014" s="344"/>
      <c r="AI1014" s="344"/>
      <c r="AJ1014" s="97"/>
      <c r="AK1014" s="4"/>
    </row>
    <row r="1015" spans="2:37" s="113" customFormat="1" x14ac:dyDescent="0.4">
      <c r="B1015" s="80"/>
      <c r="C1015" s="563">
        <v>602</v>
      </c>
      <c r="D1015" s="907"/>
      <c r="E1015" s="906"/>
      <c r="F1015" s="921" t="str">
        <f t="shared" si="54"/>
        <v/>
      </c>
      <c r="G1015" s="882" t="str">
        <f t="shared" si="55"/>
        <v/>
      </c>
      <c r="H1015" s="925"/>
      <c r="I1015" s="919"/>
      <c r="J1015" s="919"/>
      <c r="K1015" s="919"/>
      <c r="L1015" s="919"/>
      <c r="O1015" s="339"/>
      <c r="T1015" s="75"/>
      <c r="U1015" s="75"/>
      <c r="V1015" s="75"/>
      <c r="W1015" s="75"/>
      <c r="X1015" s="75"/>
      <c r="Y1015" s="340"/>
      <c r="Z1015" s="341"/>
      <c r="AA1015" s="341"/>
      <c r="AB1015" s="341"/>
      <c r="AC1015" s="340"/>
      <c r="AD1015" s="75"/>
      <c r="AE1015" s="75"/>
      <c r="AF1015" s="75"/>
      <c r="AG1015" s="344"/>
      <c r="AH1015" s="344"/>
      <c r="AI1015" s="344"/>
      <c r="AJ1015" s="97"/>
      <c r="AK1015" s="4"/>
    </row>
    <row r="1016" spans="2:37" s="113" customFormat="1" x14ac:dyDescent="0.4">
      <c r="B1016" s="80"/>
      <c r="C1016" s="563">
        <v>603</v>
      </c>
      <c r="D1016" s="907"/>
      <c r="E1016" s="906"/>
      <c r="F1016" s="921" t="str">
        <f t="shared" si="54"/>
        <v/>
      </c>
      <c r="G1016" s="882" t="str">
        <f t="shared" si="55"/>
        <v/>
      </c>
      <c r="H1016" s="925"/>
      <c r="I1016" s="919"/>
      <c r="J1016" s="919"/>
      <c r="K1016" s="919"/>
      <c r="L1016" s="919"/>
      <c r="O1016" s="339"/>
      <c r="T1016" s="75"/>
      <c r="U1016" s="75"/>
      <c r="V1016" s="75"/>
      <c r="W1016" s="75"/>
      <c r="X1016" s="75"/>
      <c r="Y1016" s="340"/>
      <c r="Z1016" s="341"/>
      <c r="AA1016" s="341"/>
      <c r="AB1016" s="341"/>
      <c r="AC1016" s="340"/>
      <c r="AD1016" s="75"/>
      <c r="AE1016" s="75"/>
      <c r="AF1016" s="75"/>
      <c r="AG1016" s="344"/>
      <c r="AH1016" s="344"/>
      <c r="AI1016" s="344"/>
      <c r="AJ1016" s="97"/>
      <c r="AK1016" s="4"/>
    </row>
    <row r="1017" spans="2:37" s="113" customFormat="1" x14ac:dyDescent="0.4">
      <c r="B1017" s="80"/>
      <c r="C1017" s="563">
        <v>604</v>
      </c>
      <c r="D1017" s="907"/>
      <c r="E1017" s="906"/>
      <c r="F1017" s="921" t="str">
        <f t="shared" si="54"/>
        <v/>
      </c>
      <c r="G1017" s="882" t="str">
        <f t="shared" si="55"/>
        <v/>
      </c>
      <c r="H1017" s="925"/>
      <c r="I1017" s="919"/>
      <c r="J1017" s="919"/>
      <c r="K1017" s="919"/>
      <c r="L1017" s="919"/>
      <c r="O1017" s="339"/>
      <c r="T1017" s="75"/>
      <c r="U1017" s="75"/>
      <c r="V1017" s="75"/>
      <c r="W1017" s="75"/>
      <c r="X1017" s="75"/>
      <c r="Y1017" s="340"/>
      <c r="Z1017" s="341"/>
      <c r="AA1017" s="341"/>
      <c r="AB1017" s="341"/>
      <c r="AC1017" s="340"/>
      <c r="AD1017" s="75"/>
      <c r="AE1017" s="75"/>
      <c r="AF1017" s="75"/>
      <c r="AG1017" s="344"/>
      <c r="AH1017" s="344"/>
      <c r="AI1017" s="344"/>
      <c r="AJ1017" s="97"/>
      <c r="AK1017" s="4"/>
    </row>
    <row r="1018" spans="2:37" s="113" customFormat="1" x14ac:dyDescent="0.4">
      <c r="B1018" s="80"/>
      <c r="C1018" s="563">
        <v>605</v>
      </c>
      <c r="D1018" s="907"/>
      <c r="E1018" s="906"/>
      <c r="F1018" s="921" t="str">
        <f t="shared" si="54"/>
        <v/>
      </c>
      <c r="G1018" s="882" t="str">
        <f t="shared" si="55"/>
        <v/>
      </c>
      <c r="H1018" s="925"/>
      <c r="I1018" s="919"/>
      <c r="J1018" s="919"/>
      <c r="K1018" s="919"/>
      <c r="L1018" s="919"/>
      <c r="O1018" s="339"/>
      <c r="T1018" s="75"/>
      <c r="U1018" s="75"/>
      <c r="V1018" s="75"/>
      <c r="W1018" s="75"/>
      <c r="X1018" s="75"/>
      <c r="Y1018" s="340"/>
      <c r="Z1018" s="341"/>
      <c r="AA1018" s="341"/>
      <c r="AB1018" s="341"/>
      <c r="AC1018" s="340"/>
      <c r="AD1018" s="75"/>
      <c r="AE1018" s="75"/>
      <c r="AF1018" s="75"/>
      <c r="AG1018" s="344"/>
      <c r="AH1018" s="344"/>
      <c r="AI1018" s="344"/>
      <c r="AJ1018" s="97"/>
      <c r="AK1018" s="4"/>
    </row>
    <row r="1019" spans="2:37" s="113" customFormat="1" x14ac:dyDescent="0.4">
      <c r="B1019" s="80"/>
      <c r="C1019" s="563">
        <v>606</v>
      </c>
      <c r="D1019" s="907"/>
      <c r="E1019" s="906"/>
      <c r="F1019" s="921" t="str">
        <f t="shared" si="54"/>
        <v/>
      </c>
      <c r="G1019" s="882" t="str">
        <f t="shared" si="55"/>
        <v/>
      </c>
      <c r="H1019" s="925"/>
      <c r="I1019" s="919"/>
      <c r="J1019" s="919"/>
      <c r="K1019" s="919"/>
      <c r="L1019" s="919"/>
      <c r="O1019" s="339"/>
      <c r="T1019" s="75"/>
      <c r="U1019" s="75"/>
      <c r="V1019" s="75"/>
      <c r="W1019" s="75"/>
      <c r="X1019" s="75"/>
      <c r="Y1019" s="340"/>
      <c r="Z1019" s="341"/>
      <c r="AA1019" s="341"/>
      <c r="AB1019" s="341"/>
      <c r="AC1019" s="340"/>
      <c r="AD1019" s="75"/>
      <c r="AE1019" s="75"/>
      <c r="AF1019" s="75"/>
      <c r="AG1019" s="344"/>
      <c r="AH1019" s="344"/>
      <c r="AI1019" s="344"/>
      <c r="AJ1019" s="97"/>
      <c r="AK1019" s="4"/>
    </row>
    <row r="1020" spans="2:37" s="113" customFormat="1" x14ac:dyDescent="0.4">
      <c r="B1020" s="80"/>
      <c r="C1020" s="563">
        <v>607</v>
      </c>
      <c r="D1020" s="907"/>
      <c r="E1020" s="906"/>
      <c r="F1020" s="921" t="str">
        <f t="shared" si="54"/>
        <v/>
      </c>
      <c r="G1020" s="882" t="str">
        <f t="shared" si="55"/>
        <v/>
      </c>
      <c r="H1020" s="925"/>
      <c r="I1020" s="919"/>
      <c r="J1020" s="919"/>
      <c r="K1020" s="919"/>
      <c r="L1020" s="919"/>
      <c r="O1020" s="339"/>
      <c r="T1020" s="75"/>
      <c r="U1020" s="75"/>
      <c r="V1020" s="75"/>
      <c r="W1020" s="75"/>
      <c r="X1020" s="75"/>
      <c r="Y1020" s="340"/>
      <c r="Z1020" s="341"/>
      <c r="AA1020" s="341"/>
      <c r="AB1020" s="341"/>
      <c r="AC1020" s="340"/>
      <c r="AD1020" s="75"/>
      <c r="AE1020" s="75"/>
      <c r="AF1020" s="75"/>
      <c r="AG1020" s="344"/>
      <c r="AH1020" s="344"/>
      <c r="AI1020" s="344"/>
      <c r="AJ1020" s="97"/>
      <c r="AK1020" s="4"/>
    </row>
    <row r="1021" spans="2:37" s="113" customFormat="1" x14ac:dyDescent="0.4">
      <c r="B1021" s="80"/>
      <c r="C1021" s="563">
        <v>608</v>
      </c>
      <c r="D1021" s="907"/>
      <c r="E1021" s="906"/>
      <c r="F1021" s="921" t="str">
        <f t="shared" si="54"/>
        <v/>
      </c>
      <c r="G1021" s="882" t="str">
        <f t="shared" si="55"/>
        <v/>
      </c>
      <c r="H1021" s="925"/>
      <c r="I1021" s="919"/>
      <c r="J1021" s="919"/>
      <c r="K1021" s="919"/>
      <c r="L1021" s="919"/>
      <c r="O1021" s="339"/>
      <c r="T1021" s="75"/>
      <c r="U1021" s="75"/>
      <c r="V1021" s="75"/>
      <c r="W1021" s="75"/>
      <c r="X1021" s="75"/>
      <c r="Y1021" s="340"/>
      <c r="Z1021" s="341"/>
      <c r="AA1021" s="341"/>
      <c r="AB1021" s="341"/>
      <c r="AC1021" s="340"/>
      <c r="AD1021" s="75"/>
      <c r="AE1021" s="75"/>
      <c r="AF1021" s="75"/>
      <c r="AG1021" s="344"/>
      <c r="AH1021" s="344"/>
      <c r="AI1021" s="344"/>
      <c r="AJ1021" s="97"/>
      <c r="AK1021" s="4"/>
    </row>
    <row r="1022" spans="2:37" s="113" customFormat="1" x14ac:dyDescent="0.4">
      <c r="B1022" s="80"/>
      <c r="C1022" s="563">
        <v>609</v>
      </c>
      <c r="D1022" s="907"/>
      <c r="E1022" s="906"/>
      <c r="F1022" s="921" t="str">
        <f t="shared" si="54"/>
        <v/>
      </c>
      <c r="G1022" s="882" t="str">
        <f t="shared" si="55"/>
        <v/>
      </c>
      <c r="H1022" s="925"/>
      <c r="I1022" s="919"/>
      <c r="J1022" s="919"/>
      <c r="K1022" s="919"/>
      <c r="L1022" s="919"/>
      <c r="O1022" s="339"/>
      <c r="T1022" s="75"/>
      <c r="U1022" s="75"/>
      <c r="V1022" s="75"/>
      <c r="W1022" s="75"/>
      <c r="X1022" s="75"/>
      <c r="Y1022" s="340"/>
      <c r="Z1022" s="341"/>
      <c r="AA1022" s="341"/>
      <c r="AB1022" s="341"/>
      <c r="AC1022" s="340"/>
      <c r="AD1022" s="75"/>
      <c r="AE1022" s="75"/>
      <c r="AF1022" s="75"/>
      <c r="AG1022" s="344"/>
      <c r="AH1022" s="344"/>
      <c r="AI1022" s="344"/>
      <c r="AJ1022" s="97"/>
      <c r="AK1022" s="4"/>
    </row>
    <row r="1023" spans="2:37" s="113" customFormat="1" x14ac:dyDescent="0.4">
      <c r="B1023" s="80"/>
      <c r="C1023" s="563">
        <v>610</v>
      </c>
      <c r="D1023" s="907"/>
      <c r="E1023" s="906"/>
      <c r="F1023" s="921" t="str">
        <f t="shared" si="54"/>
        <v/>
      </c>
      <c r="G1023" s="882" t="str">
        <f t="shared" si="55"/>
        <v/>
      </c>
      <c r="H1023" s="925"/>
      <c r="I1023" s="919"/>
      <c r="J1023" s="919"/>
      <c r="K1023" s="919"/>
      <c r="L1023" s="919"/>
      <c r="O1023" s="339"/>
      <c r="T1023" s="75"/>
      <c r="U1023" s="75"/>
      <c r="V1023" s="75"/>
      <c r="W1023" s="75"/>
      <c r="X1023" s="75"/>
      <c r="Y1023" s="340"/>
      <c r="Z1023" s="341"/>
      <c r="AA1023" s="341"/>
      <c r="AB1023" s="341"/>
      <c r="AC1023" s="340"/>
      <c r="AD1023" s="75"/>
      <c r="AE1023" s="75"/>
      <c r="AF1023" s="75"/>
      <c r="AG1023" s="344"/>
      <c r="AH1023" s="344"/>
      <c r="AI1023" s="344"/>
      <c r="AJ1023" s="97"/>
      <c r="AK1023" s="4"/>
    </row>
    <row r="1024" spans="2:37" s="113" customFormat="1" x14ac:dyDescent="0.4">
      <c r="B1024" s="80"/>
      <c r="C1024" s="563">
        <v>611</v>
      </c>
      <c r="D1024" s="907"/>
      <c r="E1024" s="906"/>
      <c r="F1024" s="921" t="str">
        <f t="shared" si="54"/>
        <v/>
      </c>
      <c r="G1024" s="882" t="str">
        <f t="shared" si="55"/>
        <v/>
      </c>
      <c r="H1024" s="925"/>
      <c r="I1024" s="919"/>
      <c r="J1024" s="919"/>
      <c r="K1024" s="919"/>
      <c r="L1024" s="919"/>
      <c r="O1024" s="339"/>
      <c r="T1024" s="75"/>
      <c r="U1024" s="75"/>
      <c r="V1024" s="75"/>
      <c r="W1024" s="75"/>
      <c r="X1024" s="75"/>
      <c r="Y1024" s="340"/>
      <c r="Z1024" s="341"/>
      <c r="AA1024" s="341"/>
      <c r="AB1024" s="341"/>
      <c r="AC1024" s="340"/>
      <c r="AD1024" s="75"/>
      <c r="AE1024" s="75"/>
      <c r="AF1024" s="75"/>
      <c r="AG1024" s="344"/>
      <c r="AH1024" s="344"/>
      <c r="AI1024" s="344"/>
      <c r="AJ1024" s="97"/>
      <c r="AK1024" s="4"/>
    </row>
    <row r="1025" spans="2:37" s="113" customFormat="1" x14ac:dyDescent="0.4">
      <c r="B1025" s="80"/>
      <c r="C1025" s="563">
        <v>612</v>
      </c>
      <c r="D1025" s="907"/>
      <c r="E1025" s="906"/>
      <c r="F1025" s="921" t="str">
        <f t="shared" si="54"/>
        <v/>
      </c>
      <c r="G1025" s="882" t="str">
        <f t="shared" si="55"/>
        <v/>
      </c>
      <c r="H1025" s="925"/>
      <c r="I1025" s="919"/>
      <c r="J1025" s="919"/>
      <c r="K1025" s="919"/>
      <c r="L1025" s="919"/>
      <c r="O1025" s="339"/>
      <c r="T1025" s="75"/>
      <c r="U1025" s="75"/>
      <c r="V1025" s="75"/>
      <c r="W1025" s="75"/>
      <c r="X1025" s="75"/>
      <c r="Y1025" s="340"/>
      <c r="Z1025" s="341"/>
      <c r="AA1025" s="341"/>
      <c r="AB1025" s="341"/>
      <c r="AC1025" s="340"/>
      <c r="AD1025" s="75"/>
      <c r="AE1025" s="75"/>
      <c r="AF1025" s="75"/>
      <c r="AG1025" s="344"/>
      <c r="AH1025" s="344"/>
      <c r="AI1025" s="344"/>
      <c r="AJ1025" s="97"/>
      <c r="AK1025" s="4"/>
    </row>
    <row r="1026" spans="2:37" s="113" customFormat="1" x14ac:dyDescent="0.4">
      <c r="B1026" s="80"/>
      <c r="C1026" s="563">
        <v>613</v>
      </c>
      <c r="D1026" s="907"/>
      <c r="E1026" s="906"/>
      <c r="F1026" s="921" t="str">
        <f t="shared" si="54"/>
        <v/>
      </c>
      <c r="G1026" s="882" t="str">
        <f t="shared" si="55"/>
        <v/>
      </c>
      <c r="H1026" s="925"/>
      <c r="I1026" s="919"/>
      <c r="J1026" s="919"/>
      <c r="K1026" s="919"/>
      <c r="L1026" s="919"/>
      <c r="O1026" s="339"/>
      <c r="T1026" s="75"/>
      <c r="U1026" s="75"/>
      <c r="V1026" s="75"/>
      <c r="W1026" s="75"/>
      <c r="X1026" s="75"/>
      <c r="Y1026" s="340"/>
      <c r="Z1026" s="341"/>
      <c r="AA1026" s="341"/>
      <c r="AB1026" s="341"/>
      <c r="AC1026" s="340"/>
      <c r="AD1026" s="75"/>
      <c r="AE1026" s="75"/>
      <c r="AF1026" s="75"/>
      <c r="AG1026" s="344"/>
      <c r="AH1026" s="344"/>
      <c r="AI1026" s="344"/>
      <c r="AJ1026" s="97"/>
      <c r="AK1026" s="4"/>
    </row>
    <row r="1027" spans="2:37" s="113" customFormat="1" x14ac:dyDescent="0.4">
      <c r="B1027" s="80"/>
      <c r="C1027" s="563">
        <v>614</v>
      </c>
      <c r="D1027" s="907"/>
      <c r="E1027" s="906"/>
      <c r="F1027" s="921" t="str">
        <f t="shared" si="54"/>
        <v/>
      </c>
      <c r="G1027" s="882" t="str">
        <f t="shared" si="55"/>
        <v/>
      </c>
      <c r="H1027" s="925"/>
      <c r="I1027" s="919"/>
      <c r="J1027" s="919"/>
      <c r="K1027" s="919"/>
      <c r="L1027" s="919"/>
      <c r="O1027" s="339"/>
      <c r="T1027" s="75"/>
      <c r="U1027" s="75"/>
      <c r="V1027" s="75"/>
      <c r="W1027" s="75"/>
      <c r="X1027" s="75"/>
      <c r="Y1027" s="340"/>
      <c r="Z1027" s="341"/>
      <c r="AA1027" s="341"/>
      <c r="AB1027" s="341"/>
      <c r="AC1027" s="340"/>
      <c r="AD1027" s="75"/>
      <c r="AE1027" s="75"/>
      <c r="AF1027" s="75"/>
      <c r="AG1027" s="344"/>
      <c r="AH1027" s="344"/>
      <c r="AI1027" s="344"/>
      <c r="AJ1027" s="97"/>
      <c r="AK1027" s="4"/>
    </row>
    <row r="1028" spans="2:37" s="113" customFormat="1" x14ac:dyDescent="0.4">
      <c r="B1028" s="80"/>
      <c r="C1028" s="563">
        <v>615</v>
      </c>
      <c r="D1028" s="907"/>
      <c r="E1028" s="906"/>
      <c r="F1028" s="921" t="str">
        <f t="shared" si="54"/>
        <v/>
      </c>
      <c r="G1028" s="882" t="str">
        <f t="shared" si="55"/>
        <v/>
      </c>
      <c r="H1028" s="925"/>
      <c r="I1028" s="919"/>
      <c r="J1028" s="919"/>
      <c r="K1028" s="919"/>
      <c r="L1028" s="919"/>
      <c r="O1028" s="339"/>
      <c r="T1028" s="75"/>
      <c r="U1028" s="75"/>
      <c r="V1028" s="75"/>
      <c r="W1028" s="75"/>
      <c r="X1028" s="75"/>
      <c r="Y1028" s="340"/>
      <c r="Z1028" s="341"/>
      <c r="AA1028" s="341"/>
      <c r="AB1028" s="341"/>
      <c r="AC1028" s="340"/>
      <c r="AD1028" s="75"/>
      <c r="AE1028" s="75"/>
      <c r="AF1028" s="75"/>
      <c r="AG1028" s="344"/>
      <c r="AH1028" s="344"/>
      <c r="AI1028" s="344"/>
      <c r="AJ1028" s="97"/>
      <c r="AK1028" s="4"/>
    </row>
    <row r="1029" spans="2:37" s="113" customFormat="1" x14ac:dyDescent="0.4">
      <c r="B1029" s="80"/>
      <c r="C1029" s="563">
        <v>616</v>
      </c>
      <c r="D1029" s="907"/>
      <c r="E1029" s="906"/>
      <c r="F1029" s="921" t="str">
        <f t="shared" si="54"/>
        <v/>
      </c>
      <c r="G1029" s="882" t="str">
        <f t="shared" si="55"/>
        <v/>
      </c>
      <c r="H1029" s="925"/>
      <c r="I1029" s="919"/>
      <c r="J1029" s="919"/>
      <c r="K1029" s="919"/>
      <c r="L1029" s="919"/>
      <c r="O1029" s="339"/>
      <c r="T1029" s="75"/>
      <c r="U1029" s="75"/>
      <c r="V1029" s="75"/>
      <c r="W1029" s="75"/>
      <c r="X1029" s="75"/>
      <c r="Y1029" s="340"/>
      <c r="Z1029" s="341"/>
      <c r="AA1029" s="341"/>
      <c r="AB1029" s="341"/>
      <c r="AC1029" s="340"/>
      <c r="AD1029" s="75"/>
      <c r="AE1029" s="75"/>
      <c r="AF1029" s="75"/>
      <c r="AG1029" s="344"/>
      <c r="AH1029" s="344"/>
      <c r="AI1029" s="344"/>
      <c r="AJ1029" s="97"/>
      <c r="AK1029" s="4"/>
    </row>
    <row r="1030" spans="2:37" s="113" customFormat="1" x14ac:dyDescent="0.4">
      <c r="B1030" s="80"/>
      <c r="C1030" s="563">
        <v>617</v>
      </c>
      <c r="D1030" s="907"/>
      <c r="E1030" s="906"/>
      <c r="F1030" s="921" t="str">
        <f t="shared" si="54"/>
        <v/>
      </c>
      <c r="G1030" s="882" t="str">
        <f t="shared" si="55"/>
        <v/>
      </c>
      <c r="H1030" s="925"/>
      <c r="I1030" s="919"/>
      <c r="J1030" s="919"/>
      <c r="K1030" s="919"/>
      <c r="L1030" s="919"/>
      <c r="O1030" s="339"/>
      <c r="T1030" s="75"/>
      <c r="U1030" s="75"/>
      <c r="V1030" s="75"/>
      <c r="W1030" s="75"/>
      <c r="X1030" s="75"/>
      <c r="Y1030" s="340"/>
      <c r="Z1030" s="341"/>
      <c r="AA1030" s="341"/>
      <c r="AB1030" s="341"/>
      <c r="AC1030" s="340"/>
      <c r="AD1030" s="75"/>
      <c r="AE1030" s="75"/>
      <c r="AF1030" s="75"/>
      <c r="AG1030" s="344"/>
      <c r="AH1030" s="344"/>
      <c r="AI1030" s="344"/>
      <c r="AJ1030" s="97"/>
      <c r="AK1030" s="4"/>
    </row>
    <row r="1031" spans="2:37" s="113" customFormat="1" x14ac:dyDescent="0.4">
      <c r="B1031" s="80"/>
      <c r="C1031" s="563">
        <v>618</v>
      </c>
      <c r="D1031" s="907"/>
      <c r="E1031" s="906"/>
      <c r="F1031" s="921" t="str">
        <f t="shared" si="54"/>
        <v/>
      </c>
      <c r="G1031" s="882" t="str">
        <f t="shared" si="55"/>
        <v/>
      </c>
      <c r="H1031" s="925"/>
      <c r="I1031" s="919"/>
      <c r="J1031" s="919"/>
      <c r="K1031" s="919"/>
      <c r="L1031" s="919"/>
      <c r="O1031" s="339"/>
      <c r="T1031" s="75"/>
      <c r="U1031" s="75"/>
      <c r="V1031" s="75"/>
      <c r="W1031" s="75"/>
      <c r="X1031" s="75"/>
      <c r="Y1031" s="340"/>
      <c r="Z1031" s="341"/>
      <c r="AA1031" s="341"/>
      <c r="AB1031" s="341"/>
      <c r="AC1031" s="340"/>
      <c r="AD1031" s="75"/>
      <c r="AE1031" s="75"/>
      <c r="AF1031" s="75"/>
      <c r="AG1031" s="344"/>
      <c r="AH1031" s="344"/>
      <c r="AI1031" s="344"/>
      <c r="AJ1031" s="97"/>
      <c r="AK1031" s="4"/>
    </row>
    <row r="1032" spans="2:37" s="113" customFormat="1" x14ac:dyDescent="0.4">
      <c r="B1032" s="80"/>
      <c r="C1032" s="563">
        <v>619</v>
      </c>
      <c r="D1032" s="907"/>
      <c r="E1032" s="906"/>
      <c r="F1032" s="921" t="str">
        <f t="shared" si="54"/>
        <v/>
      </c>
      <c r="G1032" s="882" t="str">
        <f t="shared" si="55"/>
        <v/>
      </c>
      <c r="H1032" s="925"/>
      <c r="I1032" s="919"/>
      <c r="J1032" s="919"/>
      <c r="K1032" s="919"/>
      <c r="L1032" s="919"/>
      <c r="O1032" s="339"/>
      <c r="T1032" s="75"/>
      <c r="U1032" s="75"/>
      <c r="V1032" s="75"/>
      <c r="W1032" s="75"/>
      <c r="X1032" s="75"/>
      <c r="Y1032" s="340"/>
      <c r="Z1032" s="341"/>
      <c r="AA1032" s="341"/>
      <c r="AB1032" s="341"/>
      <c r="AC1032" s="340"/>
      <c r="AD1032" s="75"/>
      <c r="AE1032" s="75"/>
      <c r="AF1032" s="75"/>
      <c r="AG1032" s="344"/>
      <c r="AH1032" s="344"/>
      <c r="AI1032" s="344"/>
      <c r="AJ1032" s="97"/>
      <c r="AK1032" s="4"/>
    </row>
    <row r="1033" spans="2:37" s="113" customFormat="1" x14ac:dyDescent="0.4">
      <c r="B1033" s="80"/>
      <c r="C1033" s="563">
        <v>620</v>
      </c>
      <c r="D1033" s="907"/>
      <c r="E1033" s="906"/>
      <c r="F1033" s="921" t="str">
        <f t="shared" si="54"/>
        <v/>
      </c>
      <c r="G1033" s="882" t="str">
        <f t="shared" si="55"/>
        <v/>
      </c>
      <c r="H1033" s="925"/>
      <c r="I1033" s="919"/>
      <c r="J1033" s="919"/>
      <c r="K1033" s="919"/>
      <c r="L1033" s="919"/>
      <c r="O1033" s="339"/>
      <c r="T1033" s="75"/>
      <c r="U1033" s="75"/>
      <c r="V1033" s="75"/>
      <c r="W1033" s="75"/>
      <c r="X1033" s="75"/>
      <c r="Y1033" s="340"/>
      <c r="Z1033" s="341"/>
      <c r="AA1033" s="341"/>
      <c r="AB1033" s="341"/>
      <c r="AC1033" s="340"/>
      <c r="AD1033" s="75"/>
      <c r="AE1033" s="75"/>
      <c r="AF1033" s="75"/>
      <c r="AG1033" s="344"/>
      <c r="AH1033" s="344"/>
      <c r="AI1033" s="344"/>
      <c r="AJ1033" s="97"/>
      <c r="AK1033" s="4"/>
    </row>
    <row r="1034" spans="2:37" s="113" customFormat="1" x14ac:dyDescent="0.4">
      <c r="B1034" s="80"/>
      <c r="C1034" s="563">
        <v>621</v>
      </c>
      <c r="D1034" s="907"/>
      <c r="E1034" s="906"/>
      <c r="F1034" s="921" t="str">
        <f t="shared" si="54"/>
        <v/>
      </c>
      <c r="G1034" s="882" t="str">
        <f t="shared" si="55"/>
        <v/>
      </c>
      <c r="H1034" s="925"/>
      <c r="I1034" s="919"/>
      <c r="J1034" s="919"/>
      <c r="K1034" s="919"/>
      <c r="L1034" s="919"/>
      <c r="O1034" s="339"/>
      <c r="T1034" s="75"/>
      <c r="U1034" s="75"/>
      <c r="V1034" s="75"/>
      <c r="W1034" s="75"/>
      <c r="X1034" s="75"/>
      <c r="Y1034" s="340"/>
      <c r="Z1034" s="341"/>
      <c r="AA1034" s="341"/>
      <c r="AB1034" s="341"/>
      <c r="AC1034" s="340"/>
      <c r="AD1034" s="75"/>
      <c r="AE1034" s="75"/>
      <c r="AF1034" s="75"/>
      <c r="AG1034" s="344"/>
      <c r="AH1034" s="344"/>
      <c r="AI1034" s="344"/>
      <c r="AJ1034" s="97"/>
      <c r="AK1034" s="4"/>
    </row>
    <row r="1035" spans="2:37" s="113" customFormat="1" x14ac:dyDescent="0.4">
      <c r="B1035" s="80"/>
      <c r="C1035" s="563">
        <v>622</v>
      </c>
      <c r="D1035" s="907"/>
      <c r="E1035" s="906"/>
      <c r="F1035" s="921" t="str">
        <f t="shared" si="54"/>
        <v/>
      </c>
      <c r="G1035" s="882" t="str">
        <f t="shared" si="55"/>
        <v/>
      </c>
      <c r="H1035" s="925"/>
      <c r="I1035" s="919"/>
      <c r="J1035" s="919"/>
      <c r="K1035" s="919"/>
      <c r="L1035" s="919"/>
      <c r="O1035" s="339"/>
      <c r="T1035" s="75"/>
      <c r="U1035" s="75"/>
      <c r="V1035" s="75"/>
      <c r="W1035" s="75"/>
      <c r="X1035" s="75"/>
      <c r="Y1035" s="340"/>
      <c r="Z1035" s="341"/>
      <c r="AA1035" s="341"/>
      <c r="AB1035" s="341"/>
      <c r="AC1035" s="340"/>
      <c r="AD1035" s="75"/>
      <c r="AE1035" s="75"/>
      <c r="AF1035" s="75"/>
      <c r="AG1035" s="344"/>
      <c r="AH1035" s="344"/>
      <c r="AI1035" s="344"/>
      <c r="AJ1035" s="97"/>
      <c r="AK1035" s="4"/>
    </row>
    <row r="1036" spans="2:37" s="113" customFormat="1" x14ac:dyDescent="0.4">
      <c r="B1036" s="80"/>
      <c r="C1036" s="563">
        <v>623</v>
      </c>
      <c r="D1036" s="907"/>
      <c r="E1036" s="906"/>
      <c r="F1036" s="921" t="str">
        <f t="shared" si="54"/>
        <v/>
      </c>
      <c r="G1036" s="882" t="str">
        <f t="shared" si="55"/>
        <v/>
      </c>
      <c r="H1036" s="925"/>
      <c r="I1036" s="919"/>
      <c r="J1036" s="919"/>
      <c r="K1036" s="919"/>
      <c r="L1036" s="919"/>
      <c r="O1036" s="339"/>
      <c r="T1036" s="75"/>
      <c r="U1036" s="75"/>
      <c r="V1036" s="75"/>
      <c r="W1036" s="75"/>
      <c r="X1036" s="75"/>
      <c r="Y1036" s="340"/>
      <c r="Z1036" s="341"/>
      <c r="AA1036" s="341"/>
      <c r="AB1036" s="341"/>
      <c r="AC1036" s="340"/>
      <c r="AD1036" s="75"/>
      <c r="AE1036" s="75"/>
      <c r="AF1036" s="75"/>
      <c r="AG1036" s="344"/>
      <c r="AH1036" s="344"/>
      <c r="AI1036" s="344"/>
      <c r="AJ1036" s="97"/>
      <c r="AK1036" s="4"/>
    </row>
    <row r="1037" spans="2:37" s="113" customFormat="1" x14ac:dyDescent="0.4">
      <c r="B1037" s="80"/>
      <c r="C1037" s="563">
        <v>624</v>
      </c>
      <c r="D1037" s="907"/>
      <c r="E1037" s="906"/>
      <c r="F1037" s="921" t="str">
        <f t="shared" si="54"/>
        <v/>
      </c>
      <c r="G1037" s="882" t="str">
        <f t="shared" si="55"/>
        <v/>
      </c>
      <c r="H1037" s="925"/>
      <c r="I1037" s="919"/>
      <c r="J1037" s="919"/>
      <c r="K1037" s="919"/>
      <c r="L1037" s="919"/>
      <c r="O1037" s="339"/>
      <c r="T1037" s="75"/>
      <c r="U1037" s="75"/>
      <c r="V1037" s="75"/>
      <c r="W1037" s="75"/>
      <c r="X1037" s="75"/>
      <c r="Y1037" s="340"/>
      <c r="Z1037" s="341"/>
      <c r="AA1037" s="341"/>
      <c r="AB1037" s="341"/>
      <c r="AC1037" s="340"/>
      <c r="AD1037" s="75"/>
      <c r="AE1037" s="75"/>
      <c r="AF1037" s="75"/>
      <c r="AG1037" s="344"/>
      <c r="AH1037" s="344"/>
      <c r="AI1037" s="344"/>
      <c r="AJ1037" s="97"/>
      <c r="AK1037" s="4"/>
    </row>
    <row r="1038" spans="2:37" s="113" customFormat="1" x14ac:dyDescent="0.4">
      <c r="B1038" s="80"/>
      <c r="C1038" s="563">
        <v>625</v>
      </c>
      <c r="D1038" s="907"/>
      <c r="E1038" s="906"/>
      <c r="F1038" s="921" t="str">
        <f t="shared" si="54"/>
        <v/>
      </c>
      <c r="G1038" s="882" t="str">
        <f t="shared" si="55"/>
        <v/>
      </c>
      <c r="H1038" s="925"/>
      <c r="I1038" s="919"/>
      <c r="J1038" s="919"/>
      <c r="K1038" s="919"/>
      <c r="L1038" s="919"/>
      <c r="O1038" s="339"/>
      <c r="T1038" s="75"/>
      <c r="U1038" s="75"/>
      <c r="V1038" s="75"/>
      <c r="W1038" s="75"/>
      <c r="X1038" s="75"/>
      <c r="Y1038" s="340"/>
      <c r="Z1038" s="341"/>
      <c r="AA1038" s="341"/>
      <c r="AB1038" s="341"/>
      <c r="AC1038" s="340"/>
      <c r="AD1038" s="75"/>
      <c r="AE1038" s="75"/>
      <c r="AF1038" s="75"/>
      <c r="AG1038" s="344"/>
      <c r="AH1038" s="344"/>
      <c r="AI1038" s="344"/>
      <c r="AJ1038" s="97"/>
      <c r="AK1038" s="4"/>
    </row>
    <row r="1039" spans="2:37" s="113" customFormat="1" x14ac:dyDescent="0.4">
      <c r="B1039" s="80"/>
      <c r="C1039" s="563">
        <v>626</v>
      </c>
      <c r="D1039" s="907"/>
      <c r="E1039" s="906"/>
      <c r="F1039" s="921" t="str">
        <f t="shared" si="54"/>
        <v/>
      </c>
      <c r="G1039" s="882" t="str">
        <f t="shared" si="55"/>
        <v/>
      </c>
      <c r="H1039" s="925"/>
      <c r="I1039" s="919"/>
      <c r="J1039" s="919"/>
      <c r="K1039" s="919"/>
      <c r="L1039" s="919"/>
      <c r="O1039" s="339"/>
      <c r="T1039" s="75"/>
      <c r="U1039" s="75"/>
      <c r="V1039" s="75"/>
      <c r="W1039" s="75"/>
      <c r="X1039" s="75"/>
      <c r="Y1039" s="340"/>
      <c r="Z1039" s="341"/>
      <c r="AA1039" s="341"/>
      <c r="AB1039" s="341"/>
      <c r="AC1039" s="340"/>
      <c r="AD1039" s="75"/>
      <c r="AE1039" s="75"/>
      <c r="AF1039" s="75"/>
      <c r="AG1039" s="344"/>
      <c r="AH1039" s="344"/>
      <c r="AI1039" s="344"/>
      <c r="AJ1039" s="97"/>
      <c r="AK1039" s="4"/>
    </row>
    <row r="1040" spans="2:37" s="113" customFormat="1" x14ac:dyDescent="0.4">
      <c r="B1040" s="80"/>
      <c r="C1040" s="563">
        <v>627</v>
      </c>
      <c r="D1040" s="907"/>
      <c r="E1040" s="906"/>
      <c r="F1040" s="921" t="str">
        <f t="shared" si="54"/>
        <v/>
      </c>
      <c r="G1040" s="882" t="str">
        <f t="shared" si="55"/>
        <v/>
      </c>
      <c r="H1040" s="925"/>
      <c r="I1040" s="919"/>
      <c r="J1040" s="919"/>
      <c r="K1040" s="919"/>
      <c r="L1040" s="919"/>
      <c r="O1040" s="339"/>
      <c r="T1040" s="75"/>
      <c r="U1040" s="75"/>
      <c r="V1040" s="75"/>
      <c r="W1040" s="75"/>
      <c r="X1040" s="75"/>
      <c r="Y1040" s="340"/>
      <c r="Z1040" s="341"/>
      <c r="AA1040" s="341"/>
      <c r="AB1040" s="341"/>
      <c r="AC1040" s="340"/>
      <c r="AD1040" s="75"/>
      <c r="AE1040" s="75"/>
      <c r="AF1040" s="75"/>
      <c r="AG1040" s="344"/>
      <c r="AH1040" s="344"/>
      <c r="AI1040" s="344"/>
      <c r="AJ1040" s="97"/>
      <c r="AK1040" s="4"/>
    </row>
    <row r="1041" spans="2:37" s="113" customFormat="1" x14ac:dyDescent="0.4">
      <c r="B1041" s="80"/>
      <c r="C1041" s="563">
        <v>628</v>
      </c>
      <c r="D1041" s="907"/>
      <c r="E1041" s="906"/>
      <c r="F1041" s="921" t="str">
        <f t="shared" si="54"/>
        <v/>
      </c>
      <c r="G1041" s="882" t="str">
        <f t="shared" si="55"/>
        <v/>
      </c>
      <c r="H1041" s="925"/>
      <c r="I1041" s="919"/>
      <c r="J1041" s="919"/>
      <c r="K1041" s="919"/>
      <c r="L1041" s="919"/>
      <c r="O1041" s="339"/>
      <c r="T1041" s="75"/>
      <c r="U1041" s="75"/>
      <c r="V1041" s="75"/>
      <c r="W1041" s="75"/>
      <c r="X1041" s="75"/>
      <c r="Y1041" s="340"/>
      <c r="Z1041" s="341"/>
      <c r="AA1041" s="341"/>
      <c r="AB1041" s="341"/>
      <c r="AC1041" s="340"/>
      <c r="AD1041" s="75"/>
      <c r="AE1041" s="75"/>
      <c r="AF1041" s="75"/>
      <c r="AG1041" s="344"/>
      <c r="AH1041" s="344"/>
      <c r="AI1041" s="344"/>
      <c r="AJ1041" s="97"/>
      <c r="AK1041" s="4"/>
    </row>
    <row r="1042" spans="2:37" s="113" customFormat="1" x14ac:dyDescent="0.4">
      <c r="B1042" s="80"/>
      <c r="C1042" s="563">
        <v>629</v>
      </c>
      <c r="D1042" s="907"/>
      <c r="E1042" s="906"/>
      <c r="F1042" s="921" t="str">
        <f t="shared" si="54"/>
        <v/>
      </c>
      <c r="G1042" s="882" t="str">
        <f t="shared" si="55"/>
        <v/>
      </c>
      <c r="H1042" s="919"/>
      <c r="I1042" s="919"/>
      <c r="J1042" s="919"/>
      <c r="K1042" s="919"/>
      <c r="L1042" s="919"/>
      <c r="O1042" s="339"/>
      <c r="T1042" s="75"/>
      <c r="U1042" s="75"/>
      <c r="V1042" s="75"/>
      <c r="W1042" s="75"/>
      <c r="X1042" s="75"/>
      <c r="Y1042" s="340"/>
      <c r="Z1042" s="341"/>
      <c r="AA1042" s="341"/>
      <c r="AB1042" s="341"/>
      <c r="AC1042" s="340"/>
      <c r="AD1042" s="75"/>
      <c r="AE1042" s="75"/>
      <c r="AF1042" s="75"/>
      <c r="AG1042" s="344"/>
      <c r="AH1042" s="344"/>
      <c r="AI1042" s="344"/>
      <c r="AJ1042" s="97"/>
      <c r="AK1042" s="4"/>
    </row>
    <row r="1043" spans="2:37" s="113" customFormat="1" x14ac:dyDescent="0.4">
      <c r="B1043" s="80"/>
      <c r="C1043" s="563">
        <v>630</v>
      </c>
      <c r="D1043" s="907"/>
      <c r="E1043" s="906"/>
      <c r="F1043" s="921" t="str">
        <f t="shared" si="54"/>
        <v/>
      </c>
      <c r="G1043" s="882" t="str">
        <f t="shared" si="55"/>
        <v/>
      </c>
      <c r="H1043" s="919"/>
      <c r="I1043" s="919"/>
      <c r="J1043" s="919"/>
      <c r="K1043" s="919"/>
      <c r="L1043" s="919"/>
      <c r="O1043" s="339"/>
      <c r="T1043" s="75"/>
      <c r="U1043" s="75"/>
      <c r="V1043" s="75"/>
      <c r="W1043" s="75"/>
      <c r="X1043" s="75"/>
      <c r="Y1043" s="340"/>
      <c r="Z1043" s="341"/>
      <c r="AA1043" s="341"/>
      <c r="AB1043" s="341"/>
      <c r="AC1043" s="340"/>
      <c r="AD1043" s="75"/>
      <c r="AE1043" s="75"/>
      <c r="AF1043" s="75"/>
      <c r="AG1043" s="344"/>
      <c r="AH1043" s="344"/>
      <c r="AI1043" s="344"/>
      <c r="AJ1043" s="97"/>
      <c r="AK1043" s="4"/>
    </row>
    <row r="1044" spans="2:37" s="113" customFormat="1" x14ac:dyDescent="0.4">
      <c r="B1044" s="80"/>
      <c r="C1044" s="563">
        <v>631</v>
      </c>
      <c r="D1044" s="907"/>
      <c r="E1044" s="906"/>
      <c r="F1044" s="921" t="str">
        <f t="shared" si="54"/>
        <v/>
      </c>
      <c r="G1044" s="882" t="str">
        <f t="shared" si="55"/>
        <v/>
      </c>
      <c r="H1044" s="919"/>
      <c r="I1044" s="919"/>
      <c r="J1044" s="919"/>
      <c r="K1044" s="919"/>
      <c r="L1044" s="919"/>
      <c r="O1044" s="339"/>
      <c r="T1044" s="75"/>
      <c r="U1044" s="75"/>
      <c r="V1044" s="75"/>
      <c r="W1044" s="75"/>
      <c r="X1044" s="75"/>
      <c r="Y1044" s="340"/>
      <c r="Z1044" s="341"/>
      <c r="AA1044" s="341"/>
      <c r="AB1044" s="341"/>
      <c r="AC1044" s="340"/>
      <c r="AD1044" s="75"/>
      <c r="AE1044" s="75"/>
      <c r="AF1044" s="75"/>
      <c r="AG1044" s="344"/>
      <c r="AH1044" s="344"/>
      <c r="AI1044" s="344"/>
      <c r="AJ1044" s="97"/>
      <c r="AK1044" s="4"/>
    </row>
    <row r="1045" spans="2:37" s="113" customFormat="1" x14ac:dyDescent="0.4">
      <c r="B1045" s="80"/>
      <c r="C1045" s="563">
        <v>632</v>
      </c>
      <c r="D1045" s="907"/>
      <c r="E1045" s="906"/>
      <c r="F1045" s="921" t="str">
        <f t="shared" si="54"/>
        <v/>
      </c>
      <c r="G1045" s="882" t="str">
        <f t="shared" si="55"/>
        <v/>
      </c>
      <c r="H1045" s="919"/>
      <c r="I1045" s="919"/>
      <c r="J1045" s="919"/>
      <c r="K1045" s="919"/>
      <c r="L1045" s="919"/>
      <c r="O1045" s="339"/>
      <c r="T1045" s="75"/>
      <c r="U1045" s="75"/>
      <c r="V1045" s="75"/>
      <c r="W1045" s="75"/>
      <c r="X1045" s="75"/>
      <c r="Y1045" s="340"/>
      <c r="Z1045" s="341"/>
      <c r="AA1045" s="341"/>
      <c r="AB1045" s="341"/>
      <c r="AC1045" s="340"/>
      <c r="AD1045" s="75"/>
      <c r="AE1045" s="75"/>
      <c r="AF1045" s="75"/>
      <c r="AG1045" s="344"/>
      <c r="AH1045" s="344"/>
      <c r="AI1045" s="344"/>
      <c r="AJ1045" s="97"/>
      <c r="AK1045" s="4"/>
    </row>
    <row r="1046" spans="2:37" s="113" customFormat="1" x14ac:dyDescent="0.4">
      <c r="B1046" s="80"/>
      <c r="C1046" s="563">
        <v>633</v>
      </c>
      <c r="D1046" s="907"/>
      <c r="E1046" s="906"/>
      <c r="F1046" s="921" t="str">
        <f t="shared" si="54"/>
        <v/>
      </c>
      <c r="G1046" s="882" t="str">
        <f t="shared" si="55"/>
        <v/>
      </c>
      <c r="H1046" s="919"/>
      <c r="I1046" s="919"/>
      <c r="J1046" s="919"/>
      <c r="K1046" s="919"/>
      <c r="L1046" s="919"/>
      <c r="O1046" s="339"/>
      <c r="T1046" s="75"/>
      <c r="U1046" s="75"/>
      <c r="V1046" s="75"/>
      <c r="W1046" s="75"/>
      <c r="X1046" s="75"/>
      <c r="Y1046" s="340"/>
      <c r="Z1046" s="341"/>
      <c r="AA1046" s="341"/>
      <c r="AB1046" s="341"/>
      <c r="AC1046" s="340"/>
      <c r="AD1046" s="75"/>
      <c r="AE1046" s="75"/>
      <c r="AF1046" s="75"/>
      <c r="AG1046" s="344"/>
      <c r="AH1046" s="344"/>
      <c r="AI1046" s="344"/>
      <c r="AJ1046" s="97"/>
      <c r="AK1046" s="4"/>
    </row>
    <row r="1047" spans="2:37" s="113" customFormat="1" x14ac:dyDescent="0.4">
      <c r="B1047" s="80"/>
      <c r="C1047" s="563">
        <v>634</v>
      </c>
      <c r="D1047" s="907"/>
      <c r="E1047" s="906"/>
      <c r="F1047" s="921" t="str">
        <f t="shared" si="54"/>
        <v/>
      </c>
      <c r="G1047" s="882" t="str">
        <f t="shared" si="55"/>
        <v/>
      </c>
      <c r="H1047" s="919"/>
      <c r="I1047" s="919"/>
      <c r="J1047" s="919"/>
      <c r="K1047" s="919"/>
      <c r="L1047" s="919"/>
      <c r="O1047" s="339"/>
      <c r="T1047" s="75"/>
      <c r="U1047" s="75"/>
      <c r="V1047" s="75"/>
      <c r="W1047" s="75"/>
      <c r="X1047" s="75"/>
      <c r="Y1047" s="340"/>
      <c r="Z1047" s="341"/>
      <c r="AA1047" s="341"/>
      <c r="AB1047" s="341"/>
      <c r="AC1047" s="340"/>
      <c r="AD1047" s="75"/>
      <c r="AE1047" s="75"/>
      <c r="AF1047" s="75"/>
      <c r="AG1047" s="344"/>
      <c r="AH1047" s="344"/>
      <c r="AI1047" s="344"/>
      <c r="AJ1047" s="97"/>
      <c r="AK1047" s="4"/>
    </row>
    <row r="1048" spans="2:37" s="113" customFormat="1" x14ac:dyDescent="0.4">
      <c r="B1048" s="80"/>
      <c r="C1048" s="563">
        <v>635</v>
      </c>
      <c r="D1048" s="907"/>
      <c r="E1048" s="906"/>
      <c r="F1048" s="921" t="str">
        <f t="shared" si="54"/>
        <v/>
      </c>
      <c r="G1048" s="882" t="str">
        <f t="shared" si="55"/>
        <v/>
      </c>
      <c r="H1048" s="919"/>
      <c r="I1048" s="919"/>
      <c r="J1048" s="919"/>
      <c r="K1048" s="919"/>
      <c r="L1048" s="919"/>
      <c r="O1048" s="339"/>
      <c r="T1048" s="75"/>
      <c r="U1048" s="75"/>
      <c r="V1048" s="75"/>
      <c r="W1048" s="75"/>
      <c r="X1048" s="75"/>
      <c r="Y1048" s="340"/>
      <c r="Z1048" s="341"/>
      <c r="AA1048" s="341"/>
      <c r="AB1048" s="341"/>
      <c r="AC1048" s="340"/>
      <c r="AD1048" s="75"/>
      <c r="AE1048" s="75"/>
      <c r="AF1048" s="75"/>
      <c r="AG1048" s="344"/>
      <c r="AH1048" s="344"/>
      <c r="AI1048" s="344"/>
      <c r="AJ1048" s="97"/>
      <c r="AK1048" s="4"/>
    </row>
    <row r="1049" spans="2:37" s="113" customFormat="1" x14ac:dyDescent="0.4">
      <c r="B1049" s="80"/>
      <c r="C1049" s="563">
        <v>636</v>
      </c>
      <c r="D1049" s="907"/>
      <c r="E1049" s="906"/>
      <c r="F1049" s="921" t="str">
        <f t="shared" si="54"/>
        <v/>
      </c>
      <c r="G1049" s="882" t="str">
        <f t="shared" si="55"/>
        <v/>
      </c>
      <c r="H1049" s="919"/>
      <c r="I1049" s="919"/>
      <c r="J1049" s="919"/>
      <c r="K1049" s="919"/>
      <c r="L1049" s="919"/>
      <c r="O1049" s="339"/>
      <c r="T1049" s="75"/>
      <c r="U1049" s="75"/>
      <c r="V1049" s="75"/>
      <c r="W1049" s="75"/>
      <c r="X1049" s="75"/>
      <c r="Y1049" s="340"/>
      <c r="Z1049" s="341"/>
      <c r="AA1049" s="341"/>
      <c r="AB1049" s="341"/>
      <c r="AC1049" s="340"/>
      <c r="AD1049" s="75"/>
      <c r="AE1049" s="75"/>
      <c r="AF1049" s="75"/>
      <c r="AG1049" s="344"/>
      <c r="AH1049" s="344"/>
      <c r="AI1049" s="344"/>
      <c r="AJ1049" s="97"/>
      <c r="AK1049" s="4"/>
    </row>
    <row r="1050" spans="2:37" s="113" customFormat="1" x14ac:dyDescent="0.4">
      <c r="B1050" s="80"/>
      <c r="C1050" s="563">
        <v>637</v>
      </c>
      <c r="D1050" s="907"/>
      <c r="E1050" s="906"/>
      <c r="F1050" s="921" t="str">
        <f t="shared" si="54"/>
        <v/>
      </c>
      <c r="G1050" s="882" t="str">
        <f t="shared" si="55"/>
        <v/>
      </c>
      <c r="H1050" s="919"/>
      <c r="I1050" s="919"/>
      <c r="J1050" s="919"/>
      <c r="K1050" s="919"/>
      <c r="L1050" s="919"/>
      <c r="O1050" s="339"/>
      <c r="T1050" s="75"/>
      <c r="U1050" s="75"/>
      <c r="V1050" s="75"/>
      <c r="W1050" s="75"/>
      <c r="X1050" s="75"/>
      <c r="Y1050" s="340"/>
      <c r="Z1050" s="341"/>
      <c r="AA1050" s="341"/>
      <c r="AB1050" s="341"/>
      <c r="AC1050" s="340"/>
      <c r="AD1050" s="75"/>
      <c r="AE1050" s="75"/>
      <c r="AF1050" s="75"/>
      <c r="AG1050" s="344"/>
      <c r="AH1050" s="344"/>
      <c r="AI1050" s="344"/>
      <c r="AJ1050" s="97"/>
      <c r="AK1050" s="4"/>
    </row>
    <row r="1051" spans="2:37" s="113" customFormat="1" x14ac:dyDescent="0.4">
      <c r="B1051" s="80"/>
      <c r="C1051" s="563">
        <v>638</v>
      </c>
      <c r="D1051" s="907"/>
      <c r="E1051" s="906"/>
      <c r="F1051" s="921" t="str">
        <f t="shared" si="54"/>
        <v/>
      </c>
      <c r="G1051" s="882" t="str">
        <f t="shared" si="55"/>
        <v/>
      </c>
      <c r="H1051" s="919"/>
      <c r="I1051" s="919"/>
      <c r="J1051" s="919"/>
      <c r="K1051" s="919"/>
      <c r="L1051" s="919"/>
      <c r="O1051" s="339"/>
      <c r="T1051" s="75"/>
      <c r="U1051" s="75"/>
      <c r="V1051" s="75"/>
      <c r="W1051" s="75"/>
      <c r="X1051" s="75"/>
      <c r="Y1051" s="340"/>
      <c r="Z1051" s="341"/>
      <c r="AA1051" s="341"/>
      <c r="AB1051" s="341"/>
      <c r="AC1051" s="340"/>
      <c r="AD1051" s="75"/>
      <c r="AE1051" s="75"/>
      <c r="AF1051" s="75"/>
      <c r="AG1051" s="344"/>
      <c r="AH1051" s="344"/>
      <c r="AI1051" s="344"/>
      <c r="AJ1051" s="97"/>
      <c r="AK1051" s="4"/>
    </row>
    <row r="1052" spans="2:37" s="113" customFormat="1" x14ac:dyDescent="0.4">
      <c r="B1052" s="80"/>
      <c r="C1052" s="563">
        <v>639</v>
      </c>
      <c r="D1052" s="907"/>
      <c r="E1052" s="906"/>
      <c r="F1052" s="921" t="str">
        <f t="shared" si="54"/>
        <v/>
      </c>
      <c r="G1052" s="882" t="str">
        <f t="shared" si="55"/>
        <v/>
      </c>
      <c r="H1052" s="919"/>
      <c r="I1052" s="919"/>
      <c r="J1052" s="919"/>
      <c r="K1052" s="919"/>
      <c r="L1052" s="919"/>
      <c r="O1052" s="339"/>
      <c r="T1052" s="75"/>
      <c r="U1052" s="75"/>
      <c r="V1052" s="75"/>
      <c r="W1052" s="75"/>
      <c r="X1052" s="75"/>
      <c r="Y1052" s="340"/>
      <c r="Z1052" s="341"/>
      <c r="AA1052" s="341"/>
      <c r="AB1052" s="341"/>
      <c r="AC1052" s="340"/>
      <c r="AD1052" s="75"/>
      <c r="AE1052" s="75"/>
      <c r="AF1052" s="75"/>
      <c r="AG1052" s="344"/>
      <c r="AH1052" s="344"/>
      <c r="AI1052" s="344"/>
      <c r="AJ1052" s="97"/>
      <c r="AK1052" s="4"/>
    </row>
    <row r="1053" spans="2:37" s="113" customFormat="1" x14ac:dyDescent="0.4">
      <c r="B1053" s="80"/>
      <c r="C1053" s="563">
        <v>640</v>
      </c>
      <c r="D1053" s="907"/>
      <c r="E1053" s="906"/>
      <c r="F1053" s="921" t="str">
        <f t="shared" si="54"/>
        <v/>
      </c>
      <c r="G1053" s="882" t="str">
        <f t="shared" si="55"/>
        <v/>
      </c>
      <c r="H1053" s="919"/>
      <c r="I1053" s="919"/>
      <c r="J1053" s="919"/>
      <c r="K1053" s="919"/>
      <c r="L1053" s="919"/>
      <c r="O1053" s="339"/>
      <c r="T1053" s="75"/>
      <c r="U1053" s="75"/>
      <c r="V1053" s="75"/>
      <c r="W1053" s="75"/>
      <c r="X1053" s="75"/>
      <c r="Y1053" s="340"/>
      <c r="Z1053" s="341"/>
      <c r="AA1053" s="341"/>
      <c r="AB1053" s="341"/>
      <c r="AC1053" s="340"/>
      <c r="AD1053" s="75"/>
      <c r="AE1053" s="75"/>
      <c r="AF1053" s="75"/>
      <c r="AG1053" s="344"/>
      <c r="AH1053" s="344"/>
      <c r="AI1053" s="344"/>
      <c r="AJ1053" s="97"/>
      <c r="AK1053" s="4"/>
    </row>
    <row r="1054" spans="2:37" s="113" customFormat="1" x14ac:dyDescent="0.4">
      <c r="B1054" s="80"/>
      <c r="C1054" s="563">
        <v>641</v>
      </c>
      <c r="D1054" s="907"/>
      <c r="E1054" s="906"/>
      <c r="F1054" s="921" t="str">
        <f t="shared" ref="F1054:F1117" si="56">IF($D$30="","",IF(OR(
AND(C1054&gt;=0,C1054&lt;=$D$32),
AND(C1054&gt;=$E$30,C1054&lt;=$E$32),
AND(C1054&gt;=$F$30,C1054&lt;=$F$32),
AND(C1054&gt;=$G$30,C1054&lt;=$G$32),
AND(C1054&gt;=$H$30,C1054&lt;=$H$32),
AND(C1054&gt;=$I$30,C1054&lt;=$I$32),
AND(C1054&gt;=$J$30,C1054&lt;=$J$32),
AND(C1054&gt;=$K$30,C1054&lt;=$K$32),
AND(C1054&gt;=$L$30,C1054&lt;=$L$32),
AND(C1054&gt;=$M$30,C1054&lt;=$M$32,$M$32&lt;&gt;""),
AND(C1054&gt;=$N$30,C1054&lt;=$N$32,$N$32&lt;&gt;""),
AND(C1054&gt;=$O$30,C1054&lt;=$O$32,$O$32&lt;&gt;""),
AND(C1054&gt;=$P$30,C1054&lt;=$P$32,$P$32&lt;&gt;""),
AND(C1054&gt;=$Q$30,C1054&lt;=$Q$32,$Q$32&lt;&gt;"")
),"ON","OFF"))</f>
        <v/>
      </c>
      <c r="G1054" s="882" t="str">
        <f t="shared" si="55"/>
        <v/>
      </c>
      <c r="H1054" s="925"/>
      <c r="I1054" s="919"/>
      <c r="J1054" s="919"/>
      <c r="K1054" s="919"/>
      <c r="L1054" s="919"/>
      <c r="O1054" s="339"/>
      <c r="T1054" s="75"/>
      <c r="U1054" s="75"/>
      <c r="V1054" s="75"/>
      <c r="W1054" s="75"/>
      <c r="X1054" s="75"/>
      <c r="Y1054" s="340"/>
      <c r="Z1054" s="341"/>
      <c r="AA1054" s="341"/>
      <c r="AB1054" s="341"/>
      <c r="AC1054" s="340"/>
      <c r="AD1054" s="75"/>
      <c r="AE1054" s="75"/>
      <c r="AF1054" s="75"/>
      <c r="AG1054" s="344"/>
      <c r="AH1054" s="344"/>
      <c r="AI1054" s="344"/>
      <c r="AJ1054" s="97"/>
      <c r="AK1054" s="4"/>
    </row>
    <row r="1055" spans="2:37" s="113" customFormat="1" x14ac:dyDescent="0.4">
      <c r="B1055" s="80"/>
      <c r="C1055" s="563">
        <v>642</v>
      </c>
      <c r="D1055" s="907"/>
      <c r="E1055" s="906"/>
      <c r="F1055" s="921" t="str">
        <f t="shared" si="56"/>
        <v/>
      </c>
      <c r="G1055" s="882" t="str">
        <f t="shared" ref="G1055:G1118" si="57">IF(OR($D$47="",$D$48=""),"",IF(OR(
AND(C1055&gt;=$D$47,C1055&lt;=$D$48),
AND(C1055&gt;=$E$47,C1055&lt;=$E$48),
AND(C1055&gt;=$F$47,C1055&lt;=$F$48),
AND(C1055&gt;=$G$47,C1055&lt;=$G$48),
AND(C1055&gt;=$H$47,C1055&lt;=$H$48),
AND(C1055&gt;=$I$47,C1055&lt;=$I$48),
AND(C1055&gt;=$J$47,C1055&lt;=$J$48),
AND(C1055&gt;=$K$47,C1055&lt;=$K$48),
AND(C1055&gt;=$L$47,C1055&lt;=$L$48),
AND(C1055&gt;=$M$47,C1055&lt;=$M$48),
AND(C1055&gt;=$N$47,C1055&lt;=$N$48),
AND(C1055&gt;=$O$47,C1055&lt;=$O$48),
AND(C1055&gt;=$P$47,C1055&lt;=$P$48),
AND(C1055&gt;=$Q$47,C1055&lt;=$Q$48),
AND(C1055&gt;=$R$47,C1055&lt;=$R$48),
AND(C1055&gt;=$S$47,C1055&lt;=$S$48),
AND(C1055&gt;=$T$47,C1055&lt;=$T$48),
AND(C1055&gt;=$U$47,C1055&lt;=$U$48),
AND(C1055&gt;=$V$47,C1055&lt;=$V$48),
AND(C1055&gt;=$W$47,C1055&lt;=$W$48),
AND(C1055&gt;=$X$47,C1055&lt;=$X$48),
AND(C1055&gt;=$Y$47,C1055&lt;=$Y$48),
AND(C1055&gt;=$Z$47,C1055&lt;=$Z$48),
AND(C1055&gt;=$AA$47,C1055&lt;=$AA$48),
AND(C1055&gt;=$AB$47,C1055&lt;=$AB$48),
AND(C1055&gt;=$AC$47,C1055&lt;=$AC$48),
AND(C1055&gt;=$AD$47,C1055&lt;=$AD$48),
AND(C1055&gt;=$AE$47,C1055&lt;=$AE$48),
AND(C1055&gt;=$AF$47,C1055&lt;=$AF$48),
AND(C1055&gt;=$AG$47,C1055&lt;=$AG$48)
),"ON","OFF"))</f>
        <v/>
      </c>
      <c r="H1055" s="925"/>
      <c r="I1055" s="919"/>
      <c r="J1055" s="919"/>
      <c r="K1055" s="919"/>
      <c r="L1055" s="919"/>
      <c r="O1055" s="339"/>
      <c r="T1055" s="75"/>
      <c r="U1055" s="75"/>
      <c r="V1055" s="75"/>
      <c r="W1055" s="75"/>
      <c r="X1055" s="75"/>
      <c r="Y1055" s="340"/>
      <c r="Z1055" s="341"/>
      <c r="AA1055" s="341"/>
      <c r="AB1055" s="341"/>
      <c r="AC1055" s="340"/>
      <c r="AD1055" s="75"/>
      <c r="AE1055" s="75"/>
      <c r="AF1055" s="75"/>
      <c r="AG1055" s="344"/>
      <c r="AH1055" s="344"/>
      <c r="AI1055" s="344"/>
      <c r="AJ1055" s="97"/>
      <c r="AK1055" s="4"/>
    </row>
    <row r="1056" spans="2:37" s="113" customFormat="1" x14ac:dyDescent="0.4">
      <c r="B1056" s="80"/>
      <c r="C1056" s="563">
        <v>643</v>
      </c>
      <c r="D1056" s="907"/>
      <c r="E1056" s="906"/>
      <c r="F1056" s="921" t="str">
        <f t="shared" si="56"/>
        <v/>
      </c>
      <c r="G1056" s="882" t="str">
        <f t="shared" si="57"/>
        <v/>
      </c>
      <c r="H1056" s="925"/>
      <c r="I1056" s="919"/>
      <c r="J1056" s="919"/>
      <c r="K1056" s="919"/>
      <c r="L1056" s="919"/>
      <c r="O1056" s="339"/>
      <c r="T1056" s="75"/>
      <c r="U1056" s="75"/>
      <c r="V1056" s="75"/>
      <c r="W1056" s="75"/>
      <c r="X1056" s="75"/>
      <c r="Y1056" s="340"/>
      <c r="Z1056" s="341"/>
      <c r="AA1056" s="341"/>
      <c r="AB1056" s="341"/>
      <c r="AC1056" s="340"/>
      <c r="AD1056" s="75"/>
      <c r="AE1056" s="75"/>
      <c r="AF1056" s="75"/>
      <c r="AG1056" s="344"/>
      <c r="AH1056" s="344"/>
      <c r="AI1056" s="344"/>
      <c r="AJ1056" s="97"/>
      <c r="AK1056" s="4"/>
    </row>
    <row r="1057" spans="2:37" s="113" customFormat="1" x14ac:dyDescent="0.4">
      <c r="B1057" s="80"/>
      <c r="C1057" s="563">
        <v>644</v>
      </c>
      <c r="D1057" s="907"/>
      <c r="E1057" s="906"/>
      <c r="F1057" s="921" t="str">
        <f t="shared" si="56"/>
        <v/>
      </c>
      <c r="G1057" s="882" t="str">
        <f t="shared" si="57"/>
        <v/>
      </c>
      <c r="H1057" s="925"/>
      <c r="I1057" s="919"/>
      <c r="J1057" s="919"/>
      <c r="K1057" s="919"/>
      <c r="L1057" s="919"/>
      <c r="O1057" s="339"/>
      <c r="T1057" s="75"/>
      <c r="U1057" s="75"/>
      <c r="V1057" s="75"/>
      <c r="W1057" s="75"/>
      <c r="X1057" s="75"/>
      <c r="Y1057" s="340"/>
      <c r="Z1057" s="341"/>
      <c r="AA1057" s="341"/>
      <c r="AB1057" s="341"/>
      <c r="AC1057" s="340"/>
      <c r="AD1057" s="75"/>
      <c r="AE1057" s="75"/>
      <c r="AF1057" s="75"/>
      <c r="AG1057" s="344"/>
      <c r="AH1057" s="344"/>
      <c r="AI1057" s="344"/>
      <c r="AJ1057" s="97"/>
      <c r="AK1057" s="4"/>
    </row>
    <row r="1058" spans="2:37" s="113" customFormat="1" x14ac:dyDescent="0.4">
      <c r="B1058" s="80"/>
      <c r="C1058" s="563">
        <v>645</v>
      </c>
      <c r="D1058" s="907"/>
      <c r="E1058" s="906"/>
      <c r="F1058" s="921" t="str">
        <f t="shared" si="56"/>
        <v/>
      </c>
      <c r="G1058" s="882" t="str">
        <f t="shared" si="57"/>
        <v/>
      </c>
      <c r="H1058" s="925"/>
      <c r="I1058" s="919"/>
      <c r="J1058" s="919"/>
      <c r="K1058" s="919"/>
      <c r="L1058" s="919"/>
      <c r="O1058" s="339"/>
      <c r="T1058" s="75"/>
      <c r="U1058" s="75"/>
      <c r="V1058" s="75"/>
      <c r="W1058" s="75"/>
      <c r="X1058" s="75"/>
      <c r="Y1058" s="340"/>
      <c r="Z1058" s="341"/>
      <c r="AA1058" s="341"/>
      <c r="AB1058" s="341"/>
      <c r="AC1058" s="340"/>
      <c r="AD1058" s="75"/>
      <c r="AE1058" s="75"/>
      <c r="AF1058" s="75"/>
      <c r="AG1058" s="344"/>
      <c r="AH1058" s="344"/>
      <c r="AI1058" s="344"/>
      <c r="AJ1058" s="97"/>
      <c r="AK1058" s="4"/>
    </row>
    <row r="1059" spans="2:37" s="113" customFormat="1" x14ac:dyDescent="0.4">
      <c r="B1059" s="80"/>
      <c r="C1059" s="563">
        <v>646</v>
      </c>
      <c r="D1059" s="907"/>
      <c r="E1059" s="906"/>
      <c r="F1059" s="921" t="str">
        <f t="shared" si="56"/>
        <v/>
      </c>
      <c r="G1059" s="882" t="str">
        <f t="shared" si="57"/>
        <v/>
      </c>
      <c r="H1059" s="925"/>
      <c r="I1059" s="919"/>
      <c r="J1059" s="919"/>
      <c r="K1059" s="919"/>
      <c r="L1059" s="919"/>
      <c r="O1059" s="339"/>
      <c r="T1059" s="75"/>
      <c r="U1059" s="75"/>
      <c r="V1059" s="75"/>
      <c r="W1059" s="75"/>
      <c r="X1059" s="75"/>
      <c r="Y1059" s="340"/>
      <c r="Z1059" s="341"/>
      <c r="AA1059" s="341"/>
      <c r="AB1059" s="341"/>
      <c r="AC1059" s="340"/>
      <c r="AD1059" s="75"/>
      <c r="AE1059" s="75"/>
      <c r="AF1059" s="75"/>
      <c r="AG1059" s="344"/>
      <c r="AH1059" s="344"/>
      <c r="AI1059" s="344"/>
      <c r="AJ1059" s="97"/>
      <c r="AK1059" s="4"/>
    </row>
    <row r="1060" spans="2:37" s="113" customFormat="1" x14ac:dyDescent="0.4">
      <c r="B1060" s="80"/>
      <c r="C1060" s="563">
        <v>647</v>
      </c>
      <c r="D1060" s="907"/>
      <c r="E1060" s="906"/>
      <c r="F1060" s="921" t="str">
        <f t="shared" si="56"/>
        <v/>
      </c>
      <c r="G1060" s="882" t="str">
        <f t="shared" si="57"/>
        <v/>
      </c>
      <c r="H1060" s="925"/>
      <c r="I1060" s="919"/>
      <c r="J1060" s="919"/>
      <c r="K1060" s="919"/>
      <c r="L1060" s="919"/>
      <c r="O1060" s="339"/>
      <c r="T1060" s="75"/>
      <c r="U1060" s="75"/>
      <c r="V1060" s="75"/>
      <c r="W1060" s="75"/>
      <c r="X1060" s="75"/>
      <c r="Y1060" s="340"/>
      <c r="Z1060" s="341"/>
      <c r="AA1060" s="341"/>
      <c r="AB1060" s="341"/>
      <c r="AC1060" s="340"/>
      <c r="AD1060" s="75"/>
      <c r="AE1060" s="75"/>
      <c r="AF1060" s="75"/>
      <c r="AG1060" s="344"/>
      <c r="AH1060" s="344"/>
      <c r="AI1060" s="344"/>
      <c r="AJ1060" s="97"/>
      <c r="AK1060" s="4"/>
    </row>
    <row r="1061" spans="2:37" s="113" customFormat="1" x14ac:dyDescent="0.4">
      <c r="B1061" s="80"/>
      <c r="C1061" s="563">
        <v>648</v>
      </c>
      <c r="D1061" s="907"/>
      <c r="E1061" s="906"/>
      <c r="F1061" s="921" t="str">
        <f t="shared" si="56"/>
        <v/>
      </c>
      <c r="G1061" s="882" t="str">
        <f t="shared" si="57"/>
        <v/>
      </c>
      <c r="H1061" s="925"/>
      <c r="I1061" s="919"/>
      <c r="J1061" s="919"/>
      <c r="K1061" s="919"/>
      <c r="L1061" s="919"/>
      <c r="O1061" s="339"/>
      <c r="T1061" s="75"/>
      <c r="U1061" s="75"/>
      <c r="V1061" s="75"/>
      <c r="W1061" s="75"/>
      <c r="X1061" s="75"/>
      <c r="Y1061" s="340"/>
      <c r="Z1061" s="341"/>
      <c r="AA1061" s="341"/>
      <c r="AB1061" s="341"/>
      <c r="AC1061" s="340"/>
      <c r="AD1061" s="75"/>
      <c r="AE1061" s="75"/>
      <c r="AF1061" s="75"/>
      <c r="AG1061" s="344"/>
      <c r="AH1061" s="344"/>
      <c r="AI1061" s="344"/>
      <c r="AJ1061" s="97"/>
      <c r="AK1061" s="4"/>
    </row>
    <row r="1062" spans="2:37" s="113" customFormat="1" x14ac:dyDescent="0.4">
      <c r="B1062" s="80"/>
      <c r="C1062" s="563">
        <v>649</v>
      </c>
      <c r="D1062" s="907"/>
      <c r="E1062" s="906"/>
      <c r="F1062" s="921" t="str">
        <f t="shared" si="56"/>
        <v/>
      </c>
      <c r="G1062" s="882" t="str">
        <f t="shared" si="57"/>
        <v/>
      </c>
      <c r="H1062" s="925"/>
      <c r="I1062" s="919"/>
      <c r="J1062" s="919"/>
      <c r="K1062" s="919"/>
      <c r="L1062" s="919"/>
      <c r="O1062" s="339"/>
      <c r="T1062" s="75"/>
      <c r="U1062" s="75"/>
      <c r="V1062" s="75"/>
      <c r="W1062" s="75"/>
      <c r="X1062" s="75"/>
      <c r="Y1062" s="340"/>
      <c r="Z1062" s="341"/>
      <c r="AA1062" s="341"/>
      <c r="AB1062" s="341"/>
      <c r="AC1062" s="340"/>
      <c r="AD1062" s="75"/>
      <c r="AE1062" s="75"/>
      <c r="AF1062" s="75"/>
      <c r="AG1062" s="344"/>
      <c r="AH1062" s="344"/>
      <c r="AI1062" s="344"/>
      <c r="AJ1062" s="97"/>
      <c r="AK1062" s="4"/>
    </row>
    <row r="1063" spans="2:37" s="113" customFormat="1" x14ac:dyDescent="0.4">
      <c r="B1063" s="80"/>
      <c r="C1063" s="563">
        <v>650</v>
      </c>
      <c r="D1063" s="907"/>
      <c r="E1063" s="906"/>
      <c r="F1063" s="921" t="str">
        <f t="shared" si="56"/>
        <v/>
      </c>
      <c r="G1063" s="882" t="str">
        <f t="shared" si="57"/>
        <v/>
      </c>
      <c r="H1063" s="925"/>
      <c r="I1063" s="919"/>
      <c r="J1063" s="919"/>
      <c r="K1063" s="919"/>
      <c r="L1063" s="919"/>
      <c r="O1063" s="339"/>
      <c r="T1063" s="75"/>
      <c r="U1063" s="75"/>
      <c r="V1063" s="75"/>
      <c r="W1063" s="75"/>
      <c r="X1063" s="75"/>
      <c r="Y1063" s="340"/>
      <c r="Z1063" s="341"/>
      <c r="AA1063" s="341"/>
      <c r="AB1063" s="341"/>
      <c r="AC1063" s="340"/>
      <c r="AD1063" s="75"/>
      <c r="AE1063" s="75"/>
      <c r="AF1063" s="75"/>
      <c r="AG1063" s="344"/>
      <c r="AH1063" s="344"/>
      <c r="AI1063" s="344"/>
      <c r="AJ1063" s="97"/>
      <c r="AK1063" s="4"/>
    </row>
    <row r="1064" spans="2:37" s="113" customFormat="1" x14ac:dyDescent="0.4">
      <c r="B1064" s="80"/>
      <c r="C1064" s="563">
        <v>651</v>
      </c>
      <c r="D1064" s="907"/>
      <c r="E1064" s="906"/>
      <c r="F1064" s="921" t="str">
        <f t="shared" si="56"/>
        <v/>
      </c>
      <c r="G1064" s="882" t="str">
        <f t="shared" si="57"/>
        <v/>
      </c>
      <c r="H1064" s="925"/>
      <c r="I1064" s="919"/>
      <c r="J1064" s="919"/>
      <c r="K1064" s="919"/>
      <c r="L1064" s="919"/>
      <c r="O1064" s="339"/>
      <c r="T1064" s="75"/>
      <c r="U1064" s="75"/>
      <c r="V1064" s="75"/>
      <c r="W1064" s="75"/>
      <c r="X1064" s="75"/>
      <c r="Y1064" s="340"/>
      <c r="Z1064" s="341"/>
      <c r="AA1064" s="341"/>
      <c r="AB1064" s="341"/>
      <c r="AC1064" s="340"/>
      <c r="AD1064" s="75"/>
      <c r="AE1064" s="75"/>
      <c r="AF1064" s="75"/>
      <c r="AG1064" s="344"/>
      <c r="AH1064" s="344"/>
      <c r="AI1064" s="344"/>
      <c r="AJ1064" s="97"/>
      <c r="AK1064" s="4"/>
    </row>
    <row r="1065" spans="2:37" s="113" customFormat="1" x14ac:dyDescent="0.4">
      <c r="B1065" s="80"/>
      <c r="C1065" s="563">
        <v>652</v>
      </c>
      <c r="D1065" s="907"/>
      <c r="E1065" s="906"/>
      <c r="F1065" s="921" t="str">
        <f t="shared" si="56"/>
        <v/>
      </c>
      <c r="G1065" s="882" t="str">
        <f t="shared" si="57"/>
        <v/>
      </c>
      <c r="H1065" s="925"/>
      <c r="I1065" s="919"/>
      <c r="J1065" s="919"/>
      <c r="K1065" s="919"/>
      <c r="L1065" s="919"/>
      <c r="O1065" s="339"/>
      <c r="T1065" s="75"/>
      <c r="U1065" s="75"/>
      <c r="V1065" s="75"/>
      <c r="W1065" s="75"/>
      <c r="X1065" s="75"/>
      <c r="Y1065" s="340"/>
      <c r="Z1065" s="341"/>
      <c r="AA1065" s="341"/>
      <c r="AB1065" s="341"/>
      <c r="AC1065" s="340"/>
      <c r="AD1065" s="75"/>
      <c r="AE1065" s="75"/>
      <c r="AF1065" s="75"/>
      <c r="AG1065" s="344"/>
      <c r="AH1065" s="344"/>
      <c r="AI1065" s="344"/>
      <c r="AJ1065" s="97"/>
      <c r="AK1065" s="4"/>
    </row>
    <row r="1066" spans="2:37" s="113" customFormat="1" x14ac:dyDescent="0.4">
      <c r="B1066" s="80"/>
      <c r="C1066" s="563">
        <v>653</v>
      </c>
      <c r="D1066" s="907"/>
      <c r="E1066" s="906"/>
      <c r="F1066" s="921" t="str">
        <f t="shared" si="56"/>
        <v/>
      </c>
      <c r="G1066" s="882" t="str">
        <f t="shared" si="57"/>
        <v/>
      </c>
      <c r="H1066" s="925"/>
      <c r="I1066" s="919"/>
      <c r="J1066" s="919"/>
      <c r="K1066" s="919"/>
      <c r="L1066" s="919"/>
      <c r="O1066" s="339"/>
      <c r="T1066" s="75"/>
      <c r="U1066" s="75"/>
      <c r="V1066" s="75"/>
      <c r="W1066" s="75"/>
      <c r="X1066" s="75"/>
      <c r="Y1066" s="340"/>
      <c r="Z1066" s="341"/>
      <c r="AA1066" s="341"/>
      <c r="AB1066" s="341"/>
      <c r="AC1066" s="340"/>
      <c r="AD1066" s="75"/>
      <c r="AE1066" s="75"/>
      <c r="AF1066" s="75"/>
      <c r="AG1066" s="344"/>
      <c r="AH1066" s="344"/>
      <c r="AI1066" s="344"/>
      <c r="AJ1066" s="97"/>
      <c r="AK1066" s="4"/>
    </row>
    <row r="1067" spans="2:37" s="113" customFormat="1" x14ac:dyDescent="0.4">
      <c r="B1067" s="80"/>
      <c r="C1067" s="563">
        <v>654</v>
      </c>
      <c r="D1067" s="907"/>
      <c r="E1067" s="906"/>
      <c r="F1067" s="921" t="str">
        <f t="shared" si="56"/>
        <v/>
      </c>
      <c r="G1067" s="882" t="str">
        <f t="shared" si="57"/>
        <v/>
      </c>
      <c r="H1067" s="925"/>
      <c r="I1067" s="919"/>
      <c r="J1067" s="919"/>
      <c r="K1067" s="919"/>
      <c r="L1067" s="919"/>
      <c r="O1067" s="339"/>
      <c r="T1067" s="75"/>
      <c r="U1067" s="75"/>
      <c r="V1067" s="75"/>
      <c r="W1067" s="75"/>
      <c r="X1067" s="75"/>
      <c r="Y1067" s="340"/>
      <c r="Z1067" s="341"/>
      <c r="AA1067" s="341"/>
      <c r="AB1067" s="341"/>
      <c r="AC1067" s="340"/>
      <c r="AD1067" s="75"/>
      <c r="AE1067" s="75"/>
      <c r="AF1067" s="75"/>
      <c r="AG1067" s="344"/>
      <c r="AH1067" s="344"/>
      <c r="AI1067" s="344"/>
      <c r="AJ1067" s="97"/>
      <c r="AK1067" s="4"/>
    </row>
    <row r="1068" spans="2:37" s="113" customFormat="1" x14ac:dyDescent="0.4">
      <c r="B1068" s="80"/>
      <c r="C1068" s="563">
        <v>655</v>
      </c>
      <c r="D1068" s="907"/>
      <c r="E1068" s="906"/>
      <c r="F1068" s="921" t="str">
        <f t="shared" si="56"/>
        <v/>
      </c>
      <c r="G1068" s="882" t="str">
        <f t="shared" si="57"/>
        <v/>
      </c>
      <c r="H1068" s="925"/>
      <c r="I1068" s="919"/>
      <c r="J1068" s="919"/>
      <c r="K1068" s="919"/>
      <c r="L1068" s="919"/>
      <c r="O1068" s="339"/>
      <c r="T1068" s="75"/>
      <c r="U1068" s="75"/>
      <c r="V1068" s="75"/>
      <c r="W1068" s="75"/>
      <c r="X1068" s="75"/>
      <c r="Y1068" s="340"/>
      <c r="Z1068" s="341"/>
      <c r="AA1068" s="341"/>
      <c r="AB1068" s="341"/>
      <c r="AC1068" s="340"/>
      <c r="AD1068" s="75"/>
      <c r="AE1068" s="75"/>
      <c r="AF1068" s="75"/>
      <c r="AG1068" s="344"/>
      <c r="AH1068" s="344"/>
      <c r="AI1068" s="344"/>
      <c r="AJ1068" s="97"/>
      <c r="AK1068" s="4"/>
    </row>
    <row r="1069" spans="2:37" s="113" customFormat="1" x14ac:dyDescent="0.4">
      <c r="B1069" s="80"/>
      <c r="C1069" s="563">
        <v>656</v>
      </c>
      <c r="D1069" s="907"/>
      <c r="E1069" s="906"/>
      <c r="F1069" s="921" t="str">
        <f t="shared" si="56"/>
        <v/>
      </c>
      <c r="G1069" s="882" t="str">
        <f t="shared" si="57"/>
        <v/>
      </c>
      <c r="H1069" s="925"/>
      <c r="I1069" s="919"/>
      <c r="J1069" s="919"/>
      <c r="K1069" s="919"/>
      <c r="L1069" s="919"/>
      <c r="O1069" s="339"/>
      <c r="T1069" s="75"/>
      <c r="U1069" s="75"/>
      <c r="V1069" s="75"/>
      <c r="W1069" s="75"/>
      <c r="X1069" s="75"/>
      <c r="Y1069" s="340"/>
      <c r="Z1069" s="341"/>
      <c r="AA1069" s="341"/>
      <c r="AB1069" s="341"/>
      <c r="AC1069" s="340"/>
      <c r="AD1069" s="75"/>
      <c r="AE1069" s="75"/>
      <c r="AF1069" s="75"/>
      <c r="AG1069" s="344"/>
      <c r="AH1069" s="344"/>
      <c r="AI1069" s="344"/>
      <c r="AJ1069" s="97"/>
      <c r="AK1069" s="4"/>
    </row>
    <row r="1070" spans="2:37" s="113" customFormat="1" x14ac:dyDescent="0.4">
      <c r="B1070" s="80"/>
      <c r="C1070" s="563">
        <v>657</v>
      </c>
      <c r="D1070" s="907"/>
      <c r="E1070" s="906"/>
      <c r="F1070" s="921" t="str">
        <f t="shared" si="56"/>
        <v/>
      </c>
      <c r="G1070" s="882" t="str">
        <f t="shared" si="57"/>
        <v/>
      </c>
      <c r="H1070" s="925"/>
      <c r="I1070" s="919"/>
      <c r="J1070" s="919"/>
      <c r="K1070" s="919"/>
      <c r="L1070" s="919"/>
      <c r="O1070" s="339"/>
      <c r="T1070" s="75"/>
      <c r="U1070" s="75"/>
      <c r="V1070" s="75"/>
      <c r="W1070" s="75"/>
      <c r="X1070" s="75"/>
      <c r="Y1070" s="340"/>
      <c r="Z1070" s="341"/>
      <c r="AA1070" s="341"/>
      <c r="AB1070" s="341"/>
      <c r="AC1070" s="340"/>
      <c r="AD1070" s="75"/>
      <c r="AE1070" s="75"/>
      <c r="AF1070" s="75"/>
      <c r="AG1070" s="344"/>
      <c r="AH1070" s="344"/>
      <c r="AI1070" s="344"/>
      <c r="AJ1070" s="97"/>
      <c r="AK1070" s="4"/>
    </row>
    <row r="1071" spans="2:37" s="113" customFormat="1" x14ac:dyDescent="0.4">
      <c r="B1071" s="80"/>
      <c r="C1071" s="563">
        <v>658</v>
      </c>
      <c r="D1071" s="907"/>
      <c r="E1071" s="906"/>
      <c r="F1071" s="921" t="str">
        <f t="shared" si="56"/>
        <v/>
      </c>
      <c r="G1071" s="882" t="str">
        <f t="shared" si="57"/>
        <v/>
      </c>
      <c r="H1071" s="925"/>
      <c r="I1071" s="919"/>
      <c r="J1071" s="919"/>
      <c r="K1071" s="919"/>
      <c r="L1071" s="919"/>
      <c r="O1071" s="339"/>
      <c r="T1071" s="75"/>
      <c r="U1071" s="75"/>
      <c r="V1071" s="75"/>
      <c r="W1071" s="75"/>
      <c r="X1071" s="75"/>
      <c r="Y1071" s="340"/>
      <c r="Z1071" s="341"/>
      <c r="AA1071" s="341"/>
      <c r="AB1071" s="341"/>
      <c r="AC1071" s="340"/>
      <c r="AD1071" s="75"/>
      <c r="AE1071" s="75"/>
      <c r="AF1071" s="75"/>
      <c r="AG1071" s="344"/>
      <c r="AH1071" s="344"/>
      <c r="AI1071" s="344"/>
      <c r="AJ1071" s="97"/>
      <c r="AK1071" s="4"/>
    </row>
    <row r="1072" spans="2:37" s="113" customFormat="1" x14ac:dyDescent="0.4">
      <c r="B1072" s="80"/>
      <c r="C1072" s="563">
        <v>659</v>
      </c>
      <c r="D1072" s="907"/>
      <c r="E1072" s="906"/>
      <c r="F1072" s="921" t="str">
        <f t="shared" si="56"/>
        <v/>
      </c>
      <c r="G1072" s="882" t="str">
        <f t="shared" si="57"/>
        <v/>
      </c>
      <c r="H1072" s="925"/>
      <c r="I1072" s="919"/>
      <c r="J1072" s="919"/>
      <c r="K1072" s="919"/>
      <c r="L1072" s="919"/>
      <c r="O1072" s="339"/>
      <c r="T1072" s="75"/>
      <c r="U1072" s="75"/>
      <c r="V1072" s="75"/>
      <c r="W1072" s="75"/>
      <c r="X1072" s="75"/>
      <c r="Y1072" s="340"/>
      <c r="Z1072" s="341"/>
      <c r="AA1072" s="341"/>
      <c r="AB1072" s="341"/>
      <c r="AC1072" s="340"/>
      <c r="AD1072" s="75"/>
      <c r="AE1072" s="75"/>
      <c r="AF1072" s="75"/>
      <c r="AG1072" s="344"/>
      <c r="AH1072" s="344"/>
      <c r="AI1072" s="344"/>
      <c r="AJ1072" s="97"/>
      <c r="AK1072" s="4"/>
    </row>
    <row r="1073" spans="2:37" s="113" customFormat="1" x14ac:dyDescent="0.4">
      <c r="B1073" s="80"/>
      <c r="C1073" s="563">
        <v>660</v>
      </c>
      <c r="D1073" s="907"/>
      <c r="E1073" s="906"/>
      <c r="F1073" s="921" t="str">
        <f t="shared" si="56"/>
        <v/>
      </c>
      <c r="G1073" s="882" t="str">
        <f t="shared" si="57"/>
        <v/>
      </c>
      <c r="H1073" s="925"/>
      <c r="I1073" s="919"/>
      <c r="J1073" s="919"/>
      <c r="K1073" s="919"/>
      <c r="L1073" s="919"/>
      <c r="O1073" s="339"/>
      <c r="T1073" s="75"/>
      <c r="U1073" s="75"/>
      <c r="V1073" s="75"/>
      <c r="W1073" s="75"/>
      <c r="X1073" s="75"/>
      <c r="Y1073" s="340"/>
      <c r="Z1073" s="341"/>
      <c r="AA1073" s="341"/>
      <c r="AB1073" s="341"/>
      <c r="AC1073" s="340"/>
      <c r="AD1073" s="75"/>
      <c r="AE1073" s="75"/>
      <c r="AF1073" s="75"/>
      <c r="AG1073" s="344"/>
      <c r="AH1073" s="344"/>
      <c r="AI1073" s="344"/>
      <c r="AJ1073" s="97"/>
      <c r="AK1073" s="4"/>
    </row>
    <row r="1074" spans="2:37" s="113" customFormat="1" x14ac:dyDescent="0.4">
      <c r="B1074" s="80"/>
      <c r="C1074" s="563">
        <v>661</v>
      </c>
      <c r="D1074" s="907"/>
      <c r="E1074" s="906"/>
      <c r="F1074" s="921" t="str">
        <f t="shared" si="56"/>
        <v/>
      </c>
      <c r="G1074" s="882" t="str">
        <f t="shared" si="57"/>
        <v/>
      </c>
      <c r="H1074" s="925"/>
      <c r="I1074" s="919"/>
      <c r="J1074" s="919"/>
      <c r="K1074" s="919"/>
      <c r="L1074" s="919"/>
      <c r="O1074" s="339"/>
      <c r="T1074" s="75"/>
      <c r="U1074" s="75"/>
      <c r="V1074" s="75"/>
      <c r="W1074" s="75"/>
      <c r="X1074" s="75"/>
      <c r="Y1074" s="340"/>
      <c r="Z1074" s="341"/>
      <c r="AA1074" s="341"/>
      <c r="AB1074" s="341"/>
      <c r="AC1074" s="340"/>
      <c r="AD1074" s="75"/>
      <c r="AE1074" s="75"/>
      <c r="AF1074" s="75"/>
      <c r="AG1074" s="344"/>
      <c r="AH1074" s="344"/>
      <c r="AI1074" s="344"/>
      <c r="AJ1074" s="97"/>
      <c r="AK1074" s="4"/>
    </row>
    <row r="1075" spans="2:37" s="113" customFormat="1" x14ac:dyDescent="0.4">
      <c r="B1075" s="80"/>
      <c r="C1075" s="563">
        <v>662</v>
      </c>
      <c r="D1075" s="907"/>
      <c r="E1075" s="906"/>
      <c r="F1075" s="921" t="str">
        <f t="shared" si="56"/>
        <v/>
      </c>
      <c r="G1075" s="882" t="str">
        <f t="shared" si="57"/>
        <v/>
      </c>
      <c r="H1075" s="925"/>
      <c r="I1075" s="919"/>
      <c r="J1075" s="919"/>
      <c r="K1075" s="919"/>
      <c r="L1075" s="919"/>
      <c r="O1075" s="339"/>
      <c r="T1075" s="75"/>
      <c r="U1075" s="75"/>
      <c r="V1075" s="75"/>
      <c r="W1075" s="75"/>
      <c r="X1075" s="75"/>
      <c r="Y1075" s="340"/>
      <c r="Z1075" s="341"/>
      <c r="AA1075" s="341"/>
      <c r="AB1075" s="341"/>
      <c r="AC1075" s="340"/>
      <c r="AD1075" s="75"/>
      <c r="AE1075" s="75"/>
      <c r="AF1075" s="75"/>
      <c r="AG1075" s="344"/>
      <c r="AH1075" s="344"/>
      <c r="AI1075" s="344"/>
      <c r="AJ1075" s="97"/>
      <c r="AK1075" s="4"/>
    </row>
    <row r="1076" spans="2:37" s="113" customFormat="1" x14ac:dyDescent="0.4">
      <c r="B1076" s="80"/>
      <c r="C1076" s="563">
        <v>663</v>
      </c>
      <c r="D1076" s="907"/>
      <c r="E1076" s="906"/>
      <c r="F1076" s="921" t="str">
        <f t="shared" si="56"/>
        <v/>
      </c>
      <c r="G1076" s="882" t="str">
        <f t="shared" si="57"/>
        <v/>
      </c>
      <c r="H1076" s="925"/>
      <c r="I1076" s="919"/>
      <c r="J1076" s="919"/>
      <c r="K1076" s="919"/>
      <c r="L1076" s="919"/>
      <c r="O1076" s="339"/>
      <c r="T1076" s="75"/>
      <c r="U1076" s="75"/>
      <c r="V1076" s="75"/>
      <c r="W1076" s="75"/>
      <c r="X1076" s="75"/>
      <c r="Y1076" s="340"/>
      <c r="Z1076" s="341"/>
      <c r="AA1076" s="341"/>
      <c r="AB1076" s="341"/>
      <c r="AC1076" s="340"/>
      <c r="AD1076" s="75"/>
      <c r="AE1076" s="75"/>
      <c r="AF1076" s="75"/>
      <c r="AG1076" s="344"/>
      <c r="AH1076" s="344"/>
      <c r="AI1076" s="344"/>
      <c r="AJ1076" s="97"/>
      <c r="AK1076" s="4"/>
    </row>
    <row r="1077" spans="2:37" s="113" customFormat="1" x14ac:dyDescent="0.4">
      <c r="B1077" s="80"/>
      <c r="C1077" s="563">
        <v>664</v>
      </c>
      <c r="D1077" s="907"/>
      <c r="E1077" s="906"/>
      <c r="F1077" s="921" t="str">
        <f t="shared" si="56"/>
        <v/>
      </c>
      <c r="G1077" s="882" t="str">
        <f t="shared" si="57"/>
        <v/>
      </c>
      <c r="H1077" s="925"/>
      <c r="I1077" s="919"/>
      <c r="J1077" s="919"/>
      <c r="K1077" s="919"/>
      <c r="L1077" s="919"/>
      <c r="O1077" s="339"/>
      <c r="T1077" s="75"/>
      <c r="U1077" s="75"/>
      <c r="V1077" s="75"/>
      <c r="W1077" s="75"/>
      <c r="X1077" s="75"/>
      <c r="Y1077" s="340"/>
      <c r="Z1077" s="341"/>
      <c r="AA1077" s="341"/>
      <c r="AB1077" s="341"/>
      <c r="AC1077" s="340"/>
      <c r="AD1077" s="75"/>
      <c r="AE1077" s="75"/>
      <c r="AF1077" s="75"/>
      <c r="AG1077" s="344"/>
      <c r="AH1077" s="344"/>
      <c r="AI1077" s="344"/>
      <c r="AJ1077" s="97"/>
      <c r="AK1077" s="4"/>
    </row>
    <row r="1078" spans="2:37" s="113" customFormat="1" x14ac:dyDescent="0.4">
      <c r="B1078" s="80"/>
      <c r="C1078" s="563">
        <v>665</v>
      </c>
      <c r="D1078" s="907"/>
      <c r="E1078" s="906"/>
      <c r="F1078" s="921" t="str">
        <f t="shared" si="56"/>
        <v/>
      </c>
      <c r="G1078" s="882" t="str">
        <f t="shared" si="57"/>
        <v/>
      </c>
      <c r="H1078" s="925"/>
      <c r="I1078" s="919"/>
      <c r="J1078" s="919"/>
      <c r="K1078" s="919"/>
      <c r="L1078" s="919"/>
      <c r="O1078" s="339"/>
      <c r="T1078" s="75"/>
      <c r="U1078" s="75"/>
      <c r="V1078" s="75"/>
      <c r="W1078" s="75"/>
      <c r="X1078" s="75"/>
      <c r="Y1078" s="340"/>
      <c r="Z1078" s="341"/>
      <c r="AA1078" s="341"/>
      <c r="AB1078" s="341"/>
      <c r="AC1078" s="340"/>
      <c r="AD1078" s="75"/>
      <c r="AE1078" s="75"/>
      <c r="AF1078" s="75"/>
      <c r="AG1078" s="344"/>
      <c r="AH1078" s="344"/>
      <c r="AI1078" s="344"/>
      <c r="AJ1078" s="97"/>
      <c r="AK1078" s="4"/>
    </row>
    <row r="1079" spans="2:37" s="113" customFormat="1" x14ac:dyDescent="0.4">
      <c r="B1079" s="80"/>
      <c r="C1079" s="563">
        <v>666</v>
      </c>
      <c r="D1079" s="907"/>
      <c r="E1079" s="906"/>
      <c r="F1079" s="921" t="str">
        <f t="shared" si="56"/>
        <v/>
      </c>
      <c r="G1079" s="882" t="str">
        <f t="shared" si="57"/>
        <v/>
      </c>
      <c r="H1079" s="925"/>
      <c r="I1079" s="919"/>
      <c r="J1079" s="919"/>
      <c r="K1079" s="919"/>
      <c r="L1079" s="919"/>
      <c r="O1079" s="339"/>
      <c r="T1079" s="75"/>
      <c r="U1079" s="75"/>
      <c r="V1079" s="75"/>
      <c r="W1079" s="75"/>
      <c r="X1079" s="75"/>
      <c r="Y1079" s="340"/>
      <c r="Z1079" s="341"/>
      <c r="AA1079" s="341"/>
      <c r="AB1079" s="341"/>
      <c r="AC1079" s="340"/>
      <c r="AD1079" s="75"/>
      <c r="AE1079" s="75"/>
      <c r="AF1079" s="75"/>
      <c r="AG1079" s="344"/>
      <c r="AH1079" s="344"/>
      <c r="AI1079" s="344"/>
      <c r="AJ1079" s="97"/>
      <c r="AK1079" s="4"/>
    </row>
    <row r="1080" spans="2:37" s="113" customFormat="1" x14ac:dyDescent="0.4">
      <c r="B1080" s="80"/>
      <c r="C1080" s="563">
        <v>667</v>
      </c>
      <c r="D1080" s="907"/>
      <c r="E1080" s="906"/>
      <c r="F1080" s="921" t="str">
        <f t="shared" si="56"/>
        <v/>
      </c>
      <c r="G1080" s="882" t="str">
        <f t="shared" si="57"/>
        <v/>
      </c>
      <c r="H1080" s="925"/>
      <c r="I1080" s="919"/>
      <c r="J1080" s="919"/>
      <c r="K1080" s="919"/>
      <c r="L1080" s="919"/>
      <c r="O1080" s="339"/>
      <c r="T1080" s="75"/>
      <c r="U1080" s="75"/>
      <c r="V1080" s="75"/>
      <c r="W1080" s="75"/>
      <c r="X1080" s="75"/>
      <c r="Y1080" s="340"/>
      <c r="Z1080" s="341"/>
      <c r="AA1080" s="341"/>
      <c r="AB1080" s="341"/>
      <c r="AC1080" s="340"/>
      <c r="AD1080" s="75"/>
      <c r="AE1080" s="75"/>
      <c r="AF1080" s="75"/>
      <c r="AG1080" s="344"/>
      <c r="AH1080" s="344"/>
      <c r="AI1080" s="344"/>
      <c r="AJ1080" s="97"/>
      <c r="AK1080" s="4"/>
    </row>
    <row r="1081" spans="2:37" s="113" customFormat="1" x14ac:dyDescent="0.4">
      <c r="B1081" s="80"/>
      <c r="C1081" s="563">
        <v>668</v>
      </c>
      <c r="D1081" s="907"/>
      <c r="E1081" s="906"/>
      <c r="F1081" s="921" t="str">
        <f t="shared" si="56"/>
        <v/>
      </c>
      <c r="G1081" s="882" t="str">
        <f t="shared" si="57"/>
        <v/>
      </c>
      <c r="H1081" s="925"/>
      <c r="I1081" s="919"/>
      <c r="J1081" s="919"/>
      <c r="K1081" s="919"/>
      <c r="L1081" s="919"/>
      <c r="O1081" s="339"/>
      <c r="T1081" s="75"/>
      <c r="U1081" s="75"/>
      <c r="V1081" s="75"/>
      <c r="W1081" s="75"/>
      <c r="X1081" s="75"/>
      <c r="Y1081" s="340"/>
      <c r="Z1081" s="341"/>
      <c r="AA1081" s="341"/>
      <c r="AB1081" s="341"/>
      <c r="AC1081" s="340"/>
      <c r="AD1081" s="75"/>
      <c r="AE1081" s="75"/>
      <c r="AF1081" s="75"/>
      <c r="AG1081" s="344"/>
      <c r="AH1081" s="344"/>
      <c r="AI1081" s="344"/>
      <c r="AJ1081" s="97"/>
      <c r="AK1081" s="4"/>
    </row>
    <row r="1082" spans="2:37" s="113" customFormat="1" x14ac:dyDescent="0.4">
      <c r="B1082" s="80"/>
      <c r="C1082" s="563">
        <v>669</v>
      </c>
      <c r="D1082" s="907"/>
      <c r="E1082" s="906"/>
      <c r="F1082" s="921" t="str">
        <f t="shared" si="56"/>
        <v/>
      </c>
      <c r="G1082" s="882" t="str">
        <f t="shared" si="57"/>
        <v/>
      </c>
      <c r="H1082" s="925"/>
      <c r="I1082" s="919"/>
      <c r="J1082" s="919"/>
      <c r="K1082" s="919"/>
      <c r="L1082" s="919"/>
      <c r="O1082" s="339"/>
      <c r="T1082" s="75"/>
      <c r="U1082" s="75"/>
      <c r="V1082" s="75"/>
      <c r="W1082" s="75"/>
      <c r="X1082" s="75"/>
      <c r="Y1082" s="340"/>
      <c r="Z1082" s="341"/>
      <c r="AA1082" s="341"/>
      <c r="AB1082" s="341"/>
      <c r="AC1082" s="340"/>
      <c r="AD1082" s="75"/>
      <c r="AE1082" s="75"/>
      <c r="AF1082" s="75"/>
      <c r="AG1082" s="344"/>
      <c r="AH1082" s="344"/>
      <c r="AI1082" s="344"/>
      <c r="AJ1082" s="97"/>
      <c r="AK1082" s="4"/>
    </row>
    <row r="1083" spans="2:37" s="113" customFormat="1" x14ac:dyDescent="0.4">
      <c r="B1083" s="80"/>
      <c r="C1083" s="563">
        <v>670</v>
      </c>
      <c r="D1083" s="907"/>
      <c r="E1083" s="906"/>
      <c r="F1083" s="921" t="str">
        <f t="shared" si="56"/>
        <v/>
      </c>
      <c r="G1083" s="882" t="str">
        <f t="shared" si="57"/>
        <v/>
      </c>
      <c r="H1083" s="925"/>
      <c r="I1083" s="919"/>
      <c r="J1083" s="919"/>
      <c r="K1083" s="919"/>
      <c r="L1083" s="919"/>
      <c r="O1083" s="339"/>
      <c r="T1083" s="75"/>
      <c r="U1083" s="75"/>
      <c r="V1083" s="75"/>
      <c r="W1083" s="75"/>
      <c r="X1083" s="75"/>
      <c r="Y1083" s="340"/>
      <c r="Z1083" s="341"/>
      <c r="AA1083" s="341"/>
      <c r="AB1083" s="341"/>
      <c r="AC1083" s="340"/>
      <c r="AD1083" s="75"/>
      <c r="AE1083" s="75"/>
      <c r="AF1083" s="75"/>
      <c r="AG1083" s="344"/>
      <c r="AH1083" s="344"/>
      <c r="AI1083" s="344"/>
      <c r="AJ1083" s="97"/>
      <c r="AK1083" s="4"/>
    </row>
    <row r="1084" spans="2:37" s="113" customFormat="1" x14ac:dyDescent="0.4">
      <c r="B1084" s="80"/>
      <c r="C1084" s="563">
        <v>671</v>
      </c>
      <c r="D1084" s="907"/>
      <c r="E1084" s="906"/>
      <c r="F1084" s="921" t="str">
        <f t="shared" si="56"/>
        <v/>
      </c>
      <c r="G1084" s="882" t="str">
        <f t="shared" si="57"/>
        <v/>
      </c>
      <c r="H1084" s="925"/>
      <c r="I1084" s="919"/>
      <c r="J1084" s="919"/>
      <c r="K1084" s="919"/>
      <c r="L1084" s="919"/>
      <c r="O1084" s="339"/>
      <c r="T1084" s="75"/>
      <c r="U1084" s="75"/>
      <c r="V1084" s="75"/>
      <c r="W1084" s="75"/>
      <c r="X1084" s="75"/>
      <c r="Y1084" s="340"/>
      <c r="Z1084" s="341"/>
      <c r="AA1084" s="341"/>
      <c r="AB1084" s="341"/>
      <c r="AC1084" s="340"/>
      <c r="AD1084" s="75"/>
      <c r="AE1084" s="75"/>
      <c r="AF1084" s="75"/>
      <c r="AG1084" s="344"/>
      <c r="AH1084" s="344"/>
      <c r="AI1084" s="344"/>
      <c r="AJ1084" s="97"/>
      <c r="AK1084" s="4"/>
    </row>
    <row r="1085" spans="2:37" s="113" customFormat="1" x14ac:dyDescent="0.4">
      <c r="B1085" s="80"/>
      <c r="C1085" s="563">
        <v>672</v>
      </c>
      <c r="D1085" s="907"/>
      <c r="E1085" s="906"/>
      <c r="F1085" s="921" t="str">
        <f t="shared" si="56"/>
        <v/>
      </c>
      <c r="G1085" s="882" t="str">
        <f t="shared" si="57"/>
        <v/>
      </c>
      <c r="H1085" s="925"/>
      <c r="I1085" s="919"/>
      <c r="J1085" s="919"/>
      <c r="K1085" s="919"/>
      <c r="L1085" s="919"/>
      <c r="O1085" s="339"/>
      <c r="T1085" s="75"/>
      <c r="U1085" s="75"/>
      <c r="V1085" s="75"/>
      <c r="W1085" s="75"/>
      <c r="X1085" s="75"/>
      <c r="Y1085" s="340"/>
      <c r="Z1085" s="341"/>
      <c r="AA1085" s="341"/>
      <c r="AB1085" s="341"/>
      <c r="AC1085" s="340"/>
      <c r="AD1085" s="75"/>
      <c r="AE1085" s="75"/>
      <c r="AF1085" s="75"/>
      <c r="AG1085" s="344"/>
      <c r="AH1085" s="344"/>
      <c r="AI1085" s="344"/>
      <c r="AJ1085" s="97"/>
      <c r="AK1085" s="4"/>
    </row>
    <row r="1086" spans="2:37" s="113" customFormat="1" x14ac:dyDescent="0.4">
      <c r="B1086" s="80"/>
      <c r="C1086" s="563">
        <v>673</v>
      </c>
      <c r="D1086" s="907"/>
      <c r="E1086" s="906"/>
      <c r="F1086" s="921" t="str">
        <f t="shared" si="56"/>
        <v/>
      </c>
      <c r="G1086" s="882" t="str">
        <f t="shared" si="57"/>
        <v/>
      </c>
      <c r="H1086" s="925"/>
      <c r="I1086" s="919"/>
      <c r="J1086" s="919"/>
      <c r="K1086" s="919"/>
      <c r="L1086" s="919"/>
      <c r="O1086" s="339"/>
      <c r="T1086" s="75"/>
      <c r="U1086" s="75"/>
      <c r="V1086" s="75"/>
      <c r="W1086" s="75"/>
      <c r="X1086" s="75"/>
      <c r="Y1086" s="340"/>
      <c r="Z1086" s="341"/>
      <c r="AA1086" s="341"/>
      <c r="AB1086" s="341"/>
      <c r="AC1086" s="340"/>
      <c r="AD1086" s="75"/>
      <c r="AE1086" s="75"/>
      <c r="AF1086" s="75"/>
      <c r="AG1086" s="344"/>
      <c r="AH1086" s="344"/>
      <c r="AI1086" s="344"/>
      <c r="AJ1086" s="97"/>
      <c r="AK1086" s="4"/>
    </row>
    <row r="1087" spans="2:37" s="113" customFormat="1" x14ac:dyDescent="0.4">
      <c r="B1087" s="80"/>
      <c r="C1087" s="563">
        <v>674</v>
      </c>
      <c r="D1087" s="907"/>
      <c r="E1087" s="906"/>
      <c r="F1087" s="921" t="str">
        <f t="shared" si="56"/>
        <v/>
      </c>
      <c r="G1087" s="882" t="str">
        <f t="shared" si="57"/>
        <v/>
      </c>
      <c r="H1087" s="925"/>
      <c r="I1087" s="919"/>
      <c r="J1087" s="919"/>
      <c r="K1087" s="919"/>
      <c r="L1087" s="919"/>
      <c r="O1087" s="339"/>
      <c r="T1087" s="75"/>
      <c r="U1087" s="75"/>
      <c r="V1087" s="75"/>
      <c r="W1087" s="75"/>
      <c r="X1087" s="75"/>
      <c r="Y1087" s="340"/>
      <c r="Z1087" s="341"/>
      <c r="AA1087" s="341"/>
      <c r="AB1087" s="341"/>
      <c r="AC1087" s="340"/>
      <c r="AD1087" s="75"/>
      <c r="AE1087" s="75"/>
      <c r="AF1087" s="75"/>
      <c r="AG1087" s="344"/>
      <c r="AH1087" s="344"/>
      <c r="AI1087" s="344"/>
      <c r="AJ1087" s="97"/>
      <c r="AK1087" s="4"/>
    </row>
    <row r="1088" spans="2:37" s="113" customFormat="1" x14ac:dyDescent="0.4">
      <c r="B1088" s="80"/>
      <c r="C1088" s="563">
        <v>675</v>
      </c>
      <c r="D1088" s="907"/>
      <c r="E1088" s="906"/>
      <c r="F1088" s="921" t="str">
        <f t="shared" si="56"/>
        <v/>
      </c>
      <c r="G1088" s="882" t="str">
        <f t="shared" si="57"/>
        <v/>
      </c>
      <c r="H1088" s="925"/>
      <c r="I1088" s="919"/>
      <c r="J1088" s="919"/>
      <c r="K1088" s="919"/>
      <c r="L1088" s="919"/>
      <c r="O1088" s="339"/>
      <c r="T1088" s="75"/>
      <c r="U1088" s="75"/>
      <c r="V1088" s="75"/>
      <c r="W1088" s="75"/>
      <c r="X1088" s="75"/>
      <c r="Y1088" s="340"/>
      <c r="Z1088" s="341"/>
      <c r="AA1088" s="341"/>
      <c r="AB1088" s="341"/>
      <c r="AC1088" s="340"/>
      <c r="AD1088" s="75"/>
      <c r="AE1088" s="75"/>
      <c r="AF1088" s="75"/>
      <c r="AG1088" s="344"/>
      <c r="AH1088" s="344"/>
      <c r="AI1088" s="344"/>
      <c r="AJ1088" s="97"/>
      <c r="AK1088" s="4"/>
    </row>
    <row r="1089" spans="2:37" s="113" customFormat="1" x14ac:dyDescent="0.4">
      <c r="B1089" s="80"/>
      <c r="C1089" s="563">
        <v>676</v>
      </c>
      <c r="D1089" s="907"/>
      <c r="E1089" s="906"/>
      <c r="F1089" s="921" t="str">
        <f t="shared" si="56"/>
        <v/>
      </c>
      <c r="G1089" s="882" t="str">
        <f t="shared" si="57"/>
        <v/>
      </c>
      <c r="H1089" s="925"/>
      <c r="I1089" s="919"/>
      <c r="J1089" s="919"/>
      <c r="K1089" s="919"/>
      <c r="L1089" s="919"/>
      <c r="O1089" s="339"/>
      <c r="T1089" s="75"/>
      <c r="U1089" s="75"/>
      <c r="V1089" s="75"/>
      <c r="W1089" s="75"/>
      <c r="X1089" s="75"/>
      <c r="Y1089" s="340"/>
      <c r="Z1089" s="341"/>
      <c r="AA1089" s="341"/>
      <c r="AB1089" s="341"/>
      <c r="AC1089" s="340"/>
      <c r="AD1089" s="75"/>
      <c r="AE1089" s="75"/>
      <c r="AF1089" s="75"/>
      <c r="AG1089" s="344"/>
      <c r="AH1089" s="344"/>
      <c r="AI1089" s="344"/>
      <c r="AJ1089" s="97"/>
      <c r="AK1089" s="4"/>
    </row>
    <row r="1090" spans="2:37" s="113" customFormat="1" x14ac:dyDescent="0.4">
      <c r="B1090" s="80"/>
      <c r="C1090" s="563">
        <v>677</v>
      </c>
      <c r="D1090" s="907"/>
      <c r="E1090" s="906"/>
      <c r="F1090" s="921" t="str">
        <f t="shared" si="56"/>
        <v/>
      </c>
      <c r="G1090" s="882" t="str">
        <f t="shared" si="57"/>
        <v/>
      </c>
      <c r="H1090" s="925"/>
      <c r="I1090" s="919"/>
      <c r="J1090" s="919"/>
      <c r="K1090" s="919"/>
      <c r="L1090" s="919"/>
      <c r="O1090" s="339"/>
      <c r="T1090" s="75"/>
      <c r="U1090" s="75"/>
      <c r="V1090" s="75"/>
      <c r="W1090" s="75"/>
      <c r="X1090" s="75"/>
      <c r="Y1090" s="340"/>
      <c r="Z1090" s="341"/>
      <c r="AA1090" s="341"/>
      <c r="AB1090" s="341"/>
      <c r="AC1090" s="340"/>
      <c r="AD1090" s="75"/>
      <c r="AE1090" s="75"/>
      <c r="AF1090" s="75"/>
      <c r="AG1090" s="344"/>
      <c r="AH1090" s="344"/>
      <c r="AI1090" s="344"/>
      <c r="AJ1090" s="97"/>
      <c r="AK1090" s="4"/>
    </row>
    <row r="1091" spans="2:37" s="113" customFormat="1" x14ac:dyDescent="0.4">
      <c r="B1091" s="80"/>
      <c r="C1091" s="563">
        <v>678</v>
      </c>
      <c r="D1091" s="907"/>
      <c r="E1091" s="906"/>
      <c r="F1091" s="921" t="str">
        <f t="shared" si="56"/>
        <v/>
      </c>
      <c r="G1091" s="882" t="str">
        <f t="shared" si="57"/>
        <v/>
      </c>
      <c r="H1091" s="925"/>
      <c r="I1091" s="919"/>
      <c r="J1091" s="919"/>
      <c r="K1091" s="919"/>
      <c r="L1091" s="919"/>
      <c r="O1091" s="339"/>
      <c r="T1091" s="75"/>
      <c r="U1091" s="75"/>
      <c r="V1091" s="75"/>
      <c r="W1091" s="75"/>
      <c r="X1091" s="75"/>
      <c r="Y1091" s="340"/>
      <c r="Z1091" s="341"/>
      <c r="AA1091" s="341"/>
      <c r="AB1091" s="341"/>
      <c r="AC1091" s="340"/>
      <c r="AD1091" s="75"/>
      <c r="AE1091" s="75"/>
      <c r="AF1091" s="75"/>
      <c r="AG1091" s="344"/>
      <c r="AH1091" s="344"/>
      <c r="AI1091" s="344"/>
      <c r="AJ1091" s="97"/>
      <c r="AK1091" s="4"/>
    </row>
    <row r="1092" spans="2:37" s="113" customFormat="1" x14ac:dyDescent="0.4">
      <c r="B1092" s="80"/>
      <c r="C1092" s="563">
        <v>679</v>
      </c>
      <c r="D1092" s="907"/>
      <c r="E1092" s="906"/>
      <c r="F1092" s="921" t="str">
        <f t="shared" si="56"/>
        <v/>
      </c>
      <c r="G1092" s="882" t="str">
        <f t="shared" si="57"/>
        <v/>
      </c>
      <c r="H1092" s="925"/>
      <c r="I1092" s="919"/>
      <c r="J1092" s="919"/>
      <c r="K1092" s="919"/>
      <c r="L1092" s="919"/>
      <c r="O1092" s="339"/>
      <c r="T1092" s="75"/>
      <c r="U1092" s="75"/>
      <c r="V1092" s="75"/>
      <c r="W1092" s="75"/>
      <c r="X1092" s="75"/>
      <c r="Y1092" s="340"/>
      <c r="Z1092" s="341"/>
      <c r="AA1092" s="341"/>
      <c r="AB1092" s="341"/>
      <c r="AC1092" s="340"/>
      <c r="AD1092" s="75"/>
      <c r="AE1092" s="75"/>
      <c r="AF1092" s="75"/>
      <c r="AG1092" s="344"/>
      <c r="AH1092" s="344"/>
      <c r="AI1092" s="344"/>
      <c r="AJ1092" s="97"/>
      <c r="AK1092" s="4"/>
    </row>
    <row r="1093" spans="2:37" s="113" customFormat="1" x14ac:dyDescent="0.4">
      <c r="B1093" s="80"/>
      <c r="C1093" s="563">
        <v>680</v>
      </c>
      <c r="D1093" s="907"/>
      <c r="E1093" s="906"/>
      <c r="F1093" s="921" t="str">
        <f t="shared" si="56"/>
        <v/>
      </c>
      <c r="G1093" s="882" t="str">
        <f t="shared" si="57"/>
        <v/>
      </c>
      <c r="H1093" s="925"/>
      <c r="I1093" s="919"/>
      <c r="J1093" s="919"/>
      <c r="K1093" s="919"/>
      <c r="L1093" s="919"/>
      <c r="O1093" s="339"/>
      <c r="T1093" s="75"/>
      <c r="U1093" s="75"/>
      <c r="V1093" s="75"/>
      <c r="W1093" s="75"/>
      <c r="X1093" s="75"/>
      <c r="Y1093" s="340"/>
      <c r="Z1093" s="341"/>
      <c r="AA1093" s="341"/>
      <c r="AB1093" s="341"/>
      <c r="AC1093" s="340"/>
      <c r="AD1093" s="75"/>
      <c r="AE1093" s="75"/>
      <c r="AF1093" s="75"/>
      <c r="AG1093" s="344"/>
      <c r="AH1093" s="344"/>
      <c r="AI1093" s="344"/>
      <c r="AJ1093" s="97"/>
      <c r="AK1093" s="4"/>
    </row>
    <row r="1094" spans="2:37" s="113" customFormat="1" x14ac:dyDescent="0.4">
      <c r="B1094" s="80"/>
      <c r="C1094" s="563">
        <v>681</v>
      </c>
      <c r="D1094" s="907"/>
      <c r="E1094" s="906"/>
      <c r="F1094" s="921" t="str">
        <f t="shared" si="56"/>
        <v/>
      </c>
      <c r="G1094" s="882" t="str">
        <f t="shared" si="57"/>
        <v/>
      </c>
      <c r="H1094" s="925"/>
      <c r="I1094" s="919"/>
      <c r="J1094" s="919"/>
      <c r="K1094" s="919"/>
      <c r="L1094" s="919"/>
      <c r="O1094" s="339"/>
      <c r="T1094" s="75"/>
      <c r="U1094" s="75"/>
      <c r="V1094" s="75"/>
      <c r="W1094" s="75"/>
      <c r="X1094" s="75"/>
      <c r="Y1094" s="340"/>
      <c r="Z1094" s="341"/>
      <c r="AA1094" s="341"/>
      <c r="AB1094" s="341"/>
      <c r="AC1094" s="340"/>
      <c r="AD1094" s="75"/>
      <c r="AE1094" s="75"/>
      <c r="AF1094" s="75"/>
      <c r="AG1094" s="344"/>
      <c r="AH1094" s="344"/>
      <c r="AI1094" s="344"/>
      <c r="AJ1094" s="97"/>
      <c r="AK1094" s="4"/>
    </row>
    <row r="1095" spans="2:37" s="113" customFormat="1" x14ac:dyDescent="0.4">
      <c r="B1095" s="80"/>
      <c r="C1095" s="563">
        <v>682</v>
      </c>
      <c r="D1095" s="907"/>
      <c r="E1095" s="906"/>
      <c r="F1095" s="921" t="str">
        <f t="shared" si="56"/>
        <v/>
      </c>
      <c r="G1095" s="882" t="str">
        <f t="shared" si="57"/>
        <v/>
      </c>
      <c r="H1095" s="925"/>
      <c r="I1095" s="919"/>
      <c r="J1095" s="919"/>
      <c r="K1095" s="919"/>
      <c r="L1095" s="919"/>
      <c r="O1095" s="339"/>
      <c r="T1095" s="75"/>
      <c r="U1095" s="75"/>
      <c r="V1095" s="75"/>
      <c r="W1095" s="75"/>
      <c r="X1095" s="75"/>
      <c r="Y1095" s="340"/>
      <c r="Z1095" s="341"/>
      <c r="AA1095" s="341"/>
      <c r="AB1095" s="341"/>
      <c r="AC1095" s="340"/>
      <c r="AD1095" s="75"/>
      <c r="AE1095" s="75"/>
      <c r="AF1095" s="75"/>
      <c r="AG1095" s="344"/>
      <c r="AH1095" s="344"/>
      <c r="AI1095" s="344"/>
      <c r="AJ1095" s="97"/>
      <c r="AK1095" s="4"/>
    </row>
    <row r="1096" spans="2:37" s="113" customFormat="1" x14ac:dyDescent="0.4">
      <c r="B1096" s="80"/>
      <c r="C1096" s="563">
        <v>683</v>
      </c>
      <c r="D1096" s="907"/>
      <c r="E1096" s="906"/>
      <c r="F1096" s="921" t="str">
        <f t="shared" si="56"/>
        <v/>
      </c>
      <c r="G1096" s="882" t="str">
        <f t="shared" si="57"/>
        <v/>
      </c>
      <c r="H1096" s="925"/>
      <c r="I1096" s="919"/>
      <c r="J1096" s="919"/>
      <c r="K1096" s="919"/>
      <c r="L1096" s="919"/>
      <c r="O1096" s="339"/>
      <c r="T1096" s="75"/>
      <c r="U1096" s="75"/>
      <c r="V1096" s="75"/>
      <c r="W1096" s="75"/>
      <c r="X1096" s="75"/>
      <c r="Y1096" s="340"/>
      <c r="Z1096" s="341"/>
      <c r="AA1096" s="341"/>
      <c r="AB1096" s="341"/>
      <c r="AC1096" s="340"/>
      <c r="AD1096" s="75"/>
      <c r="AE1096" s="75"/>
      <c r="AF1096" s="75"/>
      <c r="AG1096" s="344"/>
      <c r="AH1096" s="344"/>
      <c r="AI1096" s="344"/>
      <c r="AJ1096" s="97"/>
      <c r="AK1096" s="4"/>
    </row>
    <row r="1097" spans="2:37" s="113" customFormat="1" x14ac:dyDescent="0.4">
      <c r="B1097" s="80"/>
      <c r="C1097" s="563">
        <v>684</v>
      </c>
      <c r="D1097" s="907"/>
      <c r="E1097" s="906"/>
      <c r="F1097" s="921" t="str">
        <f t="shared" si="56"/>
        <v/>
      </c>
      <c r="G1097" s="882" t="str">
        <f t="shared" si="57"/>
        <v/>
      </c>
      <c r="H1097" s="925"/>
      <c r="I1097" s="919"/>
      <c r="J1097" s="919"/>
      <c r="K1097" s="919"/>
      <c r="L1097" s="919"/>
      <c r="O1097" s="339"/>
      <c r="T1097" s="75"/>
      <c r="U1097" s="75"/>
      <c r="V1097" s="75"/>
      <c r="W1097" s="75"/>
      <c r="X1097" s="75"/>
      <c r="Y1097" s="340"/>
      <c r="Z1097" s="341"/>
      <c r="AA1097" s="341"/>
      <c r="AB1097" s="341"/>
      <c r="AC1097" s="340"/>
      <c r="AD1097" s="75"/>
      <c r="AE1097" s="75"/>
      <c r="AF1097" s="75"/>
      <c r="AG1097" s="344"/>
      <c r="AH1097" s="344"/>
      <c r="AI1097" s="344"/>
      <c r="AJ1097" s="97"/>
      <c r="AK1097" s="4"/>
    </row>
    <row r="1098" spans="2:37" s="113" customFormat="1" x14ac:dyDescent="0.4">
      <c r="B1098" s="80"/>
      <c r="C1098" s="563">
        <v>685</v>
      </c>
      <c r="D1098" s="907"/>
      <c r="E1098" s="906"/>
      <c r="F1098" s="921" t="str">
        <f t="shared" si="56"/>
        <v/>
      </c>
      <c r="G1098" s="882" t="str">
        <f t="shared" si="57"/>
        <v/>
      </c>
      <c r="H1098" s="925"/>
      <c r="I1098" s="919"/>
      <c r="J1098" s="919"/>
      <c r="K1098" s="919"/>
      <c r="L1098" s="919"/>
      <c r="O1098" s="339"/>
      <c r="T1098" s="75"/>
      <c r="U1098" s="75"/>
      <c r="V1098" s="75"/>
      <c r="W1098" s="75"/>
      <c r="X1098" s="75"/>
      <c r="Y1098" s="340"/>
      <c r="Z1098" s="341"/>
      <c r="AA1098" s="341"/>
      <c r="AB1098" s="341"/>
      <c r="AC1098" s="340"/>
      <c r="AD1098" s="75"/>
      <c r="AE1098" s="75"/>
      <c r="AF1098" s="75"/>
      <c r="AG1098" s="344"/>
      <c r="AH1098" s="344"/>
      <c r="AI1098" s="344"/>
      <c r="AJ1098" s="97"/>
      <c r="AK1098" s="4"/>
    </row>
    <row r="1099" spans="2:37" s="113" customFormat="1" x14ac:dyDescent="0.4">
      <c r="B1099" s="80"/>
      <c r="C1099" s="563">
        <v>686</v>
      </c>
      <c r="D1099" s="907"/>
      <c r="E1099" s="906"/>
      <c r="F1099" s="921" t="str">
        <f t="shared" si="56"/>
        <v/>
      </c>
      <c r="G1099" s="882" t="str">
        <f t="shared" si="57"/>
        <v/>
      </c>
      <c r="H1099" s="925"/>
      <c r="I1099" s="919"/>
      <c r="J1099" s="919"/>
      <c r="K1099" s="919"/>
      <c r="L1099" s="919"/>
      <c r="O1099" s="339"/>
      <c r="T1099" s="75"/>
      <c r="U1099" s="75"/>
      <c r="V1099" s="75"/>
      <c r="W1099" s="75"/>
      <c r="X1099" s="75"/>
      <c r="Y1099" s="340"/>
      <c r="Z1099" s="341"/>
      <c r="AA1099" s="341"/>
      <c r="AB1099" s="341"/>
      <c r="AC1099" s="340"/>
      <c r="AD1099" s="75"/>
      <c r="AE1099" s="75"/>
      <c r="AF1099" s="75"/>
      <c r="AG1099" s="344"/>
      <c r="AH1099" s="344"/>
      <c r="AI1099" s="344"/>
      <c r="AJ1099" s="97"/>
      <c r="AK1099" s="4"/>
    </row>
    <row r="1100" spans="2:37" s="113" customFormat="1" x14ac:dyDescent="0.4">
      <c r="B1100" s="80"/>
      <c r="C1100" s="563">
        <v>687</v>
      </c>
      <c r="D1100" s="907"/>
      <c r="E1100" s="906"/>
      <c r="F1100" s="921" t="str">
        <f t="shared" si="56"/>
        <v/>
      </c>
      <c r="G1100" s="882" t="str">
        <f t="shared" si="57"/>
        <v/>
      </c>
      <c r="H1100" s="925"/>
      <c r="I1100" s="919"/>
      <c r="J1100" s="919"/>
      <c r="K1100" s="919"/>
      <c r="L1100" s="919"/>
      <c r="O1100" s="339"/>
      <c r="T1100" s="75"/>
      <c r="U1100" s="75"/>
      <c r="V1100" s="75"/>
      <c r="W1100" s="75"/>
      <c r="X1100" s="75"/>
      <c r="Y1100" s="340"/>
      <c r="Z1100" s="341"/>
      <c r="AA1100" s="341"/>
      <c r="AB1100" s="341"/>
      <c r="AC1100" s="340"/>
      <c r="AD1100" s="75"/>
      <c r="AE1100" s="75"/>
      <c r="AF1100" s="75"/>
      <c r="AG1100" s="344"/>
      <c r="AH1100" s="344"/>
      <c r="AI1100" s="344"/>
      <c r="AJ1100" s="97"/>
      <c r="AK1100" s="4"/>
    </row>
    <row r="1101" spans="2:37" s="113" customFormat="1" x14ac:dyDescent="0.4">
      <c r="B1101" s="80"/>
      <c r="C1101" s="563">
        <v>688</v>
      </c>
      <c r="D1101" s="907"/>
      <c r="E1101" s="906"/>
      <c r="F1101" s="921" t="str">
        <f t="shared" si="56"/>
        <v/>
      </c>
      <c r="G1101" s="882" t="str">
        <f t="shared" si="57"/>
        <v/>
      </c>
      <c r="H1101" s="925"/>
      <c r="I1101" s="919"/>
      <c r="J1101" s="919"/>
      <c r="K1101" s="919"/>
      <c r="L1101" s="919"/>
      <c r="O1101" s="339"/>
      <c r="T1101" s="75"/>
      <c r="U1101" s="75"/>
      <c r="V1101" s="75"/>
      <c r="W1101" s="75"/>
      <c r="X1101" s="75"/>
      <c r="Y1101" s="340"/>
      <c r="Z1101" s="341"/>
      <c r="AA1101" s="341"/>
      <c r="AB1101" s="341"/>
      <c r="AC1101" s="340"/>
      <c r="AD1101" s="75"/>
      <c r="AE1101" s="75"/>
      <c r="AF1101" s="75"/>
      <c r="AG1101" s="344"/>
      <c r="AH1101" s="344"/>
      <c r="AI1101" s="344"/>
      <c r="AJ1101" s="97"/>
      <c r="AK1101" s="4"/>
    </row>
    <row r="1102" spans="2:37" s="113" customFormat="1" x14ac:dyDescent="0.4">
      <c r="B1102" s="80"/>
      <c r="C1102" s="563">
        <v>689</v>
      </c>
      <c r="D1102" s="907"/>
      <c r="E1102" s="906"/>
      <c r="F1102" s="921" t="str">
        <f t="shared" si="56"/>
        <v/>
      </c>
      <c r="G1102" s="882" t="str">
        <f t="shared" si="57"/>
        <v/>
      </c>
      <c r="H1102" s="925"/>
      <c r="I1102" s="919"/>
      <c r="J1102" s="919"/>
      <c r="K1102" s="919"/>
      <c r="L1102" s="919"/>
      <c r="O1102" s="339"/>
      <c r="T1102" s="75"/>
      <c r="U1102" s="75"/>
      <c r="V1102" s="75"/>
      <c r="W1102" s="75"/>
      <c r="X1102" s="75"/>
      <c r="Y1102" s="340"/>
      <c r="Z1102" s="341"/>
      <c r="AA1102" s="341"/>
      <c r="AB1102" s="341"/>
      <c r="AC1102" s="340"/>
      <c r="AD1102" s="75"/>
      <c r="AE1102" s="75"/>
      <c r="AF1102" s="75"/>
      <c r="AG1102" s="344"/>
      <c r="AH1102" s="344"/>
      <c r="AI1102" s="344"/>
      <c r="AJ1102" s="97"/>
      <c r="AK1102" s="4"/>
    </row>
    <row r="1103" spans="2:37" s="113" customFormat="1" x14ac:dyDescent="0.4">
      <c r="B1103" s="80"/>
      <c r="C1103" s="563">
        <v>690</v>
      </c>
      <c r="D1103" s="907"/>
      <c r="E1103" s="906"/>
      <c r="F1103" s="921" t="str">
        <f t="shared" si="56"/>
        <v/>
      </c>
      <c r="G1103" s="882" t="str">
        <f t="shared" si="57"/>
        <v/>
      </c>
      <c r="H1103" s="925"/>
      <c r="I1103" s="919"/>
      <c r="J1103" s="919"/>
      <c r="K1103" s="919"/>
      <c r="L1103" s="919"/>
      <c r="O1103" s="339"/>
      <c r="T1103" s="75"/>
      <c r="U1103" s="75"/>
      <c r="V1103" s="75"/>
      <c r="W1103" s="75"/>
      <c r="X1103" s="75"/>
      <c r="Y1103" s="340"/>
      <c r="Z1103" s="341"/>
      <c r="AA1103" s="341"/>
      <c r="AB1103" s="341"/>
      <c r="AC1103" s="340"/>
      <c r="AD1103" s="75"/>
      <c r="AE1103" s="75"/>
      <c r="AF1103" s="75"/>
      <c r="AG1103" s="344"/>
      <c r="AH1103" s="344"/>
      <c r="AI1103" s="344"/>
      <c r="AJ1103" s="97"/>
      <c r="AK1103" s="4"/>
    </row>
    <row r="1104" spans="2:37" s="113" customFormat="1" x14ac:dyDescent="0.4">
      <c r="B1104" s="80"/>
      <c r="C1104" s="563">
        <v>691</v>
      </c>
      <c r="D1104" s="907"/>
      <c r="E1104" s="906"/>
      <c r="F1104" s="921" t="str">
        <f t="shared" si="56"/>
        <v/>
      </c>
      <c r="G1104" s="882" t="str">
        <f t="shared" si="57"/>
        <v/>
      </c>
      <c r="H1104" s="925"/>
      <c r="I1104" s="919"/>
      <c r="J1104" s="919"/>
      <c r="K1104" s="919"/>
      <c r="L1104" s="919"/>
      <c r="O1104" s="339"/>
      <c r="T1104" s="75"/>
      <c r="U1104" s="75"/>
      <c r="V1104" s="75"/>
      <c r="W1104" s="75"/>
      <c r="X1104" s="75"/>
      <c r="Y1104" s="340"/>
      <c r="Z1104" s="341"/>
      <c r="AA1104" s="341"/>
      <c r="AB1104" s="341"/>
      <c r="AC1104" s="340"/>
      <c r="AD1104" s="75"/>
      <c r="AE1104" s="75"/>
      <c r="AF1104" s="75"/>
      <c r="AG1104" s="344"/>
      <c r="AH1104" s="344"/>
      <c r="AI1104" s="344"/>
      <c r="AJ1104" s="97"/>
      <c r="AK1104" s="4"/>
    </row>
    <row r="1105" spans="2:37" s="113" customFormat="1" x14ac:dyDescent="0.4">
      <c r="B1105" s="80"/>
      <c r="C1105" s="563">
        <v>692</v>
      </c>
      <c r="D1105" s="907"/>
      <c r="E1105" s="906"/>
      <c r="F1105" s="921" t="str">
        <f t="shared" si="56"/>
        <v/>
      </c>
      <c r="G1105" s="882" t="str">
        <f t="shared" si="57"/>
        <v/>
      </c>
      <c r="H1105" s="925"/>
      <c r="I1105" s="919"/>
      <c r="J1105" s="919"/>
      <c r="K1105" s="919"/>
      <c r="L1105" s="919"/>
      <c r="O1105" s="339"/>
      <c r="T1105" s="75"/>
      <c r="U1105" s="75"/>
      <c r="V1105" s="75"/>
      <c r="W1105" s="75"/>
      <c r="X1105" s="75"/>
      <c r="Y1105" s="340"/>
      <c r="Z1105" s="341"/>
      <c r="AA1105" s="341"/>
      <c r="AB1105" s="341"/>
      <c r="AC1105" s="340"/>
      <c r="AD1105" s="75"/>
      <c r="AE1105" s="75"/>
      <c r="AF1105" s="75"/>
      <c r="AG1105" s="344"/>
      <c r="AH1105" s="344"/>
      <c r="AI1105" s="344"/>
      <c r="AJ1105" s="97"/>
      <c r="AK1105" s="4"/>
    </row>
    <row r="1106" spans="2:37" s="113" customFormat="1" x14ac:dyDescent="0.4">
      <c r="B1106" s="80"/>
      <c r="C1106" s="563">
        <v>693</v>
      </c>
      <c r="D1106" s="907"/>
      <c r="E1106" s="906"/>
      <c r="F1106" s="921" t="str">
        <f t="shared" si="56"/>
        <v/>
      </c>
      <c r="G1106" s="882" t="str">
        <f t="shared" si="57"/>
        <v/>
      </c>
      <c r="H1106" s="925"/>
      <c r="I1106" s="919"/>
      <c r="J1106" s="919"/>
      <c r="K1106" s="919"/>
      <c r="L1106" s="919"/>
      <c r="O1106" s="339"/>
      <c r="T1106" s="75"/>
      <c r="U1106" s="75"/>
      <c r="V1106" s="75"/>
      <c r="W1106" s="75"/>
      <c r="X1106" s="75"/>
      <c r="Y1106" s="340"/>
      <c r="Z1106" s="341"/>
      <c r="AA1106" s="341"/>
      <c r="AB1106" s="341"/>
      <c r="AC1106" s="340"/>
      <c r="AD1106" s="75"/>
      <c r="AE1106" s="75"/>
      <c r="AF1106" s="75"/>
      <c r="AG1106" s="344"/>
      <c r="AH1106" s="344"/>
      <c r="AI1106" s="344"/>
      <c r="AJ1106" s="97"/>
      <c r="AK1106" s="4"/>
    </row>
    <row r="1107" spans="2:37" s="113" customFormat="1" x14ac:dyDescent="0.4">
      <c r="B1107" s="80"/>
      <c r="C1107" s="563">
        <v>694</v>
      </c>
      <c r="D1107" s="907"/>
      <c r="E1107" s="906"/>
      <c r="F1107" s="921" t="str">
        <f t="shared" si="56"/>
        <v/>
      </c>
      <c r="G1107" s="882" t="str">
        <f t="shared" si="57"/>
        <v/>
      </c>
      <c r="H1107" s="925"/>
      <c r="I1107" s="919"/>
      <c r="J1107" s="919"/>
      <c r="K1107" s="919"/>
      <c r="L1107" s="919"/>
      <c r="O1107" s="339"/>
      <c r="T1107" s="75"/>
      <c r="U1107" s="75"/>
      <c r="V1107" s="75"/>
      <c r="W1107" s="75"/>
      <c r="X1107" s="75"/>
      <c r="Y1107" s="340"/>
      <c r="Z1107" s="341"/>
      <c r="AA1107" s="341"/>
      <c r="AB1107" s="341"/>
      <c r="AC1107" s="340"/>
      <c r="AD1107" s="75"/>
      <c r="AE1107" s="75"/>
      <c r="AF1107" s="75"/>
      <c r="AG1107" s="344"/>
      <c r="AH1107" s="344"/>
      <c r="AI1107" s="344"/>
      <c r="AJ1107" s="97"/>
      <c r="AK1107" s="4"/>
    </row>
    <row r="1108" spans="2:37" s="113" customFormat="1" x14ac:dyDescent="0.4">
      <c r="B1108" s="80"/>
      <c r="C1108" s="563">
        <v>695</v>
      </c>
      <c r="D1108" s="907"/>
      <c r="E1108" s="906"/>
      <c r="F1108" s="921" t="str">
        <f t="shared" si="56"/>
        <v/>
      </c>
      <c r="G1108" s="882" t="str">
        <f t="shared" si="57"/>
        <v/>
      </c>
      <c r="H1108" s="925"/>
      <c r="I1108" s="919"/>
      <c r="J1108" s="919"/>
      <c r="K1108" s="919"/>
      <c r="L1108" s="919"/>
      <c r="O1108" s="339"/>
      <c r="T1108" s="75"/>
      <c r="U1108" s="75"/>
      <c r="V1108" s="75"/>
      <c r="W1108" s="75"/>
      <c r="X1108" s="75"/>
      <c r="Y1108" s="340"/>
      <c r="Z1108" s="341"/>
      <c r="AA1108" s="341"/>
      <c r="AB1108" s="341"/>
      <c r="AC1108" s="340"/>
      <c r="AD1108" s="75"/>
      <c r="AE1108" s="75"/>
      <c r="AF1108" s="75"/>
      <c r="AG1108" s="344"/>
      <c r="AH1108" s="344"/>
      <c r="AI1108" s="344"/>
      <c r="AJ1108" s="97"/>
      <c r="AK1108" s="4"/>
    </row>
    <row r="1109" spans="2:37" s="113" customFormat="1" x14ac:dyDescent="0.4">
      <c r="B1109" s="80"/>
      <c r="C1109" s="563">
        <v>696</v>
      </c>
      <c r="D1109" s="907"/>
      <c r="E1109" s="906"/>
      <c r="F1109" s="921" t="str">
        <f t="shared" si="56"/>
        <v/>
      </c>
      <c r="G1109" s="882" t="str">
        <f t="shared" si="57"/>
        <v/>
      </c>
      <c r="H1109" s="925"/>
      <c r="I1109" s="919"/>
      <c r="J1109" s="919"/>
      <c r="K1109" s="919"/>
      <c r="L1109" s="919"/>
      <c r="O1109" s="339"/>
      <c r="T1109" s="75"/>
      <c r="U1109" s="75"/>
      <c r="V1109" s="75"/>
      <c r="W1109" s="75"/>
      <c r="X1109" s="75"/>
      <c r="Y1109" s="340"/>
      <c r="Z1109" s="341"/>
      <c r="AA1109" s="341"/>
      <c r="AB1109" s="341"/>
      <c r="AC1109" s="340"/>
      <c r="AD1109" s="75"/>
      <c r="AE1109" s="75"/>
      <c r="AF1109" s="75"/>
      <c r="AG1109" s="344"/>
      <c r="AH1109" s="344"/>
      <c r="AI1109" s="344"/>
      <c r="AJ1109" s="97"/>
      <c r="AK1109" s="4"/>
    </row>
    <row r="1110" spans="2:37" s="113" customFormat="1" x14ac:dyDescent="0.4">
      <c r="B1110" s="80"/>
      <c r="C1110" s="563">
        <v>697</v>
      </c>
      <c r="D1110" s="907"/>
      <c r="E1110" s="906"/>
      <c r="F1110" s="921" t="str">
        <f t="shared" si="56"/>
        <v/>
      </c>
      <c r="G1110" s="882" t="str">
        <f t="shared" si="57"/>
        <v/>
      </c>
      <c r="H1110" s="925"/>
      <c r="I1110" s="919"/>
      <c r="J1110" s="919"/>
      <c r="K1110" s="919"/>
      <c r="L1110" s="919"/>
      <c r="O1110" s="339"/>
      <c r="T1110" s="75"/>
      <c r="U1110" s="75"/>
      <c r="V1110" s="75"/>
      <c r="W1110" s="75"/>
      <c r="X1110" s="75"/>
      <c r="Y1110" s="340"/>
      <c r="Z1110" s="341"/>
      <c r="AA1110" s="341"/>
      <c r="AB1110" s="341"/>
      <c r="AC1110" s="340"/>
      <c r="AD1110" s="75"/>
      <c r="AE1110" s="75"/>
      <c r="AF1110" s="75"/>
      <c r="AG1110" s="344"/>
      <c r="AH1110" s="344"/>
      <c r="AI1110" s="344"/>
      <c r="AJ1110" s="97"/>
      <c r="AK1110" s="4"/>
    </row>
    <row r="1111" spans="2:37" s="113" customFormat="1" x14ac:dyDescent="0.4">
      <c r="B1111" s="80"/>
      <c r="C1111" s="563">
        <v>698</v>
      </c>
      <c r="D1111" s="907"/>
      <c r="E1111" s="906"/>
      <c r="F1111" s="921" t="str">
        <f t="shared" si="56"/>
        <v/>
      </c>
      <c r="G1111" s="882" t="str">
        <f t="shared" si="57"/>
        <v/>
      </c>
      <c r="H1111" s="925"/>
      <c r="I1111" s="919"/>
      <c r="J1111" s="919"/>
      <c r="K1111" s="919"/>
      <c r="L1111" s="919"/>
      <c r="O1111" s="339"/>
      <c r="T1111" s="75"/>
      <c r="U1111" s="75"/>
      <c r="V1111" s="75"/>
      <c r="W1111" s="75"/>
      <c r="X1111" s="75"/>
      <c r="Y1111" s="340"/>
      <c r="Z1111" s="341"/>
      <c r="AA1111" s="341"/>
      <c r="AB1111" s="341"/>
      <c r="AC1111" s="340"/>
      <c r="AD1111" s="75"/>
      <c r="AE1111" s="75"/>
      <c r="AF1111" s="75"/>
      <c r="AG1111" s="344"/>
      <c r="AH1111" s="344"/>
      <c r="AI1111" s="344"/>
      <c r="AJ1111" s="97"/>
      <c r="AK1111" s="4"/>
    </row>
    <row r="1112" spans="2:37" s="113" customFormat="1" x14ac:dyDescent="0.4">
      <c r="B1112" s="80"/>
      <c r="C1112" s="563">
        <v>699</v>
      </c>
      <c r="D1112" s="907"/>
      <c r="E1112" s="906"/>
      <c r="F1112" s="921" t="str">
        <f t="shared" si="56"/>
        <v/>
      </c>
      <c r="G1112" s="882" t="str">
        <f t="shared" si="57"/>
        <v/>
      </c>
      <c r="H1112" s="925"/>
      <c r="I1112" s="919"/>
      <c r="J1112" s="919"/>
      <c r="K1112" s="919"/>
      <c r="L1112" s="919"/>
      <c r="O1112" s="339"/>
      <c r="T1112" s="75"/>
      <c r="U1112" s="75"/>
      <c r="V1112" s="75"/>
      <c r="W1112" s="75"/>
      <c r="X1112" s="75"/>
      <c r="Y1112" s="340"/>
      <c r="Z1112" s="341"/>
      <c r="AA1112" s="341"/>
      <c r="AB1112" s="341"/>
      <c r="AC1112" s="340"/>
      <c r="AD1112" s="75"/>
      <c r="AE1112" s="75"/>
      <c r="AF1112" s="75"/>
      <c r="AG1112" s="344"/>
      <c r="AH1112" s="344"/>
      <c r="AI1112" s="344"/>
      <c r="AJ1112" s="97"/>
      <c r="AK1112" s="4"/>
    </row>
    <row r="1113" spans="2:37" s="113" customFormat="1" x14ac:dyDescent="0.4">
      <c r="B1113" s="80"/>
      <c r="C1113" s="563">
        <v>700</v>
      </c>
      <c r="D1113" s="907"/>
      <c r="E1113" s="906"/>
      <c r="F1113" s="921" t="str">
        <f t="shared" si="56"/>
        <v/>
      </c>
      <c r="G1113" s="882" t="str">
        <f t="shared" si="57"/>
        <v/>
      </c>
      <c r="H1113" s="925"/>
      <c r="I1113" s="919"/>
      <c r="J1113" s="919"/>
      <c r="K1113" s="919"/>
      <c r="L1113" s="919"/>
      <c r="O1113" s="339"/>
      <c r="T1113" s="75"/>
      <c r="U1113" s="75"/>
      <c r="V1113" s="75"/>
      <c r="W1113" s="75"/>
      <c r="X1113" s="75"/>
      <c r="Y1113" s="340"/>
      <c r="Z1113" s="341"/>
      <c r="AA1113" s="341"/>
      <c r="AB1113" s="341"/>
      <c r="AC1113" s="340"/>
      <c r="AD1113" s="75"/>
      <c r="AE1113" s="75"/>
      <c r="AF1113" s="75"/>
      <c r="AG1113" s="344"/>
      <c r="AH1113" s="344"/>
      <c r="AI1113" s="344"/>
      <c r="AJ1113" s="97"/>
      <c r="AK1113" s="4"/>
    </row>
    <row r="1114" spans="2:37" s="113" customFormat="1" x14ac:dyDescent="0.4">
      <c r="B1114" s="80"/>
      <c r="C1114" s="563">
        <v>701</v>
      </c>
      <c r="D1114" s="907"/>
      <c r="E1114" s="906"/>
      <c r="F1114" s="921" t="str">
        <f t="shared" si="56"/>
        <v/>
      </c>
      <c r="G1114" s="882" t="str">
        <f t="shared" si="57"/>
        <v/>
      </c>
      <c r="H1114" s="925"/>
      <c r="I1114" s="919"/>
      <c r="J1114" s="919"/>
      <c r="K1114" s="919"/>
      <c r="L1114" s="919"/>
      <c r="O1114" s="339"/>
      <c r="T1114" s="75"/>
      <c r="U1114" s="75"/>
      <c r="V1114" s="75"/>
      <c r="W1114" s="75"/>
      <c r="X1114" s="75"/>
      <c r="Y1114" s="340"/>
      <c r="Z1114" s="341"/>
      <c r="AA1114" s="341"/>
      <c r="AB1114" s="341"/>
      <c r="AC1114" s="340"/>
      <c r="AD1114" s="75"/>
      <c r="AE1114" s="75"/>
      <c r="AF1114" s="75"/>
      <c r="AG1114" s="344"/>
      <c r="AH1114" s="344"/>
      <c r="AI1114" s="344"/>
      <c r="AJ1114" s="97"/>
      <c r="AK1114" s="4"/>
    </row>
    <row r="1115" spans="2:37" s="113" customFormat="1" x14ac:dyDescent="0.4">
      <c r="B1115" s="80"/>
      <c r="C1115" s="563">
        <v>702</v>
      </c>
      <c r="D1115" s="907"/>
      <c r="E1115" s="906"/>
      <c r="F1115" s="921" t="str">
        <f t="shared" si="56"/>
        <v/>
      </c>
      <c r="G1115" s="882" t="str">
        <f t="shared" si="57"/>
        <v/>
      </c>
      <c r="H1115" s="925"/>
      <c r="I1115" s="919"/>
      <c r="J1115" s="919"/>
      <c r="K1115" s="919"/>
      <c r="L1115" s="919"/>
      <c r="O1115" s="339"/>
      <c r="T1115" s="75"/>
      <c r="U1115" s="75"/>
      <c r="V1115" s="75"/>
      <c r="W1115" s="75"/>
      <c r="X1115" s="75"/>
      <c r="Y1115" s="340"/>
      <c r="Z1115" s="341"/>
      <c r="AA1115" s="341"/>
      <c r="AB1115" s="341"/>
      <c r="AC1115" s="340"/>
      <c r="AD1115" s="75"/>
      <c r="AE1115" s="75"/>
      <c r="AF1115" s="75"/>
      <c r="AG1115" s="344"/>
      <c r="AH1115" s="344"/>
      <c r="AI1115" s="344"/>
      <c r="AJ1115" s="97"/>
      <c r="AK1115" s="4"/>
    </row>
    <row r="1116" spans="2:37" s="113" customFormat="1" x14ac:dyDescent="0.4">
      <c r="B1116" s="80"/>
      <c r="C1116" s="563">
        <v>703</v>
      </c>
      <c r="D1116" s="907"/>
      <c r="E1116" s="906"/>
      <c r="F1116" s="921" t="str">
        <f t="shared" si="56"/>
        <v/>
      </c>
      <c r="G1116" s="882" t="str">
        <f t="shared" si="57"/>
        <v/>
      </c>
      <c r="H1116" s="925"/>
      <c r="I1116" s="919"/>
      <c r="J1116" s="919"/>
      <c r="K1116" s="919"/>
      <c r="L1116" s="919"/>
      <c r="O1116" s="339"/>
      <c r="T1116" s="75"/>
      <c r="U1116" s="75"/>
      <c r="V1116" s="75"/>
      <c r="W1116" s="75"/>
      <c r="X1116" s="75"/>
      <c r="Y1116" s="340"/>
      <c r="Z1116" s="341"/>
      <c r="AA1116" s="341"/>
      <c r="AB1116" s="341"/>
      <c r="AC1116" s="340"/>
      <c r="AD1116" s="75"/>
      <c r="AE1116" s="75"/>
      <c r="AF1116" s="75"/>
      <c r="AG1116" s="344"/>
      <c r="AH1116" s="344"/>
      <c r="AI1116" s="344"/>
      <c r="AJ1116" s="97"/>
      <c r="AK1116" s="4"/>
    </row>
    <row r="1117" spans="2:37" s="113" customFormat="1" x14ac:dyDescent="0.4">
      <c r="B1117" s="80"/>
      <c r="C1117" s="563">
        <v>704</v>
      </c>
      <c r="D1117" s="907"/>
      <c r="E1117" s="906"/>
      <c r="F1117" s="921" t="str">
        <f t="shared" si="56"/>
        <v/>
      </c>
      <c r="G1117" s="882" t="str">
        <f t="shared" si="57"/>
        <v/>
      </c>
      <c r="H1117" s="925"/>
      <c r="I1117" s="919"/>
      <c r="J1117" s="919"/>
      <c r="K1117" s="919"/>
      <c r="L1117" s="919"/>
      <c r="O1117" s="339"/>
      <c r="T1117" s="75"/>
      <c r="U1117" s="75"/>
      <c r="V1117" s="75"/>
      <c r="W1117" s="75"/>
      <c r="X1117" s="75"/>
      <c r="Y1117" s="340"/>
      <c r="Z1117" s="341"/>
      <c r="AA1117" s="341"/>
      <c r="AB1117" s="341"/>
      <c r="AC1117" s="340"/>
      <c r="AD1117" s="75"/>
      <c r="AE1117" s="75"/>
      <c r="AF1117" s="75"/>
      <c r="AG1117" s="344"/>
      <c r="AH1117" s="344"/>
      <c r="AI1117" s="344"/>
      <c r="AJ1117" s="97"/>
      <c r="AK1117" s="4"/>
    </row>
    <row r="1118" spans="2:37" s="113" customFormat="1" x14ac:dyDescent="0.4">
      <c r="B1118" s="80"/>
      <c r="C1118" s="563">
        <v>705</v>
      </c>
      <c r="D1118" s="907"/>
      <c r="E1118" s="906"/>
      <c r="F1118" s="921" t="str">
        <f t="shared" ref="F1118:F1181" si="58">IF($D$30="","",IF(OR(
AND(C1118&gt;=0,C1118&lt;=$D$32),
AND(C1118&gt;=$E$30,C1118&lt;=$E$32),
AND(C1118&gt;=$F$30,C1118&lt;=$F$32),
AND(C1118&gt;=$G$30,C1118&lt;=$G$32),
AND(C1118&gt;=$H$30,C1118&lt;=$H$32),
AND(C1118&gt;=$I$30,C1118&lt;=$I$32),
AND(C1118&gt;=$J$30,C1118&lt;=$J$32),
AND(C1118&gt;=$K$30,C1118&lt;=$K$32),
AND(C1118&gt;=$L$30,C1118&lt;=$L$32),
AND(C1118&gt;=$M$30,C1118&lt;=$M$32,$M$32&lt;&gt;""),
AND(C1118&gt;=$N$30,C1118&lt;=$N$32,$N$32&lt;&gt;""),
AND(C1118&gt;=$O$30,C1118&lt;=$O$32,$O$32&lt;&gt;""),
AND(C1118&gt;=$P$30,C1118&lt;=$P$32,$P$32&lt;&gt;""),
AND(C1118&gt;=$Q$30,C1118&lt;=$Q$32,$Q$32&lt;&gt;"")
),"ON","OFF"))</f>
        <v/>
      </c>
      <c r="G1118" s="882" t="str">
        <f t="shared" si="57"/>
        <v/>
      </c>
      <c r="H1118" s="925"/>
      <c r="I1118" s="919"/>
      <c r="J1118" s="919"/>
      <c r="K1118" s="919"/>
      <c r="L1118" s="919"/>
      <c r="O1118" s="339"/>
      <c r="T1118" s="75"/>
      <c r="U1118" s="75"/>
      <c r="V1118" s="75"/>
      <c r="W1118" s="75"/>
      <c r="X1118" s="75"/>
      <c r="Y1118" s="340"/>
      <c r="Z1118" s="341"/>
      <c r="AA1118" s="341"/>
      <c r="AB1118" s="341"/>
      <c r="AC1118" s="340"/>
      <c r="AD1118" s="75"/>
      <c r="AE1118" s="75"/>
      <c r="AF1118" s="75"/>
      <c r="AG1118" s="344"/>
      <c r="AH1118" s="344"/>
      <c r="AI1118" s="344"/>
      <c r="AJ1118" s="97"/>
      <c r="AK1118" s="4"/>
    </row>
    <row r="1119" spans="2:37" s="113" customFormat="1" x14ac:dyDescent="0.4">
      <c r="B1119" s="80"/>
      <c r="C1119" s="563">
        <v>706</v>
      </c>
      <c r="D1119" s="907"/>
      <c r="E1119" s="906"/>
      <c r="F1119" s="921" t="str">
        <f t="shared" si="58"/>
        <v/>
      </c>
      <c r="G1119" s="882" t="str">
        <f t="shared" ref="G1119:G1182" si="59">IF(OR($D$47="",$D$48=""),"",IF(OR(
AND(C1119&gt;=$D$47,C1119&lt;=$D$48),
AND(C1119&gt;=$E$47,C1119&lt;=$E$48),
AND(C1119&gt;=$F$47,C1119&lt;=$F$48),
AND(C1119&gt;=$G$47,C1119&lt;=$G$48),
AND(C1119&gt;=$H$47,C1119&lt;=$H$48),
AND(C1119&gt;=$I$47,C1119&lt;=$I$48),
AND(C1119&gt;=$J$47,C1119&lt;=$J$48),
AND(C1119&gt;=$K$47,C1119&lt;=$K$48),
AND(C1119&gt;=$L$47,C1119&lt;=$L$48),
AND(C1119&gt;=$M$47,C1119&lt;=$M$48),
AND(C1119&gt;=$N$47,C1119&lt;=$N$48),
AND(C1119&gt;=$O$47,C1119&lt;=$O$48),
AND(C1119&gt;=$P$47,C1119&lt;=$P$48),
AND(C1119&gt;=$Q$47,C1119&lt;=$Q$48),
AND(C1119&gt;=$R$47,C1119&lt;=$R$48),
AND(C1119&gt;=$S$47,C1119&lt;=$S$48),
AND(C1119&gt;=$T$47,C1119&lt;=$T$48),
AND(C1119&gt;=$U$47,C1119&lt;=$U$48),
AND(C1119&gt;=$V$47,C1119&lt;=$V$48),
AND(C1119&gt;=$W$47,C1119&lt;=$W$48),
AND(C1119&gt;=$X$47,C1119&lt;=$X$48),
AND(C1119&gt;=$Y$47,C1119&lt;=$Y$48),
AND(C1119&gt;=$Z$47,C1119&lt;=$Z$48),
AND(C1119&gt;=$AA$47,C1119&lt;=$AA$48),
AND(C1119&gt;=$AB$47,C1119&lt;=$AB$48),
AND(C1119&gt;=$AC$47,C1119&lt;=$AC$48),
AND(C1119&gt;=$AD$47,C1119&lt;=$AD$48),
AND(C1119&gt;=$AE$47,C1119&lt;=$AE$48),
AND(C1119&gt;=$AF$47,C1119&lt;=$AF$48),
AND(C1119&gt;=$AG$47,C1119&lt;=$AG$48)
),"ON","OFF"))</f>
        <v/>
      </c>
      <c r="H1119" s="925"/>
      <c r="I1119" s="919"/>
      <c r="J1119" s="919"/>
      <c r="K1119" s="919"/>
      <c r="L1119" s="919"/>
      <c r="O1119" s="339"/>
      <c r="T1119" s="75"/>
      <c r="U1119" s="75"/>
      <c r="V1119" s="75"/>
      <c r="W1119" s="75"/>
      <c r="X1119" s="75"/>
      <c r="Y1119" s="340"/>
      <c r="Z1119" s="341"/>
      <c r="AA1119" s="341"/>
      <c r="AB1119" s="341"/>
      <c r="AC1119" s="340"/>
      <c r="AD1119" s="75"/>
      <c r="AE1119" s="75"/>
      <c r="AF1119" s="75"/>
      <c r="AG1119" s="344"/>
      <c r="AH1119" s="344"/>
      <c r="AI1119" s="344"/>
      <c r="AJ1119" s="97"/>
      <c r="AK1119" s="4"/>
    </row>
    <row r="1120" spans="2:37" s="113" customFormat="1" x14ac:dyDescent="0.4">
      <c r="B1120" s="80"/>
      <c r="C1120" s="563">
        <v>707</v>
      </c>
      <c r="D1120" s="907"/>
      <c r="E1120" s="906"/>
      <c r="F1120" s="921" t="str">
        <f t="shared" si="58"/>
        <v/>
      </c>
      <c r="G1120" s="882" t="str">
        <f t="shared" si="59"/>
        <v/>
      </c>
      <c r="H1120" s="925"/>
      <c r="I1120" s="919"/>
      <c r="J1120" s="919"/>
      <c r="K1120" s="919"/>
      <c r="L1120" s="919"/>
      <c r="O1120" s="339"/>
      <c r="T1120" s="75"/>
      <c r="U1120" s="75"/>
      <c r="V1120" s="75"/>
      <c r="W1120" s="75"/>
      <c r="X1120" s="75"/>
      <c r="Y1120" s="340"/>
      <c r="Z1120" s="341"/>
      <c r="AA1120" s="341"/>
      <c r="AB1120" s="341"/>
      <c r="AC1120" s="340"/>
      <c r="AD1120" s="75"/>
      <c r="AE1120" s="75"/>
      <c r="AF1120" s="75"/>
      <c r="AG1120" s="344"/>
      <c r="AH1120" s="344"/>
      <c r="AI1120" s="344"/>
      <c r="AJ1120" s="97"/>
      <c r="AK1120" s="4"/>
    </row>
    <row r="1121" spans="2:37" s="113" customFormat="1" x14ac:dyDescent="0.4">
      <c r="B1121" s="80"/>
      <c r="C1121" s="563">
        <v>708</v>
      </c>
      <c r="D1121" s="907"/>
      <c r="E1121" s="906"/>
      <c r="F1121" s="921" t="str">
        <f t="shared" si="58"/>
        <v/>
      </c>
      <c r="G1121" s="882" t="str">
        <f t="shared" si="59"/>
        <v/>
      </c>
      <c r="H1121" s="925"/>
      <c r="I1121" s="919"/>
      <c r="J1121" s="919"/>
      <c r="K1121" s="919"/>
      <c r="L1121" s="919"/>
      <c r="O1121" s="339"/>
      <c r="T1121" s="75"/>
      <c r="U1121" s="75"/>
      <c r="V1121" s="75"/>
      <c r="W1121" s="75"/>
      <c r="X1121" s="75"/>
      <c r="Y1121" s="340"/>
      <c r="Z1121" s="341"/>
      <c r="AA1121" s="341"/>
      <c r="AB1121" s="341"/>
      <c r="AC1121" s="340"/>
      <c r="AD1121" s="75"/>
      <c r="AE1121" s="75"/>
      <c r="AF1121" s="75"/>
      <c r="AG1121" s="344"/>
      <c r="AH1121" s="344"/>
      <c r="AI1121" s="344"/>
      <c r="AJ1121" s="97"/>
      <c r="AK1121" s="4"/>
    </row>
    <row r="1122" spans="2:37" s="113" customFormat="1" x14ac:dyDescent="0.4">
      <c r="B1122" s="80"/>
      <c r="C1122" s="563">
        <v>709</v>
      </c>
      <c r="D1122" s="907"/>
      <c r="E1122" s="906"/>
      <c r="F1122" s="921" t="str">
        <f t="shared" si="58"/>
        <v/>
      </c>
      <c r="G1122" s="882" t="str">
        <f t="shared" si="59"/>
        <v/>
      </c>
      <c r="H1122" s="925"/>
      <c r="I1122" s="919"/>
      <c r="J1122" s="919"/>
      <c r="K1122" s="919"/>
      <c r="L1122" s="919"/>
      <c r="O1122" s="339"/>
      <c r="T1122" s="75"/>
      <c r="U1122" s="75"/>
      <c r="V1122" s="75"/>
      <c r="W1122" s="75"/>
      <c r="X1122" s="75"/>
      <c r="Y1122" s="340"/>
      <c r="Z1122" s="341"/>
      <c r="AA1122" s="341"/>
      <c r="AB1122" s="341"/>
      <c r="AC1122" s="340"/>
      <c r="AD1122" s="75"/>
      <c r="AE1122" s="75"/>
      <c r="AF1122" s="75"/>
      <c r="AG1122" s="344"/>
      <c r="AH1122" s="344"/>
      <c r="AI1122" s="344"/>
      <c r="AJ1122" s="97"/>
      <c r="AK1122" s="4"/>
    </row>
    <row r="1123" spans="2:37" s="113" customFormat="1" x14ac:dyDescent="0.4">
      <c r="B1123" s="80"/>
      <c r="C1123" s="563">
        <v>710</v>
      </c>
      <c r="D1123" s="907"/>
      <c r="E1123" s="906"/>
      <c r="F1123" s="921" t="str">
        <f t="shared" si="58"/>
        <v/>
      </c>
      <c r="G1123" s="882" t="str">
        <f t="shared" si="59"/>
        <v/>
      </c>
      <c r="H1123" s="925"/>
      <c r="I1123" s="919"/>
      <c r="J1123" s="919"/>
      <c r="K1123" s="919"/>
      <c r="L1123" s="919"/>
      <c r="O1123" s="339"/>
      <c r="T1123" s="75"/>
      <c r="U1123" s="75"/>
      <c r="V1123" s="75"/>
      <c r="W1123" s="75"/>
      <c r="X1123" s="75"/>
      <c r="Y1123" s="340"/>
      <c r="Z1123" s="341"/>
      <c r="AA1123" s="341"/>
      <c r="AB1123" s="341"/>
      <c r="AC1123" s="340"/>
      <c r="AD1123" s="75"/>
      <c r="AE1123" s="75"/>
      <c r="AF1123" s="75"/>
      <c r="AG1123" s="344"/>
      <c r="AH1123" s="344"/>
      <c r="AI1123" s="344"/>
      <c r="AJ1123" s="97"/>
      <c r="AK1123" s="4"/>
    </row>
    <row r="1124" spans="2:37" s="113" customFormat="1" x14ac:dyDescent="0.4">
      <c r="B1124" s="80"/>
      <c r="C1124" s="563">
        <v>711</v>
      </c>
      <c r="D1124" s="907"/>
      <c r="E1124" s="906"/>
      <c r="F1124" s="921" t="str">
        <f t="shared" si="58"/>
        <v/>
      </c>
      <c r="G1124" s="882" t="str">
        <f t="shared" si="59"/>
        <v/>
      </c>
      <c r="H1124" s="925"/>
      <c r="I1124" s="919"/>
      <c r="J1124" s="919"/>
      <c r="K1124" s="919"/>
      <c r="L1124" s="919"/>
      <c r="O1124" s="339"/>
      <c r="T1124" s="75"/>
      <c r="U1124" s="75"/>
      <c r="V1124" s="75"/>
      <c r="W1124" s="75"/>
      <c r="X1124" s="75"/>
      <c r="Y1124" s="340"/>
      <c r="Z1124" s="341"/>
      <c r="AA1124" s="341"/>
      <c r="AB1124" s="341"/>
      <c r="AC1124" s="340"/>
      <c r="AD1124" s="75"/>
      <c r="AE1124" s="75"/>
      <c r="AF1124" s="75"/>
      <c r="AG1124" s="344"/>
      <c r="AH1124" s="344"/>
      <c r="AI1124" s="344"/>
      <c r="AJ1124" s="97"/>
      <c r="AK1124" s="4"/>
    </row>
    <row r="1125" spans="2:37" s="113" customFormat="1" x14ac:dyDescent="0.4">
      <c r="B1125" s="80"/>
      <c r="C1125" s="563">
        <v>712</v>
      </c>
      <c r="D1125" s="907"/>
      <c r="E1125" s="906"/>
      <c r="F1125" s="921" t="str">
        <f t="shared" si="58"/>
        <v/>
      </c>
      <c r="G1125" s="882" t="str">
        <f t="shared" si="59"/>
        <v/>
      </c>
      <c r="H1125" s="925"/>
      <c r="I1125" s="919"/>
      <c r="J1125" s="919"/>
      <c r="K1125" s="919"/>
      <c r="L1125" s="919"/>
      <c r="O1125" s="339"/>
      <c r="T1125" s="75"/>
      <c r="U1125" s="75"/>
      <c r="V1125" s="75"/>
      <c r="W1125" s="75"/>
      <c r="X1125" s="75"/>
      <c r="Y1125" s="340"/>
      <c r="Z1125" s="341"/>
      <c r="AA1125" s="341"/>
      <c r="AB1125" s="341"/>
      <c r="AC1125" s="340"/>
      <c r="AD1125" s="75"/>
      <c r="AE1125" s="75"/>
      <c r="AF1125" s="75"/>
      <c r="AG1125" s="344"/>
      <c r="AH1125" s="344"/>
      <c r="AI1125" s="344"/>
      <c r="AJ1125" s="97"/>
      <c r="AK1125" s="4"/>
    </row>
    <row r="1126" spans="2:37" s="113" customFormat="1" x14ac:dyDescent="0.4">
      <c r="B1126" s="80"/>
      <c r="C1126" s="563">
        <v>713</v>
      </c>
      <c r="D1126" s="907"/>
      <c r="E1126" s="906"/>
      <c r="F1126" s="921" t="str">
        <f t="shared" si="58"/>
        <v/>
      </c>
      <c r="G1126" s="882" t="str">
        <f t="shared" si="59"/>
        <v/>
      </c>
      <c r="H1126" s="925"/>
      <c r="I1126" s="919"/>
      <c r="J1126" s="919"/>
      <c r="K1126" s="919"/>
      <c r="L1126" s="919"/>
      <c r="O1126" s="339"/>
      <c r="T1126" s="75"/>
      <c r="U1126" s="75"/>
      <c r="V1126" s="75"/>
      <c r="W1126" s="75"/>
      <c r="X1126" s="75"/>
      <c r="Y1126" s="340"/>
      <c r="Z1126" s="341"/>
      <c r="AA1126" s="341"/>
      <c r="AB1126" s="341"/>
      <c r="AC1126" s="340"/>
      <c r="AD1126" s="75"/>
      <c r="AE1126" s="75"/>
      <c r="AF1126" s="75"/>
      <c r="AG1126" s="344"/>
      <c r="AH1126" s="344"/>
      <c r="AI1126" s="344"/>
      <c r="AJ1126" s="97"/>
      <c r="AK1126" s="4"/>
    </row>
    <row r="1127" spans="2:37" s="113" customFormat="1" x14ac:dyDescent="0.4">
      <c r="B1127" s="80"/>
      <c r="C1127" s="563">
        <v>714</v>
      </c>
      <c r="D1127" s="907"/>
      <c r="E1127" s="906"/>
      <c r="F1127" s="921" t="str">
        <f t="shared" si="58"/>
        <v/>
      </c>
      <c r="G1127" s="882" t="str">
        <f t="shared" si="59"/>
        <v/>
      </c>
      <c r="H1127" s="925"/>
      <c r="I1127" s="919"/>
      <c r="J1127" s="919"/>
      <c r="K1127" s="919"/>
      <c r="L1127" s="919"/>
      <c r="O1127" s="339"/>
      <c r="T1127" s="75"/>
      <c r="U1127" s="75"/>
      <c r="V1127" s="75"/>
      <c r="W1127" s="75"/>
      <c r="X1127" s="75"/>
      <c r="Y1127" s="340"/>
      <c r="Z1127" s="341"/>
      <c r="AA1127" s="341"/>
      <c r="AB1127" s="341"/>
      <c r="AC1127" s="340"/>
      <c r="AD1127" s="75"/>
      <c r="AE1127" s="75"/>
      <c r="AF1127" s="75"/>
      <c r="AG1127" s="344"/>
      <c r="AH1127" s="344"/>
      <c r="AI1127" s="344"/>
      <c r="AJ1127" s="97"/>
      <c r="AK1127" s="4"/>
    </row>
    <row r="1128" spans="2:37" s="113" customFormat="1" x14ac:dyDescent="0.4">
      <c r="B1128" s="80"/>
      <c r="C1128" s="563">
        <v>715</v>
      </c>
      <c r="D1128" s="907"/>
      <c r="E1128" s="906"/>
      <c r="F1128" s="921" t="str">
        <f t="shared" si="58"/>
        <v/>
      </c>
      <c r="G1128" s="882" t="str">
        <f t="shared" si="59"/>
        <v/>
      </c>
      <c r="H1128" s="925"/>
      <c r="I1128" s="919"/>
      <c r="J1128" s="919"/>
      <c r="K1128" s="919"/>
      <c r="L1128" s="919"/>
      <c r="O1128" s="339"/>
      <c r="T1128" s="75"/>
      <c r="U1128" s="75"/>
      <c r="V1128" s="75"/>
      <c r="W1128" s="75"/>
      <c r="X1128" s="75"/>
      <c r="Y1128" s="340"/>
      <c r="Z1128" s="341"/>
      <c r="AA1128" s="341"/>
      <c r="AB1128" s="341"/>
      <c r="AC1128" s="340"/>
      <c r="AD1128" s="75"/>
      <c r="AE1128" s="75"/>
      <c r="AF1128" s="75"/>
      <c r="AG1128" s="344"/>
      <c r="AH1128" s="344"/>
      <c r="AI1128" s="344"/>
      <c r="AJ1128" s="97"/>
      <c r="AK1128" s="4"/>
    </row>
    <row r="1129" spans="2:37" s="113" customFormat="1" x14ac:dyDescent="0.4">
      <c r="B1129" s="80"/>
      <c r="C1129" s="563">
        <v>716</v>
      </c>
      <c r="D1129" s="907"/>
      <c r="E1129" s="906"/>
      <c r="F1129" s="921" t="str">
        <f t="shared" si="58"/>
        <v/>
      </c>
      <c r="G1129" s="882" t="str">
        <f t="shared" si="59"/>
        <v/>
      </c>
      <c r="H1129" s="925"/>
      <c r="I1129" s="919"/>
      <c r="J1129" s="919"/>
      <c r="K1129" s="919"/>
      <c r="L1129" s="919"/>
      <c r="O1129" s="339"/>
      <c r="T1129" s="75"/>
      <c r="U1129" s="75"/>
      <c r="V1129" s="75"/>
      <c r="W1129" s="75"/>
      <c r="X1129" s="75"/>
      <c r="Y1129" s="340"/>
      <c r="Z1129" s="341"/>
      <c r="AA1129" s="341"/>
      <c r="AB1129" s="341"/>
      <c r="AC1129" s="340"/>
      <c r="AD1129" s="75"/>
      <c r="AE1129" s="75"/>
      <c r="AF1129" s="75"/>
      <c r="AG1129" s="344"/>
      <c r="AH1129" s="344"/>
      <c r="AI1129" s="344"/>
      <c r="AJ1129" s="97"/>
      <c r="AK1129" s="4"/>
    </row>
    <row r="1130" spans="2:37" s="113" customFormat="1" x14ac:dyDescent="0.4">
      <c r="B1130" s="80"/>
      <c r="C1130" s="563">
        <v>717</v>
      </c>
      <c r="D1130" s="907"/>
      <c r="E1130" s="906"/>
      <c r="F1130" s="921" t="str">
        <f t="shared" si="58"/>
        <v/>
      </c>
      <c r="G1130" s="882" t="str">
        <f t="shared" si="59"/>
        <v/>
      </c>
      <c r="H1130" s="925"/>
      <c r="I1130" s="919"/>
      <c r="J1130" s="919"/>
      <c r="K1130" s="919"/>
      <c r="L1130" s="919"/>
      <c r="O1130" s="339"/>
      <c r="T1130" s="75"/>
      <c r="U1130" s="75"/>
      <c r="V1130" s="75"/>
      <c r="W1130" s="75"/>
      <c r="X1130" s="75"/>
      <c r="Y1130" s="340"/>
      <c r="Z1130" s="341"/>
      <c r="AA1130" s="341"/>
      <c r="AB1130" s="341"/>
      <c r="AC1130" s="340"/>
      <c r="AD1130" s="75"/>
      <c r="AE1130" s="75"/>
      <c r="AF1130" s="75"/>
      <c r="AG1130" s="344"/>
      <c r="AH1130" s="344"/>
      <c r="AI1130" s="344"/>
      <c r="AJ1130" s="97"/>
      <c r="AK1130" s="4"/>
    </row>
    <row r="1131" spans="2:37" s="113" customFormat="1" x14ac:dyDescent="0.4">
      <c r="B1131" s="80"/>
      <c r="C1131" s="563">
        <v>718</v>
      </c>
      <c r="D1131" s="907"/>
      <c r="E1131" s="906"/>
      <c r="F1131" s="921" t="str">
        <f t="shared" si="58"/>
        <v/>
      </c>
      <c r="G1131" s="882" t="str">
        <f t="shared" si="59"/>
        <v/>
      </c>
      <c r="H1131" s="925"/>
      <c r="I1131" s="919"/>
      <c r="J1131" s="919"/>
      <c r="K1131" s="919"/>
      <c r="L1131" s="919"/>
      <c r="O1131" s="339"/>
      <c r="T1131" s="75"/>
      <c r="U1131" s="75"/>
      <c r="V1131" s="75"/>
      <c r="W1131" s="75"/>
      <c r="X1131" s="75"/>
      <c r="Y1131" s="340"/>
      <c r="Z1131" s="341"/>
      <c r="AA1131" s="341"/>
      <c r="AB1131" s="341"/>
      <c r="AC1131" s="340"/>
      <c r="AD1131" s="75"/>
      <c r="AE1131" s="75"/>
      <c r="AF1131" s="75"/>
      <c r="AG1131" s="344"/>
      <c r="AH1131" s="344"/>
      <c r="AI1131" s="344"/>
      <c r="AJ1131" s="97"/>
      <c r="AK1131" s="4"/>
    </row>
    <row r="1132" spans="2:37" s="113" customFormat="1" x14ac:dyDescent="0.4">
      <c r="B1132" s="80"/>
      <c r="C1132" s="563">
        <v>719</v>
      </c>
      <c r="D1132" s="907"/>
      <c r="E1132" s="906"/>
      <c r="F1132" s="921" t="str">
        <f t="shared" si="58"/>
        <v/>
      </c>
      <c r="G1132" s="882" t="str">
        <f t="shared" si="59"/>
        <v/>
      </c>
      <c r="H1132" s="925"/>
      <c r="I1132" s="919"/>
      <c r="J1132" s="919"/>
      <c r="K1132" s="919"/>
      <c r="L1132" s="919"/>
      <c r="O1132" s="339"/>
      <c r="T1132" s="75"/>
      <c r="U1132" s="75"/>
      <c r="V1132" s="75"/>
      <c r="W1132" s="75"/>
      <c r="X1132" s="75"/>
      <c r="Y1132" s="340"/>
      <c r="Z1132" s="341"/>
      <c r="AA1132" s="341"/>
      <c r="AB1132" s="341"/>
      <c r="AC1132" s="340"/>
      <c r="AD1132" s="75"/>
      <c r="AE1132" s="75"/>
      <c r="AF1132" s="75"/>
      <c r="AG1132" s="344"/>
      <c r="AH1132" s="344"/>
      <c r="AI1132" s="344"/>
      <c r="AJ1132" s="97"/>
      <c r="AK1132" s="4"/>
    </row>
    <row r="1133" spans="2:37" s="113" customFormat="1" x14ac:dyDescent="0.4">
      <c r="B1133" s="80"/>
      <c r="C1133" s="563">
        <v>720</v>
      </c>
      <c r="D1133" s="907"/>
      <c r="E1133" s="906"/>
      <c r="F1133" s="921" t="str">
        <f t="shared" si="58"/>
        <v/>
      </c>
      <c r="G1133" s="882" t="str">
        <f t="shared" si="59"/>
        <v/>
      </c>
      <c r="H1133" s="925"/>
      <c r="I1133" s="919"/>
      <c r="J1133" s="919"/>
      <c r="K1133" s="919"/>
      <c r="L1133" s="919"/>
      <c r="O1133" s="339"/>
      <c r="T1133" s="75"/>
      <c r="U1133" s="75"/>
      <c r="V1133" s="75"/>
      <c r="W1133" s="75"/>
      <c r="X1133" s="75"/>
      <c r="Y1133" s="340"/>
      <c r="Z1133" s="341"/>
      <c r="AA1133" s="341"/>
      <c r="AB1133" s="341"/>
      <c r="AC1133" s="340"/>
      <c r="AD1133" s="75"/>
      <c r="AE1133" s="75"/>
      <c r="AF1133" s="75"/>
      <c r="AG1133" s="344"/>
      <c r="AH1133" s="344"/>
      <c r="AI1133" s="344"/>
      <c r="AJ1133" s="97"/>
      <c r="AK1133" s="4"/>
    </row>
    <row r="1134" spans="2:37" s="113" customFormat="1" x14ac:dyDescent="0.4">
      <c r="B1134" s="80"/>
      <c r="C1134" s="563">
        <v>721</v>
      </c>
      <c r="D1134" s="907"/>
      <c r="E1134" s="906"/>
      <c r="F1134" s="921" t="str">
        <f t="shared" si="58"/>
        <v/>
      </c>
      <c r="G1134" s="882" t="str">
        <f t="shared" si="59"/>
        <v/>
      </c>
      <c r="H1134" s="919"/>
      <c r="I1134" s="919"/>
      <c r="J1134" s="919"/>
      <c r="K1134" s="919"/>
      <c r="L1134" s="919"/>
      <c r="O1134" s="339"/>
      <c r="T1134" s="75"/>
      <c r="U1134" s="75"/>
      <c r="V1134" s="75"/>
      <c r="W1134" s="75"/>
      <c r="X1134" s="75"/>
      <c r="Y1134" s="340"/>
      <c r="Z1134" s="341"/>
      <c r="AA1134" s="341"/>
      <c r="AB1134" s="341"/>
      <c r="AC1134" s="340"/>
      <c r="AD1134" s="75"/>
      <c r="AE1134" s="75"/>
      <c r="AF1134" s="75"/>
      <c r="AG1134" s="344"/>
      <c r="AH1134" s="344"/>
      <c r="AI1134" s="344"/>
      <c r="AJ1134" s="97"/>
      <c r="AK1134" s="4"/>
    </row>
    <row r="1135" spans="2:37" s="113" customFormat="1" x14ac:dyDescent="0.4">
      <c r="B1135" s="80"/>
      <c r="C1135" s="563">
        <v>722</v>
      </c>
      <c r="D1135" s="907"/>
      <c r="E1135" s="906"/>
      <c r="F1135" s="921" t="str">
        <f t="shared" si="58"/>
        <v/>
      </c>
      <c r="G1135" s="882" t="str">
        <f t="shared" si="59"/>
        <v/>
      </c>
      <c r="H1135" s="919"/>
      <c r="I1135" s="919"/>
      <c r="J1135" s="919"/>
      <c r="K1135" s="919"/>
      <c r="L1135" s="919"/>
      <c r="O1135" s="339"/>
      <c r="T1135" s="75"/>
      <c r="U1135" s="75"/>
      <c r="V1135" s="75"/>
      <c r="W1135" s="75"/>
      <c r="X1135" s="75"/>
      <c r="Y1135" s="340"/>
      <c r="Z1135" s="341"/>
      <c r="AA1135" s="341"/>
      <c r="AB1135" s="341"/>
      <c r="AC1135" s="340"/>
      <c r="AD1135" s="75"/>
      <c r="AE1135" s="75"/>
      <c r="AF1135" s="75"/>
      <c r="AG1135" s="344"/>
      <c r="AH1135" s="344"/>
      <c r="AI1135" s="344"/>
      <c r="AJ1135" s="97"/>
      <c r="AK1135" s="4"/>
    </row>
    <row r="1136" spans="2:37" s="113" customFormat="1" x14ac:dyDescent="0.4">
      <c r="B1136" s="80"/>
      <c r="C1136" s="563">
        <v>723</v>
      </c>
      <c r="D1136" s="907"/>
      <c r="E1136" s="906"/>
      <c r="F1136" s="921" t="str">
        <f t="shared" si="58"/>
        <v/>
      </c>
      <c r="G1136" s="882" t="str">
        <f t="shared" si="59"/>
        <v/>
      </c>
      <c r="H1136" s="919"/>
      <c r="I1136" s="919"/>
      <c r="J1136" s="919"/>
      <c r="K1136" s="919"/>
      <c r="L1136" s="919"/>
      <c r="O1136" s="339"/>
      <c r="T1136" s="75"/>
      <c r="U1136" s="75"/>
      <c r="V1136" s="75"/>
      <c r="W1136" s="75"/>
      <c r="X1136" s="75"/>
      <c r="Y1136" s="340"/>
      <c r="Z1136" s="341"/>
      <c r="AA1136" s="341"/>
      <c r="AB1136" s="341"/>
      <c r="AC1136" s="340"/>
      <c r="AD1136" s="75"/>
      <c r="AE1136" s="75"/>
      <c r="AF1136" s="75"/>
      <c r="AG1136" s="344"/>
      <c r="AH1136" s="344"/>
      <c r="AI1136" s="344"/>
      <c r="AJ1136" s="97"/>
      <c r="AK1136" s="4"/>
    </row>
    <row r="1137" spans="2:37" s="113" customFormat="1" x14ac:dyDescent="0.4">
      <c r="B1137" s="80"/>
      <c r="C1137" s="563">
        <v>724</v>
      </c>
      <c r="D1137" s="907"/>
      <c r="E1137" s="906"/>
      <c r="F1137" s="921" t="str">
        <f t="shared" si="58"/>
        <v/>
      </c>
      <c r="G1137" s="882" t="str">
        <f t="shared" si="59"/>
        <v/>
      </c>
      <c r="H1137" s="919"/>
      <c r="I1137" s="919"/>
      <c r="J1137" s="919"/>
      <c r="K1137" s="919"/>
      <c r="L1137" s="919"/>
      <c r="O1137" s="339"/>
      <c r="T1137" s="75"/>
      <c r="U1137" s="75"/>
      <c r="V1137" s="75"/>
      <c r="W1137" s="75"/>
      <c r="X1137" s="75"/>
      <c r="Y1137" s="340"/>
      <c r="Z1137" s="341"/>
      <c r="AA1137" s="341"/>
      <c r="AB1137" s="341"/>
      <c r="AC1137" s="340"/>
      <c r="AD1137" s="75"/>
      <c r="AE1137" s="75"/>
      <c r="AF1137" s="75"/>
      <c r="AG1137" s="344"/>
      <c r="AH1137" s="344"/>
      <c r="AI1137" s="344"/>
      <c r="AJ1137" s="97"/>
      <c r="AK1137" s="4"/>
    </row>
    <row r="1138" spans="2:37" s="113" customFormat="1" x14ac:dyDescent="0.4">
      <c r="B1138" s="80"/>
      <c r="C1138" s="563">
        <v>725</v>
      </c>
      <c r="D1138" s="907"/>
      <c r="E1138" s="906"/>
      <c r="F1138" s="921" t="str">
        <f t="shared" si="58"/>
        <v/>
      </c>
      <c r="G1138" s="882" t="str">
        <f t="shared" si="59"/>
        <v/>
      </c>
      <c r="H1138" s="919"/>
      <c r="I1138" s="919"/>
      <c r="J1138" s="919"/>
      <c r="K1138" s="919"/>
      <c r="L1138" s="919"/>
      <c r="O1138" s="339"/>
      <c r="T1138" s="75"/>
      <c r="U1138" s="75"/>
      <c r="V1138" s="75"/>
      <c r="W1138" s="75"/>
      <c r="X1138" s="75"/>
      <c r="Y1138" s="340"/>
      <c r="Z1138" s="341"/>
      <c r="AA1138" s="341"/>
      <c r="AB1138" s="341"/>
      <c r="AC1138" s="340"/>
      <c r="AD1138" s="75"/>
      <c r="AE1138" s="75"/>
      <c r="AF1138" s="75"/>
      <c r="AG1138" s="344"/>
      <c r="AH1138" s="344"/>
      <c r="AI1138" s="344"/>
      <c r="AJ1138" s="97"/>
      <c r="AK1138" s="4"/>
    </row>
    <row r="1139" spans="2:37" s="113" customFormat="1" x14ac:dyDescent="0.4">
      <c r="B1139" s="80"/>
      <c r="C1139" s="563">
        <v>726</v>
      </c>
      <c r="D1139" s="907"/>
      <c r="E1139" s="906"/>
      <c r="F1139" s="921" t="str">
        <f t="shared" si="58"/>
        <v/>
      </c>
      <c r="G1139" s="882" t="str">
        <f t="shared" si="59"/>
        <v/>
      </c>
      <c r="H1139" s="919"/>
      <c r="I1139" s="919"/>
      <c r="J1139" s="919"/>
      <c r="K1139" s="919"/>
      <c r="L1139" s="919"/>
      <c r="O1139" s="339"/>
      <c r="T1139" s="75"/>
      <c r="U1139" s="75"/>
      <c r="V1139" s="75"/>
      <c r="W1139" s="75"/>
      <c r="X1139" s="75"/>
      <c r="Y1139" s="340"/>
      <c r="Z1139" s="341"/>
      <c r="AA1139" s="341"/>
      <c r="AB1139" s="341"/>
      <c r="AC1139" s="340"/>
      <c r="AD1139" s="75"/>
      <c r="AE1139" s="75"/>
      <c r="AF1139" s="75"/>
      <c r="AG1139" s="344"/>
      <c r="AH1139" s="344"/>
      <c r="AI1139" s="344"/>
      <c r="AJ1139" s="97"/>
      <c r="AK1139" s="4"/>
    </row>
    <row r="1140" spans="2:37" s="113" customFormat="1" x14ac:dyDescent="0.4">
      <c r="B1140" s="80"/>
      <c r="C1140" s="563">
        <v>727</v>
      </c>
      <c r="D1140" s="907"/>
      <c r="E1140" s="906"/>
      <c r="F1140" s="921" t="str">
        <f t="shared" si="58"/>
        <v/>
      </c>
      <c r="G1140" s="882" t="str">
        <f t="shared" si="59"/>
        <v/>
      </c>
      <c r="H1140" s="919"/>
      <c r="I1140" s="919"/>
      <c r="J1140" s="919"/>
      <c r="K1140" s="919"/>
      <c r="L1140" s="919"/>
      <c r="O1140" s="339"/>
      <c r="T1140" s="75"/>
      <c r="U1140" s="75"/>
      <c r="V1140" s="75"/>
      <c r="W1140" s="75"/>
      <c r="X1140" s="75"/>
      <c r="Y1140" s="340"/>
      <c r="Z1140" s="341"/>
      <c r="AA1140" s="341"/>
      <c r="AB1140" s="341"/>
      <c r="AC1140" s="340"/>
      <c r="AD1140" s="75"/>
      <c r="AE1140" s="75"/>
      <c r="AF1140" s="75"/>
      <c r="AG1140" s="344"/>
      <c r="AH1140" s="344"/>
      <c r="AI1140" s="344"/>
      <c r="AJ1140" s="97"/>
      <c r="AK1140" s="4"/>
    </row>
    <row r="1141" spans="2:37" s="113" customFormat="1" x14ac:dyDescent="0.4">
      <c r="B1141" s="80"/>
      <c r="C1141" s="563">
        <v>728</v>
      </c>
      <c r="D1141" s="907"/>
      <c r="E1141" s="906"/>
      <c r="F1141" s="921" t="str">
        <f t="shared" si="58"/>
        <v/>
      </c>
      <c r="G1141" s="882" t="str">
        <f t="shared" si="59"/>
        <v/>
      </c>
      <c r="H1141" s="919"/>
      <c r="I1141" s="919"/>
      <c r="J1141" s="919"/>
      <c r="K1141" s="919"/>
      <c r="L1141" s="919"/>
      <c r="O1141" s="339"/>
      <c r="T1141" s="75"/>
      <c r="U1141" s="75"/>
      <c r="V1141" s="75"/>
      <c r="W1141" s="75"/>
      <c r="X1141" s="75"/>
      <c r="Y1141" s="340"/>
      <c r="Z1141" s="341"/>
      <c r="AA1141" s="341"/>
      <c r="AB1141" s="341"/>
      <c r="AC1141" s="340"/>
      <c r="AD1141" s="75"/>
      <c r="AE1141" s="75"/>
      <c r="AF1141" s="75"/>
      <c r="AG1141" s="344"/>
      <c r="AH1141" s="344"/>
      <c r="AI1141" s="344"/>
      <c r="AJ1141" s="97"/>
      <c r="AK1141" s="4"/>
    </row>
    <row r="1142" spans="2:37" s="113" customFormat="1" x14ac:dyDescent="0.4">
      <c r="B1142" s="80"/>
      <c r="C1142" s="563">
        <v>729</v>
      </c>
      <c r="D1142" s="907"/>
      <c r="E1142" s="906"/>
      <c r="F1142" s="921" t="str">
        <f t="shared" si="58"/>
        <v/>
      </c>
      <c r="G1142" s="882" t="str">
        <f t="shared" si="59"/>
        <v/>
      </c>
      <c r="H1142" s="919"/>
      <c r="I1142" s="919"/>
      <c r="J1142" s="919"/>
      <c r="K1142" s="919"/>
      <c r="L1142" s="919"/>
      <c r="O1142" s="339"/>
      <c r="T1142" s="75"/>
      <c r="U1142" s="75"/>
      <c r="V1142" s="75"/>
      <c r="W1142" s="75"/>
      <c r="X1142" s="75"/>
      <c r="Y1142" s="340"/>
      <c r="Z1142" s="341"/>
      <c r="AA1142" s="341"/>
      <c r="AB1142" s="341"/>
      <c r="AC1142" s="340"/>
      <c r="AD1142" s="75"/>
      <c r="AE1142" s="75"/>
      <c r="AF1142" s="75"/>
      <c r="AG1142" s="344"/>
      <c r="AH1142" s="344"/>
      <c r="AI1142" s="344"/>
      <c r="AJ1142" s="97"/>
      <c r="AK1142" s="4"/>
    </row>
    <row r="1143" spans="2:37" s="113" customFormat="1" x14ac:dyDescent="0.4">
      <c r="B1143" s="80"/>
      <c r="C1143" s="563">
        <v>730</v>
      </c>
      <c r="D1143" s="907"/>
      <c r="E1143" s="906"/>
      <c r="F1143" s="921" t="str">
        <f t="shared" si="58"/>
        <v/>
      </c>
      <c r="G1143" s="882" t="str">
        <f t="shared" si="59"/>
        <v/>
      </c>
      <c r="H1143" s="919"/>
      <c r="I1143" s="919"/>
      <c r="J1143" s="919"/>
      <c r="K1143" s="919"/>
      <c r="L1143" s="919"/>
      <c r="O1143" s="339"/>
      <c r="T1143" s="75"/>
      <c r="U1143" s="75"/>
      <c r="V1143" s="75"/>
      <c r="W1143" s="75"/>
      <c r="X1143" s="75"/>
      <c r="Y1143" s="340"/>
      <c r="Z1143" s="341"/>
      <c r="AA1143" s="341"/>
      <c r="AB1143" s="341"/>
      <c r="AC1143" s="340"/>
      <c r="AD1143" s="75"/>
      <c r="AE1143" s="75"/>
      <c r="AF1143" s="75"/>
      <c r="AG1143" s="344"/>
      <c r="AH1143" s="344"/>
      <c r="AI1143" s="344"/>
      <c r="AJ1143" s="97"/>
      <c r="AK1143" s="4"/>
    </row>
    <row r="1144" spans="2:37" s="113" customFormat="1" x14ac:dyDescent="0.4">
      <c r="B1144" s="80"/>
      <c r="C1144" s="563">
        <v>731</v>
      </c>
      <c r="D1144" s="907"/>
      <c r="E1144" s="906"/>
      <c r="F1144" s="921" t="str">
        <f t="shared" si="58"/>
        <v/>
      </c>
      <c r="G1144" s="882" t="str">
        <f t="shared" si="59"/>
        <v/>
      </c>
      <c r="H1144" s="919"/>
      <c r="I1144" s="919"/>
      <c r="J1144" s="919"/>
      <c r="K1144" s="919"/>
      <c r="L1144" s="919"/>
      <c r="O1144" s="339"/>
      <c r="T1144" s="75"/>
      <c r="U1144" s="75"/>
      <c r="V1144" s="75"/>
      <c r="W1144" s="75"/>
      <c r="X1144" s="75"/>
      <c r="Y1144" s="340"/>
      <c r="Z1144" s="341"/>
      <c r="AA1144" s="341"/>
      <c r="AB1144" s="341"/>
      <c r="AC1144" s="340"/>
      <c r="AD1144" s="75"/>
      <c r="AE1144" s="75"/>
      <c r="AF1144" s="75"/>
      <c r="AG1144" s="344"/>
      <c r="AH1144" s="344"/>
      <c r="AI1144" s="344"/>
      <c r="AJ1144" s="97"/>
      <c r="AK1144" s="4"/>
    </row>
    <row r="1145" spans="2:37" s="113" customFormat="1" x14ac:dyDescent="0.4">
      <c r="B1145" s="80"/>
      <c r="C1145" s="563">
        <v>732</v>
      </c>
      <c r="D1145" s="907"/>
      <c r="E1145" s="906"/>
      <c r="F1145" s="921" t="str">
        <f t="shared" si="58"/>
        <v/>
      </c>
      <c r="G1145" s="882" t="str">
        <f t="shared" si="59"/>
        <v/>
      </c>
      <c r="H1145" s="919"/>
      <c r="I1145" s="919"/>
      <c r="J1145" s="919"/>
      <c r="K1145" s="919"/>
      <c r="L1145" s="919"/>
      <c r="O1145" s="339"/>
      <c r="T1145" s="75"/>
      <c r="U1145" s="75"/>
      <c r="V1145" s="75"/>
      <c r="W1145" s="75"/>
      <c r="X1145" s="75"/>
      <c r="Y1145" s="340"/>
      <c r="Z1145" s="341"/>
      <c r="AA1145" s="341"/>
      <c r="AB1145" s="341"/>
      <c r="AC1145" s="340"/>
      <c r="AD1145" s="75"/>
      <c r="AE1145" s="75"/>
      <c r="AF1145" s="75"/>
      <c r="AG1145" s="344"/>
      <c r="AH1145" s="344"/>
      <c r="AI1145" s="344"/>
      <c r="AJ1145" s="97"/>
      <c r="AK1145" s="4"/>
    </row>
    <row r="1146" spans="2:37" s="113" customFormat="1" x14ac:dyDescent="0.4">
      <c r="B1146" s="80"/>
      <c r="C1146" s="563">
        <v>733</v>
      </c>
      <c r="D1146" s="907"/>
      <c r="E1146" s="906"/>
      <c r="F1146" s="921" t="str">
        <f t="shared" si="58"/>
        <v/>
      </c>
      <c r="G1146" s="882" t="str">
        <f t="shared" si="59"/>
        <v/>
      </c>
      <c r="H1146" s="925"/>
      <c r="I1146" s="919"/>
      <c r="J1146" s="919"/>
      <c r="K1146" s="919"/>
      <c r="L1146" s="919"/>
      <c r="O1146" s="339"/>
      <c r="T1146" s="75"/>
      <c r="U1146" s="75"/>
      <c r="V1146" s="75"/>
      <c r="W1146" s="75"/>
      <c r="X1146" s="75"/>
      <c r="Y1146" s="340"/>
      <c r="Z1146" s="341"/>
      <c r="AA1146" s="341"/>
      <c r="AB1146" s="341"/>
      <c r="AC1146" s="340"/>
      <c r="AD1146" s="75"/>
      <c r="AE1146" s="75"/>
      <c r="AF1146" s="75"/>
      <c r="AG1146" s="344"/>
      <c r="AH1146" s="344"/>
      <c r="AI1146" s="344"/>
      <c r="AJ1146" s="97"/>
      <c r="AK1146" s="4"/>
    </row>
    <row r="1147" spans="2:37" s="113" customFormat="1" x14ac:dyDescent="0.4">
      <c r="B1147" s="80"/>
      <c r="C1147" s="563">
        <v>734</v>
      </c>
      <c r="D1147" s="907"/>
      <c r="E1147" s="906"/>
      <c r="F1147" s="921" t="str">
        <f t="shared" si="58"/>
        <v/>
      </c>
      <c r="G1147" s="882" t="str">
        <f t="shared" si="59"/>
        <v/>
      </c>
      <c r="H1147" s="925"/>
      <c r="I1147" s="919"/>
      <c r="J1147" s="919"/>
      <c r="K1147" s="919"/>
      <c r="L1147" s="919"/>
      <c r="O1147" s="339"/>
      <c r="T1147" s="75"/>
      <c r="U1147" s="75"/>
      <c r="V1147" s="75"/>
      <c r="W1147" s="75"/>
      <c r="X1147" s="75"/>
      <c r="Y1147" s="340"/>
      <c r="Z1147" s="341"/>
      <c r="AA1147" s="341"/>
      <c r="AB1147" s="341"/>
      <c r="AC1147" s="340"/>
      <c r="AD1147" s="75"/>
      <c r="AE1147" s="75"/>
      <c r="AF1147" s="75"/>
      <c r="AG1147" s="344"/>
      <c r="AH1147" s="344"/>
      <c r="AI1147" s="344"/>
      <c r="AJ1147" s="97"/>
      <c r="AK1147" s="4"/>
    </row>
    <row r="1148" spans="2:37" s="113" customFormat="1" x14ac:dyDescent="0.4">
      <c r="B1148" s="80"/>
      <c r="C1148" s="563">
        <v>735</v>
      </c>
      <c r="D1148" s="907"/>
      <c r="E1148" s="906"/>
      <c r="F1148" s="921" t="str">
        <f t="shared" si="58"/>
        <v/>
      </c>
      <c r="G1148" s="882" t="str">
        <f t="shared" si="59"/>
        <v/>
      </c>
      <c r="H1148" s="925"/>
      <c r="I1148" s="919"/>
      <c r="J1148" s="919"/>
      <c r="K1148" s="919"/>
      <c r="L1148" s="919"/>
      <c r="O1148" s="339"/>
      <c r="T1148" s="75"/>
      <c r="U1148" s="75"/>
      <c r="V1148" s="75"/>
      <c r="W1148" s="75"/>
      <c r="X1148" s="75"/>
      <c r="Y1148" s="340"/>
      <c r="Z1148" s="341"/>
      <c r="AA1148" s="341"/>
      <c r="AB1148" s="341"/>
      <c r="AC1148" s="340"/>
      <c r="AD1148" s="75"/>
      <c r="AE1148" s="75"/>
      <c r="AF1148" s="75"/>
      <c r="AG1148" s="344"/>
      <c r="AH1148" s="344"/>
      <c r="AI1148" s="344"/>
      <c r="AJ1148" s="97"/>
      <c r="AK1148" s="4"/>
    </row>
    <row r="1149" spans="2:37" s="113" customFormat="1" x14ac:dyDescent="0.4">
      <c r="B1149" s="80"/>
      <c r="C1149" s="563">
        <v>736</v>
      </c>
      <c r="D1149" s="907"/>
      <c r="E1149" s="906"/>
      <c r="F1149" s="921" t="str">
        <f t="shared" si="58"/>
        <v/>
      </c>
      <c r="G1149" s="882" t="str">
        <f t="shared" si="59"/>
        <v/>
      </c>
      <c r="H1149" s="925"/>
      <c r="I1149" s="919"/>
      <c r="J1149" s="919"/>
      <c r="K1149" s="919"/>
      <c r="L1149" s="919"/>
      <c r="O1149" s="339"/>
      <c r="T1149" s="75"/>
      <c r="U1149" s="75"/>
      <c r="V1149" s="75"/>
      <c r="W1149" s="75"/>
      <c r="X1149" s="75"/>
      <c r="Y1149" s="340"/>
      <c r="Z1149" s="341"/>
      <c r="AA1149" s="341"/>
      <c r="AB1149" s="341"/>
      <c r="AC1149" s="340"/>
      <c r="AD1149" s="75"/>
      <c r="AE1149" s="75"/>
      <c r="AF1149" s="75"/>
      <c r="AG1149" s="344"/>
      <c r="AH1149" s="344"/>
      <c r="AI1149" s="344"/>
      <c r="AJ1149" s="97"/>
      <c r="AK1149" s="4"/>
    </row>
    <row r="1150" spans="2:37" s="113" customFormat="1" x14ac:dyDescent="0.4">
      <c r="B1150" s="80"/>
      <c r="C1150" s="563">
        <v>737</v>
      </c>
      <c r="D1150" s="907"/>
      <c r="E1150" s="906"/>
      <c r="F1150" s="921" t="str">
        <f t="shared" si="58"/>
        <v/>
      </c>
      <c r="G1150" s="882" t="str">
        <f t="shared" si="59"/>
        <v/>
      </c>
      <c r="H1150" s="925"/>
      <c r="I1150" s="919"/>
      <c r="J1150" s="919"/>
      <c r="K1150" s="919"/>
      <c r="L1150" s="919"/>
      <c r="O1150" s="339"/>
      <c r="T1150" s="75"/>
      <c r="U1150" s="75"/>
      <c r="V1150" s="75"/>
      <c r="W1150" s="75"/>
      <c r="X1150" s="75"/>
      <c r="Y1150" s="340"/>
      <c r="Z1150" s="341"/>
      <c r="AA1150" s="341"/>
      <c r="AB1150" s="341"/>
      <c r="AC1150" s="340"/>
      <c r="AD1150" s="75"/>
      <c r="AE1150" s="75"/>
      <c r="AF1150" s="75"/>
      <c r="AG1150" s="344"/>
      <c r="AH1150" s="344"/>
      <c r="AI1150" s="344"/>
      <c r="AJ1150" s="97"/>
      <c r="AK1150" s="4"/>
    </row>
    <row r="1151" spans="2:37" s="113" customFormat="1" x14ac:dyDescent="0.4">
      <c r="B1151" s="80"/>
      <c r="C1151" s="563">
        <v>738</v>
      </c>
      <c r="D1151" s="907"/>
      <c r="E1151" s="906"/>
      <c r="F1151" s="921" t="str">
        <f t="shared" si="58"/>
        <v/>
      </c>
      <c r="G1151" s="882" t="str">
        <f t="shared" si="59"/>
        <v/>
      </c>
      <c r="H1151" s="925"/>
      <c r="I1151" s="919"/>
      <c r="J1151" s="919"/>
      <c r="K1151" s="919"/>
      <c r="L1151" s="919"/>
      <c r="O1151" s="339"/>
      <c r="T1151" s="75"/>
      <c r="U1151" s="75"/>
      <c r="V1151" s="75"/>
      <c r="W1151" s="75"/>
      <c r="X1151" s="75"/>
      <c r="Y1151" s="340"/>
      <c r="Z1151" s="341"/>
      <c r="AA1151" s="341"/>
      <c r="AB1151" s="341"/>
      <c r="AC1151" s="340"/>
      <c r="AD1151" s="75"/>
      <c r="AE1151" s="75"/>
      <c r="AF1151" s="75"/>
      <c r="AG1151" s="344"/>
      <c r="AH1151" s="344"/>
      <c r="AI1151" s="344"/>
      <c r="AJ1151" s="97"/>
      <c r="AK1151" s="4"/>
    </row>
    <row r="1152" spans="2:37" s="113" customFormat="1" x14ac:dyDescent="0.4">
      <c r="B1152" s="80"/>
      <c r="C1152" s="563">
        <v>739</v>
      </c>
      <c r="D1152" s="907"/>
      <c r="E1152" s="906"/>
      <c r="F1152" s="921" t="str">
        <f t="shared" si="58"/>
        <v/>
      </c>
      <c r="G1152" s="882" t="str">
        <f t="shared" si="59"/>
        <v/>
      </c>
      <c r="H1152" s="925"/>
      <c r="I1152" s="919"/>
      <c r="J1152" s="919"/>
      <c r="K1152" s="919"/>
      <c r="L1152" s="919"/>
      <c r="O1152" s="339"/>
      <c r="T1152" s="75"/>
      <c r="U1152" s="75"/>
      <c r="V1152" s="75"/>
      <c r="W1152" s="75"/>
      <c r="X1152" s="75"/>
      <c r="Y1152" s="340"/>
      <c r="Z1152" s="341"/>
      <c r="AA1152" s="341"/>
      <c r="AB1152" s="341"/>
      <c r="AC1152" s="340"/>
      <c r="AD1152" s="75"/>
      <c r="AE1152" s="75"/>
      <c r="AF1152" s="75"/>
      <c r="AG1152" s="344"/>
      <c r="AH1152" s="344"/>
      <c r="AI1152" s="344"/>
      <c r="AJ1152" s="97"/>
      <c r="AK1152" s="4"/>
    </row>
    <row r="1153" spans="2:37" s="113" customFormat="1" x14ac:dyDescent="0.4">
      <c r="B1153" s="80"/>
      <c r="C1153" s="563">
        <v>740</v>
      </c>
      <c r="D1153" s="907"/>
      <c r="E1153" s="906"/>
      <c r="F1153" s="921" t="str">
        <f t="shared" si="58"/>
        <v/>
      </c>
      <c r="G1153" s="882" t="str">
        <f t="shared" si="59"/>
        <v/>
      </c>
      <c r="H1153" s="925"/>
      <c r="I1153" s="919"/>
      <c r="J1153" s="919"/>
      <c r="K1153" s="919"/>
      <c r="L1153" s="919"/>
      <c r="O1153" s="339"/>
      <c r="T1153" s="75"/>
      <c r="U1153" s="75"/>
      <c r="V1153" s="75"/>
      <c r="W1153" s="75"/>
      <c r="X1153" s="75"/>
      <c r="Y1153" s="340"/>
      <c r="Z1153" s="341"/>
      <c r="AA1153" s="341"/>
      <c r="AB1153" s="341"/>
      <c r="AC1153" s="340"/>
      <c r="AD1153" s="75"/>
      <c r="AE1153" s="75"/>
      <c r="AF1153" s="75"/>
      <c r="AG1153" s="344"/>
      <c r="AH1153" s="344"/>
      <c r="AI1153" s="344"/>
      <c r="AJ1153" s="97"/>
      <c r="AK1153" s="4"/>
    </row>
    <row r="1154" spans="2:37" s="113" customFormat="1" x14ac:dyDescent="0.4">
      <c r="B1154" s="80"/>
      <c r="C1154" s="563">
        <v>741</v>
      </c>
      <c r="D1154" s="907"/>
      <c r="E1154" s="906"/>
      <c r="F1154" s="921" t="str">
        <f t="shared" si="58"/>
        <v/>
      </c>
      <c r="G1154" s="882" t="str">
        <f t="shared" si="59"/>
        <v/>
      </c>
      <c r="H1154" s="925"/>
      <c r="I1154" s="919"/>
      <c r="J1154" s="919"/>
      <c r="K1154" s="919"/>
      <c r="L1154" s="919"/>
      <c r="O1154" s="339"/>
      <c r="T1154" s="75"/>
      <c r="U1154" s="75"/>
      <c r="V1154" s="75"/>
      <c r="W1154" s="75"/>
      <c r="X1154" s="75"/>
      <c r="Y1154" s="340"/>
      <c r="Z1154" s="341"/>
      <c r="AA1154" s="341"/>
      <c r="AB1154" s="341"/>
      <c r="AC1154" s="340"/>
      <c r="AD1154" s="75"/>
      <c r="AE1154" s="75"/>
      <c r="AF1154" s="75"/>
      <c r="AG1154" s="344"/>
      <c r="AH1154" s="344"/>
      <c r="AI1154" s="344"/>
      <c r="AJ1154" s="97"/>
      <c r="AK1154" s="4"/>
    </row>
    <row r="1155" spans="2:37" s="113" customFormat="1" x14ac:dyDescent="0.4">
      <c r="B1155" s="80"/>
      <c r="C1155" s="563">
        <v>742</v>
      </c>
      <c r="D1155" s="907"/>
      <c r="E1155" s="906"/>
      <c r="F1155" s="921" t="str">
        <f t="shared" si="58"/>
        <v/>
      </c>
      <c r="G1155" s="882" t="str">
        <f t="shared" si="59"/>
        <v/>
      </c>
      <c r="H1155" s="925"/>
      <c r="I1155" s="919"/>
      <c r="J1155" s="919"/>
      <c r="K1155" s="919"/>
      <c r="L1155" s="919"/>
      <c r="O1155" s="339"/>
      <c r="T1155" s="75"/>
      <c r="U1155" s="75"/>
      <c r="V1155" s="75"/>
      <c r="W1155" s="75"/>
      <c r="X1155" s="75"/>
      <c r="Y1155" s="340"/>
      <c r="Z1155" s="341"/>
      <c r="AA1155" s="341"/>
      <c r="AB1155" s="341"/>
      <c r="AC1155" s="340"/>
      <c r="AD1155" s="75"/>
      <c r="AE1155" s="75"/>
      <c r="AF1155" s="75"/>
      <c r="AG1155" s="344"/>
      <c r="AH1155" s="344"/>
      <c r="AI1155" s="344"/>
      <c r="AJ1155" s="97"/>
      <c r="AK1155" s="4"/>
    </row>
    <row r="1156" spans="2:37" s="113" customFormat="1" x14ac:dyDescent="0.4">
      <c r="B1156" s="80"/>
      <c r="C1156" s="563">
        <v>743</v>
      </c>
      <c r="D1156" s="907"/>
      <c r="E1156" s="906"/>
      <c r="F1156" s="921" t="str">
        <f t="shared" si="58"/>
        <v/>
      </c>
      <c r="G1156" s="882" t="str">
        <f t="shared" si="59"/>
        <v/>
      </c>
      <c r="H1156" s="925"/>
      <c r="I1156" s="919"/>
      <c r="J1156" s="919"/>
      <c r="K1156" s="919"/>
      <c r="L1156" s="919"/>
      <c r="O1156" s="339"/>
      <c r="T1156" s="75"/>
      <c r="U1156" s="75"/>
      <c r="V1156" s="75"/>
      <c r="W1156" s="75"/>
      <c r="X1156" s="75"/>
      <c r="Y1156" s="340"/>
      <c r="Z1156" s="341"/>
      <c r="AA1156" s="341"/>
      <c r="AB1156" s="341"/>
      <c r="AC1156" s="340"/>
      <c r="AD1156" s="75"/>
      <c r="AE1156" s="75"/>
      <c r="AF1156" s="75"/>
      <c r="AG1156" s="344"/>
      <c r="AH1156" s="344"/>
      <c r="AI1156" s="344"/>
      <c r="AJ1156" s="97"/>
      <c r="AK1156" s="4"/>
    </row>
    <row r="1157" spans="2:37" s="113" customFormat="1" x14ac:dyDescent="0.4">
      <c r="B1157" s="80"/>
      <c r="C1157" s="563">
        <v>744</v>
      </c>
      <c r="D1157" s="907"/>
      <c r="E1157" s="906"/>
      <c r="F1157" s="921" t="str">
        <f t="shared" si="58"/>
        <v/>
      </c>
      <c r="G1157" s="882" t="str">
        <f t="shared" si="59"/>
        <v/>
      </c>
      <c r="H1157" s="925"/>
      <c r="I1157" s="919"/>
      <c r="J1157" s="919"/>
      <c r="K1157" s="919"/>
      <c r="L1157" s="919"/>
      <c r="O1157" s="339"/>
      <c r="T1157" s="75"/>
      <c r="U1157" s="75"/>
      <c r="V1157" s="75"/>
      <c r="W1157" s="75"/>
      <c r="X1157" s="75"/>
      <c r="Y1157" s="340"/>
      <c r="Z1157" s="341"/>
      <c r="AA1157" s="341"/>
      <c r="AB1157" s="341"/>
      <c r="AC1157" s="340"/>
      <c r="AD1157" s="75"/>
      <c r="AE1157" s="75"/>
      <c r="AF1157" s="75"/>
      <c r="AG1157" s="344"/>
      <c r="AH1157" s="344"/>
      <c r="AI1157" s="344"/>
      <c r="AJ1157" s="97"/>
      <c r="AK1157" s="4"/>
    </row>
    <row r="1158" spans="2:37" s="113" customFormat="1" x14ac:dyDescent="0.4">
      <c r="B1158" s="80"/>
      <c r="C1158" s="563">
        <v>745</v>
      </c>
      <c r="D1158" s="907"/>
      <c r="E1158" s="906"/>
      <c r="F1158" s="921" t="str">
        <f t="shared" si="58"/>
        <v/>
      </c>
      <c r="G1158" s="882" t="str">
        <f t="shared" si="59"/>
        <v/>
      </c>
      <c r="H1158" s="925"/>
      <c r="I1158" s="919"/>
      <c r="J1158" s="919"/>
      <c r="K1158" s="919"/>
      <c r="L1158" s="919"/>
      <c r="O1158" s="339"/>
      <c r="T1158" s="75"/>
      <c r="U1158" s="75"/>
      <c r="V1158" s="75"/>
      <c r="W1158" s="75"/>
      <c r="X1158" s="75"/>
      <c r="Y1158" s="340"/>
      <c r="Z1158" s="341"/>
      <c r="AA1158" s="341"/>
      <c r="AB1158" s="341"/>
      <c r="AC1158" s="340"/>
      <c r="AD1158" s="75"/>
      <c r="AE1158" s="75"/>
      <c r="AF1158" s="75"/>
      <c r="AG1158" s="344"/>
      <c r="AH1158" s="344"/>
      <c r="AI1158" s="344"/>
      <c r="AJ1158" s="97"/>
      <c r="AK1158" s="4"/>
    </row>
    <row r="1159" spans="2:37" s="113" customFormat="1" x14ac:dyDescent="0.4">
      <c r="B1159" s="80"/>
      <c r="C1159" s="563">
        <v>746</v>
      </c>
      <c r="D1159" s="907"/>
      <c r="E1159" s="906"/>
      <c r="F1159" s="921" t="str">
        <f t="shared" si="58"/>
        <v/>
      </c>
      <c r="G1159" s="882" t="str">
        <f t="shared" si="59"/>
        <v/>
      </c>
      <c r="H1159" s="925"/>
      <c r="I1159" s="919"/>
      <c r="J1159" s="919"/>
      <c r="K1159" s="919"/>
      <c r="L1159" s="919"/>
      <c r="O1159" s="339"/>
      <c r="T1159" s="75"/>
      <c r="U1159" s="75"/>
      <c r="V1159" s="75"/>
      <c r="W1159" s="75"/>
      <c r="X1159" s="75"/>
      <c r="Y1159" s="340"/>
      <c r="Z1159" s="341"/>
      <c r="AA1159" s="341"/>
      <c r="AB1159" s="341"/>
      <c r="AC1159" s="340"/>
      <c r="AD1159" s="75"/>
      <c r="AE1159" s="75"/>
      <c r="AF1159" s="75"/>
      <c r="AG1159" s="344"/>
      <c r="AH1159" s="344"/>
      <c r="AI1159" s="344"/>
      <c r="AJ1159" s="97"/>
      <c r="AK1159" s="4"/>
    </row>
    <row r="1160" spans="2:37" s="113" customFormat="1" x14ac:dyDescent="0.4">
      <c r="B1160" s="80"/>
      <c r="C1160" s="563">
        <v>747</v>
      </c>
      <c r="D1160" s="907"/>
      <c r="E1160" s="906"/>
      <c r="F1160" s="921" t="str">
        <f t="shared" si="58"/>
        <v/>
      </c>
      <c r="G1160" s="882" t="str">
        <f t="shared" si="59"/>
        <v/>
      </c>
      <c r="H1160" s="925"/>
      <c r="I1160" s="919"/>
      <c r="J1160" s="919"/>
      <c r="K1160" s="919"/>
      <c r="L1160" s="919"/>
      <c r="O1160" s="339"/>
      <c r="T1160" s="75"/>
      <c r="U1160" s="75"/>
      <c r="V1160" s="75"/>
      <c r="W1160" s="75"/>
      <c r="X1160" s="75"/>
      <c r="Y1160" s="340"/>
      <c r="Z1160" s="341"/>
      <c r="AA1160" s="341"/>
      <c r="AB1160" s="341"/>
      <c r="AC1160" s="340"/>
      <c r="AD1160" s="75"/>
      <c r="AE1160" s="75"/>
      <c r="AF1160" s="75"/>
      <c r="AG1160" s="344"/>
      <c r="AH1160" s="344"/>
      <c r="AI1160" s="344"/>
      <c r="AJ1160" s="97"/>
      <c r="AK1160" s="4"/>
    </row>
    <row r="1161" spans="2:37" s="113" customFormat="1" x14ac:dyDescent="0.4">
      <c r="B1161" s="80"/>
      <c r="C1161" s="563">
        <v>748</v>
      </c>
      <c r="D1161" s="907"/>
      <c r="E1161" s="906"/>
      <c r="F1161" s="921" t="str">
        <f t="shared" si="58"/>
        <v/>
      </c>
      <c r="G1161" s="882" t="str">
        <f t="shared" si="59"/>
        <v/>
      </c>
      <c r="H1161" s="925"/>
      <c r="I1161" s="919"/>
      <c r="J1161" s="919"/>
      <c r="K1161" s="919"/>
      <c r="L1161" s="919"/>
      <c r="O1161" s="339"/>
      <c r="T1161" s="75"/>
      <c r="U1161" s="75"/>
      <c r="V1161" s="75"/>
      <c r="W1161" s="75"/>
      <c r="X1161" s="75"/>
      <c r="Y1161" s="340"/>
      <c r="Z1161" s="341"/>
      <c r="AA1161" s="341"/>
      <c r="AB1161" s="341"/>
      <c r="AC1161" s="340"/>
      <c r="AD1161" s="75"/>
      <c r="AE1161" s="75"/>
      <c r="AF1161" s="75"/>
      <c r="AG1161" s="344"/>
      <c r="AH1161" s="344"/>
      <c r="AI1161" s="344"/>
      <c r="AJ1161" s="97"/>
      <c r="AK1161" s="4"/>
    </row>
    <row r="1162" spans="2:37" s="113" customFormat="1" x14ac:dyDescent="0.4">
      <c r="B1162" s="80"/>
      <c r="C1162" s="563">
        <v>749</v>
      </c>
      <c r="D1162" s="907"/>
      <c r="E1162" s="906"/>
      <c r="F1162" s="921" t="str">
        <f t="shared" si="58"/>
        <v/>
      </c>
      <c r="G1162" s="882" t="str">
        <f t="shared" si="59"/>
        <v/>
      </c>
      <c r="H1162" s="925"/>
      <c r="I1162" s="919"/>
      <c r="J1162" s="919"/>
      <c r="K1162" s="919"/>
      <c r="L1162" s="919"/>
      <c r="O1162" s="339"/>
      <c r="T1162" s="75"/>
      <c r="U1162" s="75"/>
      <c r="V1162" s="75"/>
      <c r="W1162" s="75"/>
      <c r="X1162" s="75"/>
      <c r="Y1162" s="340"/>
      <c r="Z1162" s="341"/>
      <c r="AA1162" s="341"/>
      <c r="AB1162" s="341"/>
      <c r="AC1162" s="340"/>
      <c r="AD1162" s="75"/>
      <c r="AE1162" s="75"/>
      <c r="AF1162" s="75"/>
      <c r="AG1162" s="344"/>
      <c r="AH1162" s="344"/>
      <c r="AI1162" s="344"/>
      <c r="AJ1162" s="97"/>
      <c r="AK1162" s="4"/>
    </row>
    <row r="1163" spans="2:37" s="113" customFormat="1" x14ac:dyDescent="0.4">
      <c r="B1163" s="80"/>
      <c r="C1163" s="563">
        <v>750</v>
      </c>
      <c r="D1163" s="907"/>
      <c r="E1163" s="906"/>
      <c r="F1163" s="921" t="str">
        <f t="shared" si="58"/>
        <v/>
      </c>
      <c r="G1163" s="882" t="str">
        <f t="shared" si="59"/>
        <v/>
      </c>
      <c r="H1163" s="925"/>
      <c r="I1163" s="919"/>
      <c r="J1163" s="919"/>
      <c r="K1163" s="919"/>
      <c r="L1163" s="919"/>
      <c r="O1163" s="339"/>
      <c r="T1163" s="75"/>
      <c r="U1163" s="75"/>
      <c r="V1163" s="75"/>
      <c r="W1163" s="75"/>
      <c r="X1163" s="75"/>
      <c r="Y1163" s="340"/>
      <c r="Z1163" s="341"/>
      <c r="AA1163" s="341"/>
      <c r="AB1163" s="341"/>
      <c r="AC1163" s="340"/>
      <c r="AD1163" s="75"/>
      <c r="AE1163" s="75"/>
      <c r="AF1163" s="75"/>
      <c r="AG1163" s="344"/>
      <c r="AH1163" s="344"/>
      <c r="AI1163" s="344"/>
      <c r="AJ1163" s="97"/>
      <c r="AK1163" s="4"/>
    </row>
    <row r="1164" spans="2:37" s="113" customFormat="1" x14ac:dyDescent="0.4">
      <c r="B1164" s="80"/>
      <c r="C1164" s="563">
        <v>751</v>
      </c>
      <c r="D1164" s="907"/>
      <c r="E1164" s="906"/>
      <c r="F1164" s="921" t="str">
        <f t="shared" si="58"/>
        <v/>
      </c>
      <c r="G1164" s="882" t="str">
        <f t="shared" si="59"/>
        <v/>
      </c>
      <c r="H1164" s="925"/>
      <c r="I1164" s="919"/>
      <c r="J1164" s="919"/>
      <c r="K1164" s="919"/>
      <c r="L1164" s="919"/>
      <c r="O1164" s="339"/>
      <c r="T1164" s="75"/>
      <c r="U1164" s="75"/>
      <c r="V1164" s="75"/>
      <c r="W1164" s="75"/>
      <c r="X1164" s="75"/>
      <c r="Y1164" s="340"/>
      <c r="Z1164" s="341"/>
      <c r="AA1164" s="341"/>
      <c r="AB1164" s="341"/>
      <c r="AC1164" s="340"/>
      <c r="AD1164" s="75"/>
      <c r="AE1164" s="75"/>
      <c r="AF1164" s="75"/>
      <c r="AG1164" s="344"/>
      <c r="AH1164" s="344"/>
      <c r="AI1164" s="344"/>
      <c r="AJ1164" s="97"/>
      <c r="AK1164" s="4"/>
    </row>
    <row r="1165" spans="2:37" s="113" customFormat="1" x14ac:dyDescent="0.4">
      <c r="B1165" s="80"/>
      <c r="C1165" s="563">
        <v>752</v>
      </c>
      <c r="D1165" s="907"/>
      <c r="E1165" s="906"/>
      <c r="F1165" s="921" t="str">
        <f t="shared" si="58"/>
        <v/>
      </c>
      <c r="G1165" s="882" t="str">
        <f t="shared" si="59"/>
        <v/>
      </c>
      <c r="H1165" s="925"/>
      <c r="I1165" s="919"/>
      <c r="J1165" s="919"/>
      <c r="K1165" s="919"/>
      <c r="L1165" s="919"/>
      <c r="O1165" s="339"/>
      <c r="T1165" s="75"/>
      <c r="U1165" s="75"/>
      <c r="V1165" s="75"/>
      <c r="W1165" s="75"/>
      <c r="X1165" s="75"/>
      <c r="Y1165" s="340"/>
      <c r="Z1165" s="341"/>
      <c r="AA1165" s="341"/>
      <c r="AB1165" s="341"/>
      <c r="AC1165" s="340"/>
      <c r="AD1165" s="75"/>
      <c r="AE1165" s="75"/>
      <c r="AF1165" s="75"/>
      <c r="AG1165" s="344"/>
      <c r="AH1165" s="344"/>
      <c r="AI1165" s="344"/>
      <c r="AJ1165" s="97"/>
      <c r="AK1165" s="4"/>
    </row>
    <row r="1166" spans="2:37" s="113" customFormat="1" x14ac:dyDescent="0.4">
      <c r="B1166" s="80"/>
      <c r="C1166" s="563">
        <v>753</v>
      </c>
      <c r="D1166" s="907"/>
      <c r="E1166" s="906"/>
      <c r="F1166" s="921" t="str">
        <f t="shared" si="58"/>
        <v/>
      </c>
      <c r="G1166" s="882" t="str">
        <f t="shared" si="59"/>
        <v/>
      </c>
      <c r="H1166" s="925"/>
      <c r="I1166" s="919"/>
      <c r="J1166" s="919"/>
      <c r="K1166" s="919"/>
      <c r="L1166" s="919"/>
      <c r="O1166" s="339"/>
      <c r="T1166" s="75"/>
      <c r="U1166" s="75"/>
      <c r="V1166" s="75"/>
      <c r="W1166" s="75"/>
      <c r="X1166" s="75"/>
      <c r="Y1166" s="340"/>
      <c r="Z1166" s="341"/>
      <c r="AA1166" s="341"/>
      <c r="AB1166" s="341"/>
      <c r="AC1166" s="340"/>
      <c r="AD1166" s="75"/>
      <c r="AE1166" s="75"/>
      <c r="AF1166" s="75"/>
      <c r="AG1166" s="344"/>
      <c r="AH1166" s="344"/>
      <c r="AI1166" s="344"/>
      <c r="AJ1166" s="97"/>
      <c r="AK1166" s="4"/>
    </row>
    <row r="1167" spans="2:37" s="113" customFormat="1" x14ac:dyDescent="0.4">
      <c r="B1167" s="80"/>
      <c r="C1167" s="563">
        <v>754</v>
      </c>
      <c r="D1167" s="907"/>
      <c r="E1167" s="906"/>
      <c r="F1167" s="921" t="str">
        <f t="shared" si="58"/>
        <v/>
      </c>
      <c r="G1167" s="882" t="str">
        <f t="shared" si="59"/>
        <v/>
      </c>
      <c r="H1167" s="925"/>
      <c r="I1167" s="919"/>
      <c r="J1167" s="919"/>
      <c r="K1167" s="919"/>
      <c r="L1167" s="919"/>
      <c r="O1167" s="339"/>
      <c r="T1167" s="75"/>
      <c r="U1167" s="75"/>
      <c r="V1167" s="75"/>
      <c r="W1167" s="75"/>
      <c r="X1167" s="75"/>
      <c r="Y1167" s="340"/>
      <c r="Z1167" s="341"/>
      <c r="AA1167" s="341"/>
      <c r="AB1167" s="341"/>
      <c r="AC1167" s="340"/>
      <c r="AD1167" s="75"/>
      <c r="AE1167" s="75"/>
      <c r="AF1167" s="75"/>
      <c r="AG1167" s="344"/>
      <c r="AH1167" s="344"/>
      <c r="AI1167" s="344"/>
      <c r="AJ1167" s="97"/>
      <c r="AK1167" s="4"/>
    </row>
    <row r="1168" spans="2:37" s="113" customFormat="1" x14ac:dyDescent="0.4">
      <c r="B1168" s="80"/>
      <c r="C1168" s="563">
        <v>755</v>
      </c>
      <c r="D1168" s="907"/>
      <c r="E1168" s="906"/>
      <c r="F1168" s="921" t="str">
        <f t="shared" si="58"/>
        <v/>
      </c>
      <c r="G1168" s="882" t="str">
        <f t="shared" si="59"/>
        <v/>
      </c>
      <c r="H1168" s="925"/>
      <c r="I1168" s="919"/>
      <c r="J1168" s="919"/>
      <c r="K1168" s="919"/>
      <c r="L1168" s="919"/>
      <c r="O1168" s="339"/>
      <c r="T1168" s="75"/>
      <c r="U1168" s="75"/>
      <c r="V1168" s="75"/>
      <c r="W1168" s="75"/>
      <c r="X1168" s="75"/>
      <c r="Y1168" s="340"/>
      <c r="Z1168" s="341"/>
      <c r="AA1168" s="341"/>
      <c r="AB1168" s="341"/>
      <c r="AC1168" s="340"/>
      <c r="AD1168" s="75"/>
      <c r="AE1168" s="75"/>
      <c r="AF1168" s="75"/>
      <c r="AG1168" s="344"/>
      <c r="AH1168" s="344"/>
      <c r="AI1168" s="344"/>
      <c r="AJ1168" s="97"/>
      <c r="AK1168" s="4"/>
    </row>
    <row r="1169" spans="2:37" s="113" customFormat="1" x14ac:dyDescent="0.4">
      <c r="B1169" s="80"/>
      <c r="C1169" s="563">
        <v>756</v>
      </c>
      <c r="D1169" s="907"/>
      <c r="E1169" s="906"/>
      <c r="F1169" s="921" t="str">
        <f t="shared" si="58"/>
        <v/>
      </c>
      <c r="G1169" s="882" t="str">
        <f t="shared" si="59"/>
        <v/>
      </c>
      <c r="H1169" s="925"/>
      <c r="I1169" s="919"/>
      <c r="J1169" s="919"/>
      <c r="K1169" s="919"/>
      <c r="L1169" s="919"/>
      <c r="O1169" s="339"/>
      <c r="T1169" s="75"/>
      <c r="U1169" s="75"/>
      <c r="V1169" s="75"/>
      <c r="W1169" s="75"/>
      <c r="X1169" s="75"/>
      <c r="Y1169" s="340"/>
      <c r="Z1169" s="341"/>
      <c r="AA1169" s="341"/>
      <c r="AB1169" s="341"/>
      <c r="AC1169" s="340"/>
      <c r="AD1169" s="75"/>
      <c r="AE1169" s="75"/>
      <c r="AF1169" s="75"/>
      <c r="AG1169" s="344"/>
      <c r="AH1169" s="344"/>
      <c r="AI1169" s="344"/>
      <c r="AJ1169" s="97"/>
      <c r="AK1169" s="4"/>
    </row>
    <row r="1170" spans="2:37" s="113" customFormat="1" x14ac:dyDescent="0.4">
      <c r="B1170" s="80"/>
      <c r="C1170" s="563">
        <v>757</v>
      </c>
      <c r="D1170" s="907"/>
      <c r="E1170" s="906"/>
      <c r="F1170" s="921" t="str">
        <f t="shared" si="58"/>
        <v/>
      </c>
      <c r="G1170" s="882" t="str">
        <f t="shared" si="59"/>
        <v/>
      </c>
      <c r="H1170" s="925"/>
      <c r="I1170" s="919"/>
      <c r="J1170" s="919"/>
      <c r="K1170" s="919"/>
      <c r="L1170" s="919"/>
      <c r="O1170" s="339"/>
      <c r="T1170" s="75"/>
      <c r="U1170" s="75"/>
      <c r="V1170" s="75"/>
      <c r="W1170" s="75"/>
      <c r="X1170" s="75"/>
      <c r="Y1170" s="340"/>
      <c r="Z1170" s="341"/>
      <c r="AA1170" s="341"/>
      <c r="AB1170" s="341"/>
      <c r="AC1170" s="340"/>
      <c r="AD1170" s="75"/>
      <c r="AE1170" s="75"/>
      <c r="AF1170" s="75"/>
      <c r="AG1170" s="344"/>
      <c r="AH1170" s="344"/>
      <c r="AI1170" s="344"/>
      <c r="AJ1170" s="97"/>
      <c r="AK1170" s="4"/>
    </row>
    <row r="1171" spans="2:37" s="113" customFormat="1" x14ac:dyDescent="0.4">
      <c r="B1171" s="80"/>
      <c r="C1171" s="563">
        <v>758</v>
      </c>
      <c r="D1171" s="907"/>
      <c r="E1171" s="906"/>
      <c r="F1171" s="921" t="str">
        <f t="shared" si="58"/>
        <v/>
      </c>
      <c r="G1171" s="882" t="str">
        <f t="shared" si="59"/>
        <v/>
      </c>
      <c r="H1171" s="925"/>
      <c r="I1171" s="919"/>
      <c r="J1171" s="919"/>
      <c r="K1171" s="919"/>
      <c r="L1171" s="919"/>
      <c r="O1171" s="339"/>
      <c r="T1171" s="75"/>
      <c r="U1171" s="75"/>
      <c r="V1171" s="75"/>
      <c r="W1171" s="75"/>
      <c r="X1171" s="75"/>
      <c r="Y1171" s="340"/>
      <c r="Z1171" s="341"/>
      <c r="AA1171" s="341"/>
      <c r="AB1171" s="341"/>
      <c r="AC1171" s="340"/>
      <c r="AD1171" s="75"/>
      <c r="AE1171" s="75"/>
      <c r="AF1171" s="75"/>
      <c r="AG1171" s="344"/>
      <c r="AH1171" s="344"/>
      <c r="AI1171" s="344"/>
      <c r="AJ1171" s="97"/>
      <c r="AK1171" s="4"/>
    </row>
    <row r="1172" spans="2:37" s="113" customFormat="1" x14ac:dyDescent="0.4">
      <c r="B1172" s="80"/>
      <c r="C1172" s="563">
        <v>759</v>
      </c>
      <c r="D1172" s="907"/>
      <c r="E1172" s="906"/>
      <c r="F1172" s="921" t="str">
        <f t="shared" si="58"/>
        <v/>
      </c>
      <c r="G1172" s="882" t="str">
        <f t="shared" si="59"/>
        <v/>
      </c>
      <c r="H1172" s="925"/>
      <c r="I1172" s="919"/>
      <c r="J1172" s="919"/>
      <c r="K1172" s="919"/>
      <c r="L1172" s="919"/>
      <c r="O1172" s="339"/>
      <c r="T1172" s="75"/>
      <c r="U1172" s="75"/>
      <c r="V1172" s="75"/>
      <c r="W1172" s="75"/>
      <c r="X1172" s="75"/>
      <c r="Y1172" s="340"/>
      <c r="Z1172" s="341"/>
      <c r="AA1172" s="341"/>
      <c r="AB1172" s="341"/>
      <c r="AC1172" s="340"/>
      <c r="AD1172" s="75"/>
      <c r="AE1172" s="75"/>
      <c r="AF1172" s="75"/>
      <c r="AG1172" s="344"/>
      <c r="AH1172" s="344"/>
      <c r="AI1172" s="344"/>
      <c r="AJ1172" s="97"/>
      <c r="AK1172" s="4"/>
    </row>
    <row r="1173" spans="2:37" s="113" customFormat="1" x14ac:dyDescent="0.4">
      <c r="B1173" s="80"/>
      <c r="C1173" s="563">
        <v>760</v>
      </c>
      <c r="D1173" s="907"/>
      <c r="E1173" s="906"/>
      <c r="F1173" s="921" t="str">
        <f t="shared" si="58"/>
        <v/>
      </c>
      <c r="G1173" s="882" t="str">
        <f t="shared" si="59"/>
        <v/>
      </c>
      <c r="H1173" s="925"/>
      <c r="I1173" s="919"/>
      <c r="J1173" s="919"/>
      <c r="K1173" s="919"/>
      <c r="L1173" s="919"/>
      <c r="O1173" s="339"/>
      <c r="T1173" s="75"/>
      <c r="U1173" s="75"/>
      <c r="V1173" s="75"/>
      <c r="W1173" s="75"/>
      <c r="X1173" s="75"/>
      <c r="Y1173" s="340"/>
      <c r="Z1173" s="341"/>
      <c r="AA1173" s="341"/>
      <c r="AB1173" s="341"/>
      <c r="AC1173" s="340"/>
      <c r="AD1173" s="75"/>
      <c r="AE1173" s="75"/>
      <c r="AF1173" s="75"/>
      <c r="AG1173" s="344"/>
      <c r="AH1173" s="344"/>
      <c r="AI1173" s="344"/>
      <c r="AJ1173" s="97"/>
      <c r="AK1173" s="4"/>
    </row>
    <row r="1174" spans="2:37" s="113" customFormat="1" x14ac:dyDescent="0.4">
      <c r="B1174" s="80"/>
      <c r="C1174" s="563">
        <v>761</v>
      </c>
      <c r="D1174" s="907"/>
      <c r="E1174" s="906"/>
      <c r="F1174" s="921" t="str">
        <f t="shared" si="58"/>
        <v/>
      </c>
      <c r="G1174" s="882" t="str">
        <f t="shared" si="59"/>
        <v/>
      </c>
      <c r="H1174" s="925"/>
      <c r="I1174" s="919"/>
      <c r="J1174" s="919"/>
      <c r="K1174" s="919"/>
      <c r="L1174" s="919"/>
      <c r="O1174" s="339"/>
      <c r="T1174" s="75"/>
      <c r="U1174" s="75"/>
      <c r="V1174" s="75"/>
      <c r="W1174" s="75"/>
      <c r="X1174" s="75"/>
      <c r="Y1174" s="340"/>
      <c r="Z1174" s="341"/>
      <c r="AA1174" s="341"/>
      <c r="AB1174" s="341"/>
      <c r="AC1174" s="340"/>
      <c r="AD1174" s="75"/>
      <c r="AE1174" s="75"/>
      <c r="AF1174" s="75"/>
      <c r="AG1174" s="344"/>
      <c r="AH1174" s="344"/>
      <c r="AI1174" s="344"/>
      <c r="AJ1174" s="97"/>
      <c r="AK1174" s="4"/>
    </row>
    <row r="1175" spans="2:37" s="113" customFormat="1" x14ac:dyDescent="0.4">
      <c r="B1175" s="80"/>
      <c r="C1175" s="563">
        <v>762</v>
      </c>
      <c r="D1175" s="907"/>
      <c r="E1175" s="906"/>
      <c r="F1175" s="921" t="str">
        <f t="shared" si="58"/>
        <v/>
      </c>
      <c r="G1175" s="882" t="str">
        <f t="shared" si="59"/>
        <v/>
      </c>
      <c r="H1175" s="925"/>
      <c r="I1175" s="919"/>
      <c r="J1175" s="919"/>
      <c r="K1175" s="919"/>
      <c r="L1175" s="919"/>
      <c r="O1175" s="339"/>
      <c r="T1175" s="75"/>
      <c r="U1175" s="75"/>
      <c r="V1175" s="75"/>
      <c r="W1175" s="75"/>
      <c r="X1175" s="75"/>
      <c r="Y1175" s="340"/>
      <c r="Z1175" s="341"/>
      <c r="AA1175" s="341"/>
      <c r="AB1175" s="341"/>
      <c r="AC1175" s="340"/>
      <c r="AD1175" s="75"/>
      <c r="AE1175" s="75"/>
      <c r="AF1175" s="75"/>
      <c r="AG1175" s="344"/>
      <c r="AH1175" s="344"/>
      <c r="AI1175" s="344"/>
      <c r="AJ1175" s="97"/>
      <c r="AK1175" s="4"/>
    </row>
    <row r="1176" spans="2:37" s="113" customFormat="1" x14ac:dyDescent="0.4">
      <c r="B1176" s="80"/>
      <c r="C1176" s="563">
        <v>763</v>
      </c>
      <c r="D1176" s="907"/>
      <c r="E1176" s="906"/>
      <c r="F1176" s="921" t="str">
        <f t="shared" si="58"/>
        <v/>
      </c>
      <c r="G1176" s="882" t="str">
        <f t="shared" si="59"/>
        <v/>
      </c>
      <c r="H1176" s="925"/>
      <c r="I1176" s="919"/>
      <c r="J1176" s="919"/>
      <c r="K1176" s="919"/>
      <c r="L1176" s="919"/>
      <c r="O1176" s="339"/>
      <c r="T1176" s="75"/>
      <c r="U1176" s="75"/>
      <c r="V1176" s="75"/>
      <c r="W1176" s="75"/>
      <c r="X1176" s="75"/>
      <c r="Y1176" s="340"/>
      <c r="Z1176" s="341"/>
      <c r="AA1176" s="341"/>
      <c r="AB1176" s="341"/>
      <c r="AC1176" s="340"/>
      <c r="AD1176" s="75"/>
      <c r="AE1176" s="75"/>
      <c r="AF1176" s="75"/>
      <c r="AG1176" s="344"/>
      <c r="AH1176" s="344"/>
      <c r="AI1176" s="344"/>
      <c r="AJ1176" s="97"/>
      <c r="AK1176" s="4"/>
    </row>
    <row r="1177" spans="2:37" s="113" customFormat="1" x14ac:dyDescent="0.4">
      <c r="B1177" s="80"/>
      <c r="C1177" s="563">
        <v>764</v>
      </c>
      <c r="D1177" s="907"/>
      <c r="E1177" s="906"/>
      <c r="F1177" s="921" t="str">
        <f t="shared" si="58"/>
        <v/>
      </c>
      <c r="G1177" s="882" t="str">
        <f t="shared" si="59"/>
        <v/>
      </c>
      <c r="H1177" s="925"/>
      <c r="I1177" s="919"/>
      <c r="J1177" s="919"/>
      <c r="K1177" s="919"/>
      <c r="L1177" s="919"/>
      <c r="O1177" s="339"/>
      <c r="T1177" s="75"/>
      <c r="U1177" s="75"/>
      <c r="V1177" s="75"/>
      <c r="W1177" s="75"/>
      <c r="X1177" s="75"/>
      <c r="Y1177" s="340"/>
      <c r="Z1177" s="341"/>
      <c r="AA1177" s="341"/>
      <c r="AB1177" s="341"/>
      <c r="AC1177" s="340"/>
      <c r="AD1177" s="75"/>
      <c r="AE1177" s="75"/>
      <c r="AF1177" s="75"/>
      <c r="AG1177" s="344"/>
      <c r="AH1177" s="344"/>
      <c r="AI1177" s="344"/>
      <c r="AJ1177" s="97"/>
      <c r="AK1177" s="4"/>
    </row>
    <row r="1178" spans="2:37" s="113" customFormat="1" x14ac:dyDescent="0.4">
      <c r="B1178" s="80"/>
      <c r="C1178" s="563">
        <v>765</v>
      </c>
      <c r="D1178" s="907"/>
      <c r="E1178" s="906"/>
      <c r="F1178" s="921" t="str">
        <f t="shared" si="58"/>
        <v/>
      </c>
      <c r="G1178" s="882" t="str">
        <f t="shared" si="59"/>
        <v/>
      </c>
      <c r="H1178" s="925"/>
      <c r="I1178" s="919"/>
      <c r="J1178" s="919"/>
      <c r="K1178" s="919"/>
      <c r="L1178" s="919"/>
      <c r="O1178" s="339"/>
      <c r="T1178" s="75"/>
      <c r="U1178" s="75"/>
      <c r="V1178" s="75"/>
      <c r="W1178" s="75"/>
      <c r="X1178" s="75"/>
      <c r="Y1178" s="340"/>
      <c r="Z1178" s="341"/>
      <c r="AA1178" s="341"/>
      <c r="AB1178" s="341"/>
      <c r="AC1178" s="340"/>
      <c r="AD1178" s="75"/>
      <c r="AE1178" s="75"/>
      <c r="AF1178" s="75"/>
      <c r="AG1178" s="344"/>
      <c r="AH1178" s="344"/>
      <c r="AI1178" s="344"/>
      <c r="AJ1178" s="97"/>
      <c r="AK1178" s="4"/>
    </row>
    <row r="1179" spans="2:37" s="113" customFormat="1" x14ac:dyDescent="0.4">
      <c r="B1179" s="80"/>
      <c r="C1179" s="563">
        <v>766</v>
      </c>
      <c r="D1179" s="907"/>
      <c r="E1179" s="906"/>
      <c r="F1179" s="921" t="str">
        <f t="shared" si="58"/>
        <v/>
      </c>
      <c r="G1179" s="882" t="str">
        <f t="shared" si="59"/>
        <v/>
      </c>
      <c r="H1179" s="925"/>
      <c r="I1179" s="919"/>
      <c r="J1179" s="919"/>
      <c r="K1179" s="919"/>
      <c r="L1179" s="919"/>
      <c r="O1179" s="339"/>
      <c r="T1179" s="75"/>
      <c r="U1179" s="75"/>
      <c r="V1179" s="75"/>
      <c r="W1179" s="75"/>
      <c r="X1179" s="75"/>
      <c r="Y1179" s="340"/>
      <c r="Z1179" s="341"/>
      <c r="AA1179" s="341"/>
      <c r="AB1179" s="341"/>
      <c r="AC1179" s="340"/>
      <c r="AD1179" s="75"/>
      <c r="AE1179" s="75"/>
      <c r="AF1179" s="75"/>
      <c r="AG1179" s="344"/>
      <c r="AH1179" s="344"/>
      <c r="AI1179" s="344"/>
      <c r="AJ1179" s="97"/>
      <c r="AK1179" s="4"/>
    </row>
    <row r="1180" spans="2:37" s="113" customFormat="1" x14ac:dyDescent="0.4">
      <c r="B1180" s="80"/>
      <c r="C1180" s="563">
        <v>767</v>
      </c>
      <c r="D1180" s="907"/>
      <c r="E1180" s="906"/>
      <c r="F1180" s="921" t="str">
        <f t="shared" si="58"/>
        <v/>
      </c>
      <c r="G1180" s="882" t="str">
        <f t="shared" si="59"/>
        <v/>
      </c>
      <c r="H1180" s="925"/>
      <c r="I1180" s="919"/>
      <c r="J1180" s="919"/>
      <c r="K1180" s="919"/>
      <c r="L1180" s="919"/>
      <c r="O1180" s="339"/>
      <c r="T1180" s="75"/>
      <c r="U1180" s="75"/>
      <c r="V1180" s="75"/>
      <c r="W1180" s="75"/>
      <c r="X1180" s="75"/>
      <c r="Y1180" s="340"/>
      <c r="Z1180" s="341"/>
      <c r="AA1180" s="341"/>
      <c r="AB1180" s="341"/>
      <c r="AC1180" s="340"/>
      <c r="AD1180" s="75"/>
      <c r="AE1180" s="75"/>
      <c r="AF1180" s="75"/>
      <c r="AG1180" s="344"/>
      <c r="AH1180" s="344"/>
      <c r="AI1180" s="344"/>
      <c r="AJ1180" s="97"/>
      <c r="AK1180" s="4"/>
    </row>
    <row r="1181" spans="2:37" s="113" customFormat="1" x14ac:dyDescent="0.4">
      <c r="B1181" s="80"/>
      <c r="C1181" s="563">
        <v>768</v>
      </c>
      <c r="D1181" s="907"/>
      <c r="E1181" s="906"/>
      <c r="F1181" s="921" t="str">
        <f t="shared" si="58"/>
        <v/>
      </c>
      <c r="G1181" s="882" t="str">
        <f t="shared" si="59"/>
        <v/>
      </c>
      <c r="H1181" s="925"/>
      <c r="I1181" s="919"/>
      <c r="J1181" s="919"/>
      <c r="K1181" s="919"/>
      <c r="L1181" s="919"/>
      <c r="O1181" s="339"/>
      <c r="T1181" s="75"/>
      <c r="U1181" s="75"/>
      <c r="V1181" s="75"/>
      <c r="W1181" s="75"/>
      <c r="X1181" s="75"/>
      <c r="Y1181" s="340"/>
      <c r="Z1181" s="341"/>
      <c r="AA1181" s="341"/>
      <c r="AB1181" s="341"/>
      <c r="AC1181" s="340"/>
      <c r="AD1181" s="75"/>
      <c r="AE1181" s="75"/>
      <c r="AF1181" s="75"/>
      <c r="AG1181" s="344"/>
      <c r="AH1181" s="344"/>
      <c r="AI1181" s="344"/>
      <c r="AJ1181" s="97"/>
      <c r="AK1181" s="4"/>
    </row>
    <row r="1182" spans="2:37" s="113" customFormat="1" x14ac:dyDescent="0.4">
      <c r="B1182" s="80"/>
      <c r="C1182" s="563">
        <v>769</v>
      </c>
      <c r="D1182" s="907"/>
      <c r="E1182" s="906"/>
      <c r="F1182" s="921" t="str">
        <f t="shared" ref="F1182:F1245" si="60">IF($D$30="","",IF(OR(
AND(C1182&gt;=0,C1182&lt;=$D$32),
AND(C1182&gt;=$E$30,C1182&lt;=$E$32),
AND(C1182&gt;=$F$30,C1182&lt;=$F$32),
AND(C1182&gt;=$G$30,C1182&lt;=$G$32),
AND(C1182&gt;=$H$30,C1182&lt;=$H$32),
AND(C1182&gt;=$I$30,C1182&lt;=$I$32),
AND(C1182&gt;=$J$30,C1182&lt;=$J$32),
AND(C1182&gt;=$K$30,C1182&lt;=$K$32),
AND(C1182&gt;=$L$30,C1182&lt;=$L$32),
AND(C1182&gt;=$M$30,C1182&lt;=$M$32,$M$32&lt;&gt;""),
AND(C1182&gt;=$N$30,C1182&lt;=$N$32,$N$32&lt;&gt;""),
AND(C1182&gt;=$O$30,C1182&lt;=$O$32,$O$32&lt;&gt;""),
AND(C1182&gt;=$P$30,C1182&lt;=$P$32,$P$32&lt;&gt;""),
AND(C1182&gt;=$Q$30,C1182&lt;=$Q$32,$Q$32&lt;&gt;"")
),"ON","OFF"))</f>
        <v/>
      </c>
      <c r="G1182" s="882" t="str">
        <f t="shared" si="59"/>
        <v/>
      </c>
      <c r="H1182" s="925"/>
      <c r="I1182" s="919"/>
      <c r="J1182" s="919"/>
      <c r="K1182" s="919"/>
      <c r="L1182" s="919"/>
      <c r="O1182" s="339"/>
      <c r="T1182" s="75"/>
      <c r="U1182" s="75"/>
      <c r="V1182" s="75"/>
      <c r="W1182" s="75"/>
      <c r="X1182" s="75"/>
      <c r="Y1182" s="340"/>
      <c r="Z1182" s="341"/>
      <c r="AA1182" s="341"/>
      <c r="AB1182" s="341"/>
      <c r="AC1182" s="340"/>
      <c r="AD1182" s="75"/>
      <c r="AE1182" s="75"/>
      <c r="AF1182" s="75"/>
      <c r="AG1182" s="344"/>
      <c r="AH1182" s="344"/>
      <c r="AI1182" s="344"/>
      <c r="AJ1182" s="97"/>
      <c r="AK1182" s="4"/>
    </row>
    <row r="1183" spans="2:37" s="113" customFormat="1" x14ac:dyDescent="0.4">
      <c r="B1183" s="80"/>
      <c r="C1183" s="563">
        <v>770</v>
      </c>
      <c r="D1183" s="907"/>
      <c r="E1183" s="906"/>
      <c r="F1183" s="921" t="str">
        <f t="shared" si="60"/>
        <v/>
      </c>
      <c r="G1183" s="882" t="str">
        <f t="shared" ref="G1183:G1246" si="61">IF(OR($D$47="",$D$48=""),"",IF(OR(
AND(C1183&gt;=$D$47,C1183&lt;=$D$48),
AND(C1183&gt;=$E$47,C1183&lt;=$E$48),
AND(C1183&gt;=$F$47,C1183&lt;=$F$48),
AND(C1183&gt;=$G$47,C1183&lt;=$G$48),
AND(C1183&gt;=$H$47,C1183&lt;=$H$48),
AND(C1183&gt;=$I$47,C1183&lt;=$I$48),
AND(C1183&gt;=$J$47,C1183&lt;=$J$48),
AND(C1183&gt;=$K$47,C1183&lt;=$K$48),
AND(C1183&gt;=$L$47,C1183&lt;=$L$48),
AND(C1183&gt;=$M$47,C1183&lt;=$M$48),
AND(C1183&gt;=$N$47,C1183&lt;=$N$48),
AND(C1183&gt;=$O$47,C1183&lt;=$O$48),
AND(C1183&gt;=$P$47,C1183&lt;=$P$48),
AND(C1183&gt;=$Q$47,C1183&lt;=$Q$48),
AND(C1183&gt;=$R$47,C1183&lt;=$R$48),
AND(C1183&gt;=$S$47,C1183&lt;=$S$48),
AND(C1183&gt;=$T$47,C1183&lt;=$T$48),
AND(C1183&gt;=$U$47,C1183&lt;=$U$48),
AND(C1183&gt;=$V$47,C1183&lt;=$V$48),
AND(C1183&gt;=$W$47,C1183&lt;=$W$48),
AND(C1183&gt;=$X$47,C1183&lt;=$X$48),
AND(C1183&gt;=$Y$47,C1183&lt;=$Y$48),
AND(C1183&gt;=$Z$47,C1183&lt;=$Z$48),
AND(C1183&gt;=$AA$47,C1183&lt;=$AA$48),
AND(C1183&gt;=$AB$47,C1183&lt;=$AB$48),
AND(C1183&gt;=$AC$47,C1183&lt;=$AC$48),
AND(C1183&gt;=$AD$47,C1183&lt;=$AD$48),
AND(C1183&gt;=$AE$47,C1183&lt;=$AE$48),
AND(C1183&gt;=$AF$47,C1183&lt;=$AF$48),
AND(C1183&gt;=$AG$47,C1183&lt;=$AG$48)
),"ON","OFF"))</f>
        <v/>
      </c>
      <c r="H1183" s="925"/>
      <c r="I1183" s="919"/>
      <c r="J1183" s="919"/>
      <c r="K1183" s="919"/>
      <c r="L1183" s="919"/>
      <c r="O1183" s="339"/>
      <c r="T1183" s="75"/>
      <c r="U1183" s="75"/>
      <c r="V1183" s="75"/>
      <c r="W1183" s="75"/>
      <c r="X1183" s="75"/>
      <c r="Y1183" s="340"/>
      <c r="Z1183" s="341"/>
      <c r="AA1183" s="341"/>
      <c r="AB1183" s="341"/>
      <c r="AC1183" s="340"/>
      <c r="AD1183" s="75"/>
      <c r="AE1183" s="75"/>
      <c r="AF1183" s="75"/>
      <c r="AG1183" s="344"/>
      <c r="AH1183" s="344"/>
      <c r="AI1183" s="344"/>
      <c r="AJ1183" s="97"/>
      <c r="AK1183" s="4"/>
    </row>
    <row r="1184" spans="2:37" s="113" customFormat="1" x14ac:dyDescent="0.4">
      <c r="B1184" s="80"/>
      <c r="C1184" s="563">
        <v>771</v>
      </c>
      <c r="D1184" s="907"/>
      <c r="E1184" s="906"/>
      <c r="F1184" s="921" t="str">
        <f t="shared" si="60"/>
        <v/>
      </c>
      <c r="G1184" s="882" t="str">
        <f t="shared" si="61"/>
        <v/>
      </c>
      <c r="H1184" s="925"/>
      <c r="I1184" s="919"/>
      <c r="J1184" s="919"/>
      <c r="K1184" s="919"/>
      <c r="L1184" s="919"/>
      <c r="O1184" s="339"/>
      <c r="T1184" s="75"/>
      <c r="U1184" s="75"/>
      <c r="V1184" s="75"/>
      <c r="W1184" s="75"/>
      <c r="X1184" s="75"/>
      <c r="Y1184" s="340"/>
      <c r="Z1184" s="341"/>
      <c r="AA1184" s="341"/>
      <c r="AB1184" s="341"/>
      <c r="AC1184" s="340"/>
      <c r="AD1184" s="75"/>
      <c r="AE1184" s="75"/>
      <c r="AF1184" s="75"/>
      <c r="AG1184" s="344"/>
      <c r="AH1184" s="344"/>
      <c r="AI1184" s="344"/>
      <c r="AJ1184" s="97"/>
      <c r="AK1184" s="4"/>
    </row>
    <row r="1185" spans="2:37" s="113" customFormat="1" x14ac:dyDescent="0.4">
      <c r="B1185" s="80"/>
      <c r="C1185" s="563">
        <v>772</v>
      </c>
      <c r="D1185" s="907"/>
      <c r="E1185" s="906"/>
      <c r="F1185" s="921" t="str">
        <f t="shared" si="60"/>
        <v/>
      </c>
      <c r="G1185" s="882" t="str">
        <f t="shared" si="61"/>
        <v/>
      </c>
      <c r="H1185" s="925"/>
      <c r="I1185" s="919"/>
      <c r="J1185" s="919"/>
      <c r="K1185" s="919"/>
      <c r="L1185" s="919"/>
      <c r="O1185" s="339"/>
      <c r="T1185" s="75"/>
      <c r="U1185" s="75"/>
      <c r="V1185" s="75"/>
      <c r="W1185" s="75"/>
      <c r="X1185" s="75"/>
      <c r="Y1185" s="340"/>
      <c r="Z1185" s="341"/>
      <c r="AA1185" s="341"/>
      <c r="AB1185" s="341"/>
      <c r="AC1185" s="340"/>
      <c r="AD1185" s="75"/>
      <c r="AE1185" s="75"/>
      <c r="AF1185" s="75"/>
      <c r="AG1185" s="344"/>
      <c r="AH1185" s="344"/>
      <c r="AI1185" s="344"/>
      <c r="AJ1185" s="97"/>
      <c r="AK1185" s="4"/>
    </row>
    <row r="1186" spans="2:37" s="113" customFormat="1" x14ac:dyDescent="0.4">
      <c r="B1186" s="80"/>
      <c r="C1186" s="563">
        <v>773</v>
      </c>
      <c r="D1186" s="907"/>
      <c r="E1186" s="906"/>
      <c r="F1186" s="921" t="str">
        <f t="shared" si="60"/>
        <v/>
      </c>
      <c r="G1186" s="882" t="str">
        <f t="shared" si="61"/>
        <v/>
      </c>
      <c r="H1186" s="925"/>
      <c r="I1186" s="919"/>
      <c r="J1186" s="919"/>
      <c r="K1186" s="919"/>
      <c r="L1186" s="919"/>
      <c r="O1186" s="339"/>
      <c r="T1186" s="75"/>
      <c r="U1186" s="75"/>
      <c r="V1186" s="75"/>
      <c r="W1186" s="75"/>
      <c r="X1186" s="75"/>
      <c r="Y1186" s="340"/>
      <c r="Z1186" s="341"/>
      <c r="AA1186" s="341"/>
      <c r="AB1186" s="341"/>
      <c r="AC1186" s="340"/>
      <c r="AD1186" s="75"/>
      <c r="AE1186" s="75"/>
      <c r="AF1186" s="75"/>
      <c r="AG1186" s="344"/>
      <c r="AH1186" s="344"/>
      <c r="AI1186" s="344"/>
      <c r="AJ1186" s="97"/>
      <c r="AK1186" s="4"/>
    </row>
    <row r="1187" spans="2:37" s="113" customFormat="1" x14ac:dyDescent="0.4">
      <c r="B1187" s="80"/>
      <c r="C1187" s="563">
        <v>774</v>
      </c>
      <c r="D1187" s="907"/>
      <c r="E1187" s="906"/>
      <c r="F1187" s="921" t="str">
        <f t="shared" si="60"/>
        <v/>
      </c>
      <c r="G1187" s="882" t="str">
        <f t="shared" si="61"/>
        <v/>
      </c>
      <c r="H1187" s="925"/>
      <c r="I1187" s="919"/>
      <c r="J1187" s="919"/>
      <c r="K1187" s="919"/>
      <c r="L1187" s="919"/>
      <c r="O1187" s="339"/>
      <c r="T1187" s="75"/>
      <c r="U1187" s="75"/>
      <c r="V1187" s="75"/>
      <c r="W1187" s="75"/>
      <c r="X1187" s="75"/>
      <c r="Y1187" s="340"/>
      <c r="Z1187" s="341"/>
      <c r="AA1187" s="341"/>
      <c r="AB1187" s="341"/>
      <c r="AC1187" s="340"/>
      <c r="AD1187" s="75"/>
      <c r="AE1187" s="75"/>
      <c r="AF1187" s="75"/>
      <c r="AG1187" s="344"/>
      <c r="AH1187" s="344"/>
      <c r="AI1187" s="344"/>
      <c r="AJ1187" s="97"/>
      <c r="AK1187" s="4"/>
    </row>
    <row r="1188" spans="2:37" s="113" customFormat="1" x14ac:dyDescent="0.4">
      <c r="B1188" s="80"/>
      <c r="C1188" s="563">
        <v>775</v>
      </c>
      <c r="D1188" s="907"/>
      <c r="E1188" s="906"/>
      <c r="F1188" s="921" t="str">
        <f t="shared" si="60"/>
        <v/>
      </c>
      <c r="G1188" s="882" t="str">
        <f t="shared" si="61"/>
        <v/>
      </c>
      <c r="H1188" s="925"/>
      <c r="I1188" s="919"/>
      <c r="J1188" s="919"/>
      <c r="K1188" s="919"/>
      <c r="L1188" s="919"/>
      <c r="O1188" s="339"/>
      <c r="T1188" s="75"/>
      <c r="U1188" s="75"/>
      <c r="V1188" s="75"/>
      <c r="W1188" s="75"/>
      <c r="X1188" s="75"/>
      <c r="Y1188" s="340"/>
      <c r="Z1188" s="341"/>
      <c r="AA1188" s="341"/>
      <c r="AB1188" s="341"/>
      <c r="AC1188" s="340"/>
      <c r="AD1188" s="75"/>
      <c r="AE1188" s="75"/>
      <c r="AF1188" s="75"/>
      <c r="AG1188" s="344"/>
      <c r="AH1188" s="344"/>
      <c r="AI1188" s="344"/>
      <c r="AJ1188" s="97"/>
      <c r="AK1188" s="4"/>
    </row>
    <row r="1189" spans="2:37" s="113" customFormat="1" x14ac:dyDescent="0.4">
      <c r="B1189" s="80"/>
      <c r="C1189" s="563">
        <v>776</v>
      </c>
      <c r="D1189" s="907"/>
      <c r="E1189" s="906"/>
      <c r="F1189" s="921" t="str">
        <f t="shared" si="60"/>
        <v/>
      </c>
      <c r="G1189" s="882" t="str">
        <f t="shared" si="61"/>
        <v/>
      </c>
      <c r="H1189" s="925"/>
      <c r="I1189" s="919"/>
      <c r="J1189" s="919"/>
      <c r="K1189" s="919"/>
      <c r="L1189" s="919"/>
      <c r="O1189" s="339"/>
      <c r="T1189" s="75"/>
      <c r="U1189" s="75"/>
      <c r="V1189" s="75"/>
      <c r="W1189" s="75"/>
      <c r="X1189" s="75"/>
      <c r="Y1189" s="340"/>
      <c r="Z1189" s="341"/>
      <c r="AA1189" s="341"/>
      <c r="AB1189" s="341"/>
      <c r="AC1189" s="340"/>
      <c r="AD1189" s="75"/>
      <c r="AE1189" s="75"/>
      <c r="AF1189" s="75"/>
      <c r="AG1189" s="344"/>
      <c r="AH1189" s="344"/>
      <c r="AI1189" s="344"/>
      <c r="AJ1189" s="97"/>
      <c r="AK1189" s="4"/>
    </row>
    <row r="1190" spans="2:37" s="113" customFormat="1" x14ac:dyDescent="0.4">
      <c r="B1190" s="80"/>
      <c r="C1190" s="563">
        <v>777</v>
      </c>
      <c r="D1190" s="907"/>
      <c r="E1190" s="906"/>
      <c r="F1190" s="921" t="str">
        <f t="shared" si="60"/>
        <v/>
      </c>
      <c r="G1190" s="882" t="str">
        <f t="shared" si="61"/>
        <v/>
      </c>
      <c r="H1190" s="925"/>
      <c r="I1190" s="919"/>
      <c r="J1190" s="919"/>
      <c r="K1190" s="919"/>
      <c r="L1190" s="919"/>
      <c r="O1190" s="339"/>
      <c r="T1190" s="75"/>
      <c r="U1190" s="75"/>
      <c r="V1190" s="75"/>
      <c r="W1190" s="75"/>
      <c r="X1190" s="75"/>
      <c r="Y1190" s="340"/>
      <c r="Z1190" s="341"/>
      <c r="AA1190" s="341"/>
      <c r="AB1190" s="341"/>
      <c r="AC1190" s="340"/>
      <c r="AD1190" s="75"/>
      <c r="AE1190" s="75"/>
      <c r="AF1190" s="75"/>
      <c r="AG1190" s="344"/>
      <c r="AH1190" s="344"/>
      <c r="AI1190" s="344"/>
      <c r="AJ1190" s="97"/>
      <c r="AK1190" s="4"/>
    </row>
    <row r="1191" spans="2:37" s="113" customFormat="1" x14ac:dyDescent="0.4">
      <c r="B1191" s="80"/>
      <c r="C1191" s="563">
        <v>778</v>
      </c>
      <c r="D1191" s="907"/>
      <c r="E1191" s="906"/>
      <c r="F1191" s="921" t="str">
        <f t="shared" si="60"/>
        <v/>
      </c>
      <c r="G1191" s="882" t="str">
        <f t="shared" si="61"/>
        <v/>
      </c>
      <c r="H1191" s="925"/>
      <c r="I1191" s="919"/>
      <c r="J1191" s="919"/>
      <c r="K1191" s="919"/>
      <c r="L1191" s="919"/>
      <c r="O1191" s="339"/>
      <c r="T1191" s="75"/>
      <c r="U1191" s="75"/>
      <c r="V1191" s="75"/>
      <c r="W1191" s="75"/>
      <c r="X1191" s="75"/>
      <c r="Y1191" s="340"/>
      <c r="Z1191" s="341"/>
      <c r="AA1191" s="341"/>
      <c r="AB1191" s="341"/>
      <c r="AC1191" s="340"/>
      <c r="AD1191" s="75"/>
      <c r="AE1191" s="75"/>
      <c r="AF1191" s="75"/>
      <c r="AG1191" s="344"/>
      <c r="AH1191" s="344"/>
      <c r="AI1191" s="344"/>
      <c r="AJ1191" s="97"/>
      <c r="AK1191" s="4"/>
    </row>
    <row r="1192" spans="2:37" s="113" customFormat="1" x14ac:dyDescent="0.4">
      <c r="B1192" s="80"/>
      <c r="C1192" s="563">
        <v>779</v>
      </c>
      <c r="D1192" s="907"/>
      <c r="E1192" s="906"/>
      <c r="F1192" s="921" t="str">
        <f t="shared" si="60"/>
        <v/>
      </c>
      <c r="G1192" s="882" t="str">
        <f t="shared" si="61"/>
        <v/>
      </c>
      <c r="H1192" s="925"/>
      <c r="I1192" s="919"/>
      <c r="J1192" s="919"/>
      <c r="K1192" s="919"/>
      <c r="L1192" s="919"/>
      <c r="O1192" s="339"/>
      <c r="T1192" s="75"/>
      <c r="U1192" s="75"/>
      <c r="V1192" s="75"/>
      <c r="W1192" s="75"/>
      <c r="X1192" s="75"/>
      <c r="Y1192" s="340"/>
      <c r="Z1192" s="341"/>
      <c r="AA1192" s="341"/>
      <c r="AB1192" s="341"/>
      <c r="AC1192" s="340"/>
      <c r="AD1192" s="75"/>
      <c r="AE1192" s="75"/>
      <c r="AF1192" s="75"/>
      <c r="AG1192" s="344"/>
      <c r="AH1192" s="344"/>
      <c r="AI1192" s="344"/>
      <c r="AJ1192" s="97"/>
      <c r="AK1192" s="4"/>
    </row>
    <row r="1193" spans="2:37" s="113" customFormat="1" x14ac:dyDescent="0.4">
      <c r="B1193" s="80"/>
      <c r="C1193" s="563">
        <v>780</v>
      </c>
      <c r="D1193" s="907"/>
      <c r="E1193" s="906"/>
      <c r="F1193" s="921" t="str">
        <f t="shared" si="60"/>
        <v/>
      </c>
      <c r="G1193" s="882" t="str">
        <f t="shared" si="61"/>
        <v/>
      </c>
      <c r="H1193" s="925"/>
      <c r="I1193" s="919"/>
      <c r="J1193" s="919"/>
      <c r="K1193" s="919"/>
      <c r="L1193" s="919"/>
      <c r="O1193" s="339"/>
      <c r="T1193" s="75"/>
      <c r="U1193" s="75"/>
      <c r="V1193" s="75"/>
      <c r="W1193" s="75"/>
      <c r="X1193" s="75"/>
      <c r="Y1193" s="340"/>
      <c r="Z1193" s="341"/>
      <c r="AA1193" s="341"/>
      <c r="AB1193" s="341"/>
      <c r="AC1193" s="340"/>
      <c r="AD1193" s="75"/>
      <c r="AE1193" s="75"/>
      <c r="AF1193" s="75"/>
      <c r="AG1193" s="344"/>
      <c r="AH1193" s="344"/>
      <c r="AI1193" s="344"/>
      <c r="AJ1193" s="97"/>
      <c r="AK1193" s="4"/>
    </row>
    <row r="1194" spans="2:37" s="113" customFormat="1" x14ac:dyDescent="0.4">
      <c r="B1194" s="80"/>
      <c r="C1194" s="563">
        <v>781</v>
      </c>
      <c r="D1194" s="907"/>
      <c r="E1194" s="906"/>
      <c r="F1194" s="921" t="str">
        <f t="shared" si="60"/>
        <v/>
      </c>
      <c r="G1194" s="882" t="str">
        <f t="shared" si="61"/>
        <v/>
      </c>
      <c r="H1194" s="925"/>
      <c r="I1194" s="919"/>
      <c r="J1194" s="919"/>
      <c r="K1194" s="919"/>
      <c r="L1194" s="919"/>
      <c r="O1194" s="339"/>
      <c r="T1194" s="75"/>
      <c r="U1194" s="75"/>
      <c r="V1194" s="75"/>
      <c r="W1194" s="75"/>
      <c r="X1194" s="75"/>
      <c r="Y1194" s="340"/>
      <c r="Z1194" s="341"/>
      <c r="AA1194" s="341"/>
      <c r="AB1194" s="341"/>
      <c r="AC1194" s="340"/>
      <c r="AD1194" s="75"/>
      <c r="AE1194" s="75"/>
      <c r="AF1194" s="75"/>
      <c r="AG1194" s="344"/>
      <c r="AH1194" s="344"/>
      <c r="AI1194" s="344"/>
      <c r="AJ1194" s="97"/>
      <c r="AK1194" s="4"/>
    </row>
    <row r="1195" spans="2:37" s="113" customFormat="1" x14ac:dyDescent="0.4">
      <c r="B1195" s="80"/>
      <c r="C1195" s="563">
        <v>782</v>
      </c>
      <c r="D1195" s="907"/>
      <c r="E1195" s="906"/>
      <c r="F1195" s="921" t="str">
        <f t="shared" si="60"/>
        <v/>
      </c>
      <c r="G1195" s="882" t="str">
        <f t="shared" si="61"/>
        <v/>
      </c>
      <c r="H1195" s="925"/>
      <c r="I1195" s="919"/>
      <c r="J1195" s="919"/>
      <c r="K1195" s="919"/>
      <c r="L1195" s="919"/>
      <c r="O1195" s="339"/>
      <c r="T1195" s="75"/>
      <c r="U1195" s="75"/>
      <c r="V1195" s="75"/>
      <c r="W1195" s="75"/>
      <c r="X1195" s="75"/>
      <c r="Y1195" s="340"/>
      <c r="Z1195" s="341"/>
      <c r="AA1195" s="341"/>
      <c r="AB1195" s="341"/>
      <c r="AC1195" s="340"/>
      <c r="AD1195" s="75"/>
      <c r="AE1195" s="75"/>
      <c r="AF1195" s="75"/>
      <c r="AG1195" s="344"/>
      <c r="AH1195" s="344"/>
      <c r="AI1195" s="344"/>
      <c r="AJ1195" s="97"/>
      <c r="AK1195" s="4"/>
    </row>
    <row r="1196" spans="2:37" s="113" customFormat="1" x14ac:dyDescent="0.4">
      <c r="B1196" s="80"/>
      <c r="C1196" s="563">
        <v>783</v>
      </c>
      <c r="D1196" s="907"/>
      <c r="E1196" s="906"/>
      <c r="F1196" s="921" t="str">
        <f t="shared" si="60"/>
        <v/>
      </c>
      <c r="G1196" s="882" t="str">
        <f t="shared" si="61"/>
        <v/>
      </c>
      <c r="H1196" s="925"/>
      <c r="I1196" s="919"/>
      <c r="J1196" s="919"/>
      <c r="K1196" s="919"/>
      <c r="L1196" s="919"/>
      <c r="O1196" s="339"/>
      <c r="T1196" s="75"/>
      <c r="U1196" s="75"/>
      <c r="V1196" s="75"/>
      <c r="W1196" s="75"/>
      <c r="X1196" s="75"/>
      <c r="Y1196" s="340"/>
      <c r="Z1196" s="341"/>
      <c r="AA1196" s="341"/>
      <c r="AB1196" s="341"/>
      <c r="AC1196" s="340"/>
      <c r="AD1196" s="75"/>
      <c r="AE1196" s="75"/>
      <c r="AF1196" s="75"/>
      <c r="AG1196" s="344"/>
      <c r="AH1196" s="344"/>
      <c r="AI1196" s="344"/>
      <c r="AJ1196" s="97"/>
      <c r="AK1196" s="4"/>
    </row>
    <row r="1197" spans="2:37" s="113" customFormat="1" x14ac:dyDescent="0.4">
      <c r="B1197" s="80"/>
      <c r="C1197" s="563">
        <v>784</v>
      </c>
      <c r="D1197" s="907"/>
      <c r="E1197" s="906"/>
      <c r="F1197" s="921" t="str">
        <f t="shared" si="60"/>
        <v/>
      </c>
      <c r="G1197" s="882" t="str">
        <f t="shared" si="61"/>
        <v/>
      </c>
      <c r="H1197" s="925"/>
      <c r="I1197" s="919"/>
      <c r="J1197" s="919"/>
      <c r="K1197" s="919"/>
      <c r="L1197" s="919"/>
      <c r="O1197" s="339"/>
      <c r="T1197" s="75"/>
      <c r="U1197" s="75"/>
      <c r="V1197" s="75"/>
      <c r="W1197" s="75"/>
      <c r="X1197" s="75"/>
      <c r="Y1197" s="340"/>
      <c r="Z1197" s="341"/>
      <c r="AA1197" s="341"/>
      <c r="AB1197" s="341"/>
      <c r="AC1197" s="340"/>
      <c r="AD1197" s="75"/>
      <c r="AE1197" s="75"/>
      <c r="AF1197" s="75"/>
      <c r="AG1197" s="344"/>
      <c r="AH1197" s="344"/>
      <c r="AI1197" s="344"/>
      <c r="AJ1197" s="97"/>
      <c r="AK1197" s="4"/>
    </row>
    <row r="1198" spans="2:37" s="113" customFormat="1" x14ac:dyDescent="0.4">
      <c r="B1198" s="80"/>
      <c r="C1198" s="563">
        <v>785</v>
      </c>
      <c r="D1198" s="907"/>
      <c r="E1198" s="906"/>
      <c r="F1198" s="921" t="str">
        <f t="shared" si="60"/>
        <v/>
      </c>
      <c r="G1198" s="882" t="str">
        <f t="shared" si="61"/>
        <v/>
      </c>
      <c r="H1198" s="925"/>
      <c r="I1198" s="919"/>
      <c r="J1198" s="919"/>
      <c r="K1198" s="919"/>
      <c r="L1198" s="919"/>
      <c r="O1198" s="339"/>
      <c r="T1198" s="75"/>
      <c r="U1198" s="75"/>
      <c r="V1198" s="75"/>
      <c r="W1198" s="75"/>
      <c r="X1198" s="75"/>
      <c r="Y1198" s="340"/>
      <c r="Z1198" s="341"/>
      <c r="AA1198" s="341"/>
      <c r="AB1198" s="341"/>
      <c r="AC1198" s="340"/>
      <c r="AD1198" s="75"/>
      <c r="AE1198" s="75"/>
      <c r="AF1198" s="75"/>
      <c r="AG1198" s="344"/>
      <c r="AH1198" s="344"/>
      <c r="AI1198" s="344"/>
      <c r="AJ1198" s="97"/>
      <c r="AK1198" s="4"/>
    </row>
    <row r="1199" spans="2:37" s="113" customFormat="1" x14ac:dyDescent="0.4">
      <c r="B1199" s="80"/>
      <c r="C1199" s="563">
        <v>786</v>
      </c>
      <c r="D1199" s="907"/>
      <c r="E1199" s="906"/>
      <c r="F1199" s="921" t="str">
        <f t="shared" si="60"/>
        <v/>
      </c>
      <c r="G1199" s="882" t="str">
        <f t="shared" si="61"/>
        <v/>
      </c>
      <c r="H1199" s="925"/>
      <c r="I1199" s="919"/>
      <c r="J1199" s="919"/>
      <c r="K1199" s="919"/>
      <c r="L1199" s="919"/>
      <c r="O1199" s="339"/>
      <c r="T1199" s="75"/>
      <c r="U1199" s="75"/>
      <c r="V1199" s="75"/>
      <c r="W1199" s="75"/>
      <c r="X1199" s="75"/>
      <c r="Y1199" s="340"/>
      <c r="Z1199" s="341"/>
      <c r="AA1199" s="341"/>
      <c r="AB1199" s="341"/>
      <c r="AC1199" s="340"/>
      <c r="AD1199" s="75"/>
      <c r="AE1199" s="75"/>
      <c r="AF1199" s="75"/>
      <c r="AG1199" s="344"/>
      <c r="AH1199" s="344"/>
      <c r="AI1199" s="344"/>
      <c r="AJ1199" s="97"/>
      <c r="AK1199" s="4"/>
    </row>
    <row r="1200" spans="2:37" s="113" customFormat="1" x14ac:dyDescent="0.4">
      <c r="B1200" s="80"/>
      <c r="C1200" s="563">
        <v>787</v>
      </c>
      <c r="D1200" s="907"/>
      <c r="E1200" s="906"/>
      <c r="F1200" s="921" t="str">
        <f t="shared" si="60"/>
        <v/>
      </c>
      <c r="G1200" s="882" t="str">
        <f t="shared" si="61"/>
        <v/>
      </c>
      <c r="H1200" s="925"/>
      <c r="I1200" s="919"/>
      <c r="J1200" s="919"/>
      <c r="K1200" s="919"/>
      <c r="L1200" s="919"/>
      <c r="O1200" s="339"/>
      <c r="T1200" s="75"/>
      <c r="U1200" s="75"/>
      <c r="V1200" s="75"/>
      <c r="W1200" s="75"/>
      <c r="X1200" s="75"/>
      <c r="Y1200" s="340"/>
      <c r="Z1200" s="341"/>
      <c r="AA1200" s="341"/>
      <c r="AB1200" s="341"/>
      <c r="AC1200" s="340"/>
      <c r="AD1200" s="75"/>
      <c r="AE1200" s="75"/>
      <c r="AF1200" s="75"/>
      <c r="AG1200" s="344"/>
      <c r="AH1200" s="344"/>
      <c r="AI1200" s="344"/>
      <c r="AJ1200" s="97"/>
      <c r="AK1200" s="4"/>
    </row>
    <row r="1201" spans="2:37" s="113" customFormat="1" x14ac:dyDescent="0.4">
      <c r="B1201" s="80"/>
      <c r="C1201" s="563">
        <v>788</v>
      </c>
      <c r="D1201" s="907"/>
      <c r="E1201" s="906"/>
      <c r="F1201" s="921" t="str">
        <f t="shared" si="60"/>
        <v/>
      </c>
      <c r="G1201" s="882" t="str">
        <f t="shared" si="61"/>
        <v/>
      </c>
      <c r="H1201" s="925"/>
      <c r="I1201" s="919"/>
      <c r="J1201" s="919"/>
      <c r="K1201" s="919"/>
      <c r="L1201" s="919"/>
      <c r="O1201" s="339"/>
      <c r="T1201" s="75"/>
      <c r="U1201" s="75"/>
      <c r="V1201" s="75"/>
      <c r="W1201" s="75"/>
      <c r="X1201" s="75"/>
      <c r="Y1201" s="340"/>
      <c r="Z1201" s="341"/>
      <c r="AA1201" s="341"/>
      <c r="AB1201" s="341"/>
      <c r="AC1201" s="340"/>
      <c r="AD1201" s="75"/>
      <c r="AE1201" s="75"/>
      <c r="AF1201" s="75"/>
      <c r="AG1201" s="344"/>
      <c r="AH1201" s="344"/>
      <c r="AI1201" s="344"/>
      <c r="AJ1201" s="97"/>
      <c r="AK1201" s="4"/>
    </row>
    <row r="1202" spans="2:37" s="113" customFormat="1" x14ac:dyDescent="0.4">
      <c r="B1202" s="80"/>
      <c r="C1202" s="563">
        <v>789</v>
      </c>
      <c r="D1202" s="907"/>
      <c r="E1202" s="906"/>
      <c r="F1202" s="921" t="str">
        <f t="shared" si="60"/>
        <v/>
      </c>
      <c r="G1202" s="882" t="str">
        <f t="shared" si="61"/>
        <v/>
      </c>
      <c r="H1202" s="925"/>
      <c r="I1202" s="919"/>
      <c r="J1202" s="919"/>
      <c r="K1202" s="919"/>
      <c r="L1202" s="919"/>
      <c r="O1202" s="339"/>
      <c r="T1202" s="75"/>
      <c r="U1202" s="75"/>
      <c r="V1202" s="75"/>
      <c r="W1202" s="75"/>
      <c r="X1202" s="75"/>
      <c r="Y1202" s="340"/>
      <c r="Z1202" s="341"/>
      <c r="AA1202" s="341"/>
      <c r="AB1202" s="341"/>
      <c r="AC1202" s="340"/>
      <c r="AD1202" s="75"/>
      <c r="AE1202" s="75"/>
      <c r="AF1202" s="75"/>
      <c r="AG1202" s="344"/>
      <c r="AH1202" s="344"/>
      <c r="AI1202" s="344"/>
      <c r="AJ1202" s="97"/>
      <c r="AK1202" s="4"/>
    </row>
    <row r="1203" spans="2:37" s="113" customFormat="1" x14ac:dyDescent="0.4">
      <c r="B1203" s="80"/>
      <c r="C1203" s="563">
        <v>790</v>
      </c>
      <c r="D1203" s="907"/>
      <c r="E1203" s="906"/>
      <c r="F1203" s="921" t="str">
        <f t="shared" si="60"/>
        <v/>
      </c>
      <c r="G1203" s="882" t="str">
        <f t="shared" si="61"/>
        <v/>
      </c>
      <c r="H1203" s="925"/>
      <c r="I1203" s="919"/>
      <c r="J1203" s="919"/>
      <c r="K1203" s="919"/>
      <c r="L1203" s="919"/>
      <c r="O1203" s="339"/>
      <c r="T1203" s="75"/>
      <c r="U1203" s="75"/>
      <c r="V1203" s="75"/>
      <c r="W1203" s="75"/>
      <c r="X1203" s="75"/>
      <c r="Y1203" s="340"/>
      <c r="Z1203" s="341"/>
      <c r="AA1203" s="341"/>
      <c r="AB1203" s="341"/>
      <c r="AC1203" s="340"/>
      <c r="AD1203" s="75"/>
      <c r="AE1203" s="75"/>
      <c r="AF1203" s="75"/>
      <c r="AG1203" s="344"/>
      <c r="AH1203" s="344"/>
      <c r="AI1203" s="344"/>
      <c r="AJ1203" s="97"/>
      <c r="AK1203" s="4"/>
    </row>
    <row r="1204" spans="2:37" s="113" customFormat="1" x14ac:dyDescent="0.4">
      <c r="B1204" s="80"/>
      <c r="C1204" s="563">
        <v>791</v>
      </c>
      <c r="D1204" s="907"/>
      <c r="E1204" s="906"/>
      <c r="F1204" s="921" t="str">
        <f t="shared" si="60"/>
        <v/>
      </c>
      <c r="G1204" s="882" t="str">
        <f t="shared" si="61"/>
        <v/>
      </c>
      <c r="H1204" s="925"/>
      <c r="I1204" s="919"/>
      <c r="J1204" s="919"/>
      <c r="K1204" s="919"/>
      <c r="L1204" s="919"/>
      <c r="O1204" s="339"/>
      <c r="T1204" s="75"/>
      <c r="U1204" s="75"/>
      <c r="V1204" s="75"/>
      <c r="W1204" s="75"/>
      <c r="X1204" s="75"/>
      <c r="Y1204" s="340"/>
      <c r="Z1204" s="341"/>
      <c r="AA1204" s="341"/>
      <c r="AB1204" s="341"/>
      <c r="AC1204" s="340"/>
      <c r="AD1204" s="75"/>
      <c r="AE1204" s="75"/>
      <c r="AF1204" s="75"/>
      <c r="AG1204" s="344"/>
      <c r="AH1204" s="344"/>
      <c r="AI1204" s="344"/>
      <c r="AJ1204" s="97"/>
      <c r="AK1204" s="4"/>
    </row>
    <row r="1205" spans="2:37" s="113" customFormat="1" x14ac:dyDescent="0.4">
      <c r="B1205" s="80"/>
      <c r="C1205" s="563">
        <v>792</v>
      </c>
      <c r="D1205" s="907"/>
      <c r="E1205" s="906"/>
      <c r="F1205" s="921" t="str">
        <f t="shared" si="60"/>
        <v/>
      </c>
      <c r="G1205" s="882" t="str">
        <f t="shared" si="61"/>
        <v/>
      </c>
      <c r="H1205" s="925"/>
      <c r="I1205" s="919"/>
      <c r="J1205" s="919"/>
      <c r="K1205" s="919"/>
      <c r="L1205" s="919"/>
      <c r="O1205" s="339"/>
      <c r="T1205" s="75"/>
      <c r="U1205" s="75"/>
      <c r="V1205" s="75"/>
      <c r="W1205" s="75"/>
      <c r="X1205" s="75"/>
      <c r="Y1205" s="340"/>
      <c r="Z1205" s="341"/>
      <c r="AA1205" s="341"/>
      <c r="AB1205" s="341"/>
      <c r="AC1205" s="340"/>
      <c r="AD1205" s="75"/>
      <c r="AE1205" s="75"/>
      <c r="AF1205" s="75"/>
      <c r="AG1205" s="344"/>
      <c r="AH1205" s="344"/>
      <c r="AI1205" s="344"/>
      <c r="AJ1205" s="97"/>
      <c r="AK1205" s="4"/>
    </row>
    <row r="1206" spans="2:37" s="113" customFormat="1" x14ac:dyDescent="0.4">
      <c r="B1206" s="80"/>
      <c r="C1206" s="563">
        <v>793</v>
      </c>
      <c r="D1206" s="907"/>
      <c r="E1206" s="906"/>
      <c r="F1206" s="921" t="str">
        <f t="shared" si="60"/>
        <v/>
      </c>
      <c r="G1206" s="882" t="str">
        <f t="shared" si="61"/>
        <v/>
      </c>
      <c r="H1206" s="925"/>
      <c r="I1206" s="919"/>
      <c r="J1206" s="919"/>
      <c r="K1206" s="919"/>
      <c r="L1206" s="919"/>
      <c r="O1206" s="339"/>
      <c r="T1206" s="75"/>
      <c r="U1206" s="75"/>
      <c r="V1206" s="75"/>
      <c r="W1206" s="75"/>
      <c r="X1206" s="75"/>
      <c r="Y1206" s="340"/>
      <c r="Z1206" s="341"/>
      <c r="AA1206" s="341"/>
      <c r="AB1206" s="341"/>
      <c r="AC1206" s="340"/>
      <c r="AD1206" s="75"/>
      <c r="AE1206" s="75"/>
      <c r="AF1206" s="75"/>
      <c r="AG1206" s="344"/>
      <c r="AH1206" s="344"/>
      <c r="AI1206" s="344"/>
      <c r="AJ1206" s="97"/>
      <c r="AK1206" s="4"/>
    </row>
    <row r="1207" spans="2:37" s="113" customFormat="1" x14ac:dyDescent="0.4">
      <c r="B1207" s="80"/>
      <c r="C1207" s="563">
        <v>794</v>
      </c>
      <c r="D1207" s="907"/>
      <c r="E1207" s="906"/>
      <c r="F1207" s="921" t="str">
        <f t="shared" si="60"/>
        <v/>
      </c>
      <c r="G1207" s="882" t="str">
        <f t="shared" si="61"/>
        <v/>
      </c>
      <c r="H1207" s="925"/>
      <c r="I1207" s="919"/>
      <c r="J1207" s="919"/>
      <c r="K1207" s="919"/>
      <c r="L1207" s="919"/>
      <c r="O1207" s="339"/>
      <c r="T1207" s="75"/>
      <c r="U1207" s="75"/>
      <c r="V1207" s="75"/>
      <c r="W1207" s="75"/>
      <c r="X1207" s="75"/>
      <c r="Y1207" s="340"/>
      <c r="Z1207" s="341"/>
      <c r="AA1207" s="341"/>
      <c r="AB1207" s="341"/>
      <c r="AC1207" s="340"/>
      <c r="AD1207" s="75"/>
      <c r="AE1207" s="75"/>
      <c r="AF1207" s="75"/>
      <c r="AG1207" s="344"/>
      <c r="AH1207" s="344"/>
      <c r="AI1207" s="344"/>
      <c r="AJ1207" s="97"/>
      <c r="AK1207" s="4"/>
    </row>
    <row r="1208" spans="2:37" s="113" customFormat="1" x14ac:dyDescent="0.4">
      <c r="B1208" s="80"/>
      <c r="C1208" s="563">
        <v>795</v>
      </c>
      <c r="D1208" s="907"/>
      <c r="E1208" s="906"/>
      <c r="F1208" s="921" t="str">
        <f t="shared" si="60"/>
        <v/>
      </c>
      <c r="G1208" s="882" t="str">
        <f t="shared" si="61"/>
        <v/>
      </c>
      <c r="H1208" s="925"/>
      <c r="I1208" s="919"/>
      <c r="J1208" s="919"/>
      <c r="K1208" s="919"/>
      <c r="L1208" s="919"/>
      <c r="O1208" s="339"/>
      <c r="T1208" s="75"/>
      <c r="U1208" s="75"/>
      <c r="V1208" s="75"/>
      <c r="W1208" s="75"/>
      <c r="X1208" s="75"/>
      <c r="Y1208" s="340"/>
      <c r="Z1208" s="341"/>
      <c r="AA1208" s="341"/>
      <c r="AB1208" s="341"/>
      <c r="AC1208" s="340"/>
      <c r="AD1208" s="75"/>
      <c r="AE1208" s="75"/>
      <c r="AF1208" s="75"/>
      <c r="AG1208" s="344"/>
      <c r="AH1208" s="344"/>
      <c r="AI1208" s="344"/>
      <c r="AJ1208" s="97"/>
      <c r="AK1208" s="4"/>
    </row>
    <row r="1209" spans="2:37" s="113" customFormat="1" x14ac:dyDescent="0.4">
      <c r="B1209" s="80"/>
      <c r="C1209" s="563">
        <v>796</v>
      </c>
      <c r="D1209" s="907"/>
      <c r="E1209" s="906"/>
      <c r="F1209" s="921" t="str">
        <f t="shared" si="60"/>
        <v/>
      </c>
      <c r="G1209" s="882" t="str">
        <f t="shared" si="61"/>
        <v/>
      </c>
      <c r="H1209" s="925"/>
      <c r="I1209" s="919"/>
      <c r="J1209" s="919"/>
      <c r="K1209" s="919"/>
      <c r="L1209" s="919"/>
      <c r="O1209" s="339"/>
      <c r="T1209" s="75"/>
      <c r="U1209" s="75"/>
      <c r="V1209" s="75"/>
      <c r="W1209" s="75"/>
      <c r="X1209" s="75"/>
      <c r="Y1209" s="340"/>
      <c r="Z1209" s="341"/>
      <c r="AA1209" s="341"/>
      <c r="AB1209" s="341"/>
      <c r="AC1209" s="340"/>
      <c r="AD1209" s="75"/>
      <c r="AE1209" s="75"/>
      <c r="AF1209" s="75"/>
      <c r="AG1209" s="344"/>
      <c r="AH1209" s="344"/>
      <c r="AI1209" s="344"/>
      <c r="AJ1209" s="97"/>
      <c r="AK1209" s="4"/>
    </row>
    <row r="1210" spans="2:37" s="113" customFormat="1" x14ac:dyDescent="0.4">
      <c r="B1210" s="80"/>
      <c r="C1210" s="563">
        <v>797</v>
      </c>
      <c r="D1210" s="907"/>
      <c r="E1210" s="906"/>
      <c r="F1210" s="921" t="str">
        <f t="shared" si="60"/>
        <v/>
      </c>
      <c r="G1210" s="882" t="str">
        <f t="shared" si="61"/>
        <v/>
      </c>
      <c r="H1210" s="925"/>
      <c r="I1210" s="919"/>
      <c r="J1210" s="919"/>
      <c r="K1210" s="919"/>
      <c r="L1210" s="919"/>
      <c r="O1210" s="339"/>
      <c r="T1210" s="75"/>
      <c r="U1210" s="75"/>
      <c r="V1210" s="75"/>
      <c r="W1210" s="75"/>
      <c r="X1210" s="75"/>
      <c r="Y1210" s="340"/>
      <c r="Z1210" s="341"/>
      <c r="AA1210" s="341"/>
      <c r="AB1210" s="341"/>
      <c r="AC1210" s="340"/>
      <c r="AD1210" s="75"/>
      <c r="AE1210" s="75"/>
      <c r="AF1210" s="75"/>
      <c r="AG1210" s="344"/>
      <c r="AH1210" s="344"/>
      <c r="AI1210" s="344"/>
      <c r="AJ1210" s="97"/>
      <c r="AK1210" s="4"/>
    </row>
    <row r="1211" spans="2:37" s="113" customFormat="1" x14ac:dyDescent="0.4">
      <c r="B1211" s="80"/>
      <c r="C1211" s="563">
        <v>798</v>
      </c>
      <c r="D1211" s="907"/>
      <c r="E1211" s="906"/>
      <c r="F1211" s="921" t="str">
        <f t="shared" si="60"/>
        <v/>
      </c>
      <c r="G1211" s="882" t="str">
        <f t="shared" si="61"/>
        <v/>
      </c>
      <c r="H1211" s="925"/>
      <c r="I1211" s="919"/>
      <c r="J1211" s="919"/>
      <c r="K1211" s="919"/>
      <c r="L1211" s="919"/>
      <c r="O1211" s="339"/>
      <c r="T1211" s="75"/>
      <c r="U1211" s="75"/>
      <c r="V1211" s="75"/>
      <c r="W1211" s="75"/>
      <c r="X1211" s="75"/>
      <c r="Y1211" s="340"/>
      <c r="Z1211" s="341"/>
      <c r="AA1211" s="341"/>
      <c r="AB1211" s="341"/>
      <c r="AC1211" s="340"/>
      <c r="AD1211" s="75"/>
      <c r="AE1211" s="75"/>
      <c r="AF1211" s="75"/>
      <c r="AG1211" s="344"/>
      <c r="AH1211" s="344"/>
      <c r="AI1211" s="344"/>
      <c r="AJ1211" s="97"/>
      <c r="AK1211" s="4"/>
    </row>
    <row r="1212" spans="2:37" s="113" customFormat="1" x14ac:dyDescent="0.4">
      <c r="B1212" s="80"/>
      <c r="C1212" s="563">
        <v>799</v>
      </c>
      <c r="D1212" s="907"/>
      <c r="E1212" s="906"/>
      <c r="F1212" s="921" t="str">
        <f t="shared" si="60"/>
        <v/>
      </c>
      <c r="G1212" s="882" t="str">
        <f t="shared" si="61"/>
        <v/>
      </c>
      <c r="H1212" s="925"/>
      <c r="I1212" s="919"/>
      <c r="J1212" s="919"/>
      <c r="K1212" s="919"/>
      <c r="L1212" s="919"/>
      <c r="O1212" s="339"/>
      <c r="T1212" s="75"/>
      <c r="U1212" s="75"/>
      <c r="V1212" s="75"/>
      <c r="W1212" s="75"/>
      <c r="X1212" s="75"/>
      <c r="Y1212" s="340"/>
      <c r="Z1212" s="341"/>
      <c r="AA1212" s="341"/>
      <c r="AB1212" s="341"/>
      <c r="AC1212" s="340"/>
      <c r="AD1212" s="75"/>
      <c r="AE1212" s="75"/>
      <c r="AF1212" s="75"/>
      <c r="AG1212" s="344"/>
      <c r="AH1212" s="344"/>
      <c r="AI1212" s="344"/>
      <c r="AJ1212" s="97"/>
      <c r="AK1212" s="4"/>
    </row>
    <row r="1213" spans="2:37" s="113" customFormat="1" x14ac:dyDescent="0.4">
      <c r="B1213" s="80"/>
      <c r="C1213" s="563">
        <v>800</v>
      </c>
      <c r="D1213" s="907"/>
      <c r="E1213" s="906"/>
      <c r="F1213" s="921" t="str">
        <f t="shared" si="60"/>
        <v/>
      </c>
      <c r="G1213" s="882" t="str">
        <f t="shared" si="61"/>
        <v/>
      </c>
      <c r="H1213" s="925"/>
      <c r="I1213" s="919"/>
      <c r="J1213" s="919"/>
      <c r="K1213" s="919"/>
      <c r="L1213" s="919"/>
      <c r="O1213" s="339"/>
      <c r="T1213" s="75"/>
      <c r="U1213" s="75"/>
      <c r="V1213" s="75"/>
      <c r="W1213" s="75"/>
      <c r="X1213" s="75"/>
      <c r="Y1213" s="340"/>
      <c r="Z1213" s="341"/>
      <c r="AA1213" s="341"/>
      <c r="AB1213" s="341"/>
      <c r="AC1213" s="340"/>
      <c r="AD1213" s="75"/>
      <c r="AE1213" s="75"/>
      <c r="AF1213" s="75"/>
      <c r="AG1213" s="344"/>
      <c r="AH1213" s="344"/>
      <c r="AI1213" s="344"/>
      <c r="AJ1213" s="97"/>
      <c r="AK1213" s="4"/>
    </row>
    <row r="1214" spans="2:37" s="113" customFormat="1" x14ac:dyDescent="0.4">
      <c r="B1214" s="80"/>
      <c r="C1214" s="563">
        <v>801</v>
      </c>
      <c r="D1214" s="907"/>
      <c r="E1214" s="906"/>
      <c r="F1214" s="921" t="str">
        <f t="shared" si="60"/>
        <v/>
      </c>
      <c r="G1214" s="882" t="str">
        <f t="shared" si="61"/>
        <v/>
      </c>
      <c r="H1214" s="925"/>
      <c r="I1214" s="919"/>
      <c r="J1214" s="919"/>
      <c r="K1214" s="919"/>
      <c r="L1214" s="919"/>
      <c r="O1214" s="339"/>
      <c r="T1214" s="75"/>
      <c r="U1214" s="75"/>
      <c r="V1214" s="75"/>
      <c r="W1214" s="75"/>
      <c r="X1214" s="75"/>
      <c r="Y1214" s="340"/>
      <c r="Z1214" s="341"/>
      <c r="AA1214" s="341"/>
      <c r="AB1214" s="341"/>
      <c r="AC1214" s="340"/>
      <c r="AD1214" s="75"/>
      <c r="AE1214" s="75"/>
      <c r="AF1214" s="75"/>
      <c r="AG1214" s="344"/>
      <c r="AH1214" s="344"/>
      <c r="AI1214" s="344"/>
      <c r="AJ1214" s="97"/>
      <c r="AK1214" s="4"/>
    </row>
    <row r="1215" spans="2:37" s="113" customFormat="1" x14ac:dyDescent="0.4">
      <c r="B1215" s="80"/>
      <c r="C1215" s="563">
        <v>802</v>
      </c>
      <c r="D1215" s="907"/>
      <c r="E1215" s="906"/>
      <c r="F1215" s="921" t="str">
        <f t="shared" si="60"/>
        <v/>
      </c>
      <c r="G1215" s="882" t="str">
        <f t="shared" si="61"/>
        <v/>
      </c>
      <c r="H1215" s="925"/>
      <c r="I1215" s="919"/>
      <c r="J1215" s="919"/>
      <c r="K1215" s="919"/>
      <c r="L1215" s="919"/>
      <c r="O1215" s="339"/>
      <c r="T1215" s="75"/>
      <c r="U1215" s="75"/>
      <c r="V1215" s="75"/>
      <c r="W1215" s="75"/>
      <c r="X1215" s="75"/>
      <c r="Y1215" s="340"/>
      <c r="Z1215" s="341"/>
      <c r="AA1215" s="341"/>
      <c r="AB1215" s="341"/>
      <c r="AC1215" s="340"/>
      <c r="AD1215" s="75"/>
      <c r="AE1215" s="75"/>
      <c r="AF1215" s="75"/>
      <c r="AG1215" s="344"/>
      <c r="AH1215" s="344"/>
      <c r="AI1215" s="344"/>
      <c r="AJ1215" s="97"/>
      <c r="AK1215" s="4"/>
    </row>
    <row r="1216" spans="2:37" s="113" customFormat="1" x14ac:dyDescent="0.4">
      <c r="B1216" s="80"/>
      <c r="C1216" s="563">
        <v>803</v>
      </c>
      <c r="D1216" s="907"/>
      <c r="E1216" s="906"/>
      <c r="F1216" s="921" t="str">
        <f t="shared" si="60"/>
        <v/>
      </c>
      <c r="G1216" s="882" t="str">
        <f t="shared" si="61"/>
        <v/>
      </c>
      <c r="H1216" s="925"/>
      <c r="I1216" s="919"/>
      <c r="J1216" s="919"/>
      <c r="K1216" s="919"/>
      <c r="L1216" s="919"/>
      <c r="O1216" s="339"/>
      <c r="T1216" s="75"/>
      <c r="U1216" s="75"/>
      <c r="V1216" s="75"/>
      <c r="W1216" s="75"/>
      <c r="X1216" s="75"/>
      <c r="Y1216" s="340"/>
      <c r="Z1216" s="341"/>
      <c r="AA1216" s="341"/>
      <c r="AB1216" s="341"/>
      <c r="AC1216" s="340"/>
      <c r="AD1216" s="75"/>
      <c r="AE1216" s="75"/>
      <c r="AF1216" s="75"/>
      <c r="AG1216" s="344"/>
      <c r="AH1216" s="344"/>
      <c r="AI1216" s="344"/>
      <c r="AJ1216" s="97"/>
      <c r="AK1216" s="4"/>
    </row>
    <row r="1217" spans="2:37" s="113" customFormat="1" x14ac:dyDescent="0.4">
      <c r="B1217" s="80"/>
      <c r="C1217" s="563">
        <v>804</v>
      </c>
      <c r="D1217" s="907"/>
      <c r="E1217" s="906"/>
      <c r="F1217" s="921" t="str">
        <f t="shared" si="60"/>
        <v/>
      </c>
      <c r="G1217" s="882" t="str">
        <f t="shared" si="61"/>
        <v/>
      </c>
      <c r="H1217" s="925"/>
      <c r="I1217" s="919"/>
      <c r="J1217" s="919"/>
      <c r="K1217" s="919"/>
      <c r="L1217" s="919"/>
      <c r="O1217" s="339"/>
      <c r="T1217" s="75"/>
      <c r="U1217" s="75"/>
      <c r="V1217" s="75"/>
      <c r="W1217" s="75"/>
      <c r="X1217" s="75"/>
      <c r="Y1217" s="340"/>
      <c r="Z1217" s="341"/>
      <c r="AA1217" s="341"/>
      <c r="AB1217" s="341"/>
      <c r="AC1217" s="340"/>
      <c r="AD1217" s="75"/>
      <c r="AE1217" s="75"/>
      <c r="AF1217" s="75"/>
      <c r="AG1217" s="344"/>
      <c r="AH1217" s="344"/>
      <c r="AI1217" s="344"/>
      <c r="AJ1217" s="97"/>
      <c r="AK1217" s="4"/>
    </row>
    <row r="1218" spans="2:37" s="113" customFormat="1" x14ac:dyDescent="0.4">
      <c r="B1218" s="80"/>
      <c r="C1218" s="563">
        <v>805</v>
      </c>
      <c r="D1218" s="907"/>
      <c r="E1218" s="906"/>
      <c r="F1218" s="921" t="str">
        <f t="shared" si="60"/>
        <v/>
      </c>
      <c r="G1218" s="882" t="str">
        <f t="shared" si="61"/>
        <v/>
      </c>
      <c r="H1218" s="925"/>
      <c r="I1218" s="919"/>
      <c r="J1218" s="919"/>
      <c r="K1218" s="919"/>
      <c r="L1218" s="919"/>
      <c r="O1218" s="339"/>
      <c r="T1218" s="75"/>
      <c r="U1218" s="75"/>
      <c r="V1218" s="75"/>
      <c r="W1218" s="75"/>
      <c r="X1218" s="75"/>
      <c r="Y1218" s="340"/>
      <c r="Z1218" s="341"/>
      <c r="AA1218" s="341"/>
      <c r="AB1218" s="341"/>
      <c r="AC1218" s="340"/>
      <c r="AD1218" s="75"/>
      <c r="AE1218" s="75"/>
      <c r="AF1218" s="75"/>
      <c r="AG1218" s="344"/>
      <c r="AH1218" s="344"/>
      <c r="AI1218" s="344"/>
      <c r="AJ1218" s="97"/>
      <c r="AK1218" s="4"/>
    </row>
    <row r="1219" spans="2:37" s="113" customFormat="1" x14ac:dyDescent="0.4">
      <c r="B1219" s="80"/>
      <c r="C1219" s="563">
        <v>806</v>
      </c>
      <c r="D1219" s="907"/>
      <c r="E1219" s="906"/>
      <c r="F1219" s="921" t="str">
        <f t="shared" si="60"/>
        <v/>
      </c>
      <c r="G1219" s="882" t="str">
        <f t="shared" si="61"/>
        <v/>
      </c>
      <c r="H1219" s="925"/>
      <c r="I1219" s="919"/>
      <c r="J1219" s="919"/>
      <c r="K1219" s="919"/>
      <c r="L1219" s="919"/>
      <c r="O1219" s="339"/>
      <c r="T1219" s="75"/>
      <c r="U1219" s="75"/>
      <c r="V1219" s="75"/>
      <c r="W1219" s="75"/>
      <c r="X1219" s="75"/>
      <c r="Y1219" s="340"/>
      <c r="Z1219" s="341"/>
      <c r="AA1219" s="341"/>
      <c r="AB1219" s="341"/>
      <c r="AC1219" s="340"/>
      <c r="AD1219" s="75"/>
      <c r="AE1219" s="75"/>
      <c r="AF1219" s="75"/>
      <c r="AG1219" s="344"/>
      <c r="AH1219" s="344"/>
      <c r="AI1219" s="344"/>
      <c r="AJ1219" s="97"/>
      <c r="AK1219" s="4"/>
    </row>
    <row r="1220" spans="2:37" s="113" customFormat="1" x14ac:dyDescent="0.4">
      <c r="B1220" s="80"/>
      <c r="C1220" s="563">
        <v>807</v>
      </c>
      <c r="D1220" s="907"/>
      <c r="E1220" s="906"/>
      <c r="F1220" s="921" t="str">
        <f t="shared" si="60"/>
        <v/>
      </c>
      <c r="G1220" s="882" t="str">
        <f t="shared" si="61"/>
        <v/>
      </c>
      <c r="H1220" s="925"/>
      <c r="I1220" s="919"/>
      <c r="J1220" s="919"/>
      <c r="K1220" s="919"/>
      <c r="L1220" s="919"/>
      <c r="O1220" s="339"/>
      <c r="T1220" s="75"/>
      <c r="U1220" s="75"/>
      <c r="V1220" s="75"/>
      <c r="W1220" s="75"/>
      <c r="X1220" s="75"/>
      <c r="Y1220" s="340"/>
      <c r="Z1220" s="341"/>
      <c r="AA1220" s="341"/>
      <c r="AB1220" s="341"/>
      <c r="AC1220" s="340"/>
      <c r="AD1220" s="75"/>
      <c r="AE1220" s="75"/>
      <c r="AF1220" s="75"/>
      <c r="AG1220" s="344"/>
      <c r="AH1220" s="344"/>
      <c r="AI1220" s="344"/>
      <c r="AJ1220" s="97"/>
      <c r="AK1220" s="4"/>
    </row>
    <row r="1221" spans="2:37" s="113" customFormat="1" x14ac:dyDescent="0.4">
      <c r="B1221" s="80"/>
      <c r="C1221" s="563">
        <v>808</v>
      </c>
      <c r="D1221" s="907"/>
      <c r="E1221" s="906"/>
      <c r="F1221" s="921" t="str">
        <f t="shared" si="60"/>
        <v/>
      </c>
      <c r="G1221" s="882" t="str">
        <f t="shared" si="61"/>
        <v/>
      </c>
      <c r="H1221" s="925"/>
      <c r="I1221" s="919"/>
      <c r="J1221" s="919"/>
      <c r="K1221" s="919"/>
      <c r="L1221" s="919"/>
      <c r="O1221" s="339"/>
      <c r="T1221" s="75"/>
      <c r="U1221" s="75"/>
      <c r="V1221" s="75"/>
      <c r="W1221" s="75"/>
      <c r="X1221" s="75"/>
      <c r="Y1221" s="340"/>
      <c r="Z1221" s="341"/>
      <c r="AA1221" s="341"/>
      <c r="AB1221" s="341"/>
      <c r="AC1221" s="340"/>
      <c r="AD1221" s="75"/>
      <c r="AE1221" s="75"/>
      <c r="AF1221" s="75"/>
      <c r="AG1221" s="344"/>
      <c r="AH1221" s="344"/>
      <c r="AI1221" s="344"/>
      <c r="AJ1221" s="97"/>
      <c r="AK1221" s="4"/>
    </row>
    <row r="1222" spans="2:37" s="113" customFormat="1" x14ac:dyDescent="0.4">
      <c r="B1222" s="80"/>
      <c r="C1222" s="563">
        <v>809</v>
      </c>
      <c r="D1222" s="907"/>
      <c r="E1222" s="906"/>
      <c r="F1222" s="921" t="str">
        <f t="shared" si="60"/>
        <v/>
      </c>
      <c r="G1222" s="882" t="str">
        <f t="shared" si="61"/>
        <v/>
      </c>
      <c r="H1222" s="925"/>
      <c r="I1222" s="919"/>
      <c r="J1222" s="919"/>
      <c r="K1222" s="919"/>
      <c r="L1222" s="919"/>
      <c r="O1222" s="339"/>
      <c r="T1222" s="75"/>
      <c r="U1222" s="75"/>
      <c r="V1222" s="75"/>
      <c r="W1222" s="75"/>
      <c r="X1222" s="75"/>
      <c r="Y1222" s="340"/>
      <c r="Z1222" s="341"/>
      <c r="AA1222" s="341"/>
      <c r="AB1222" s="341"/>
      <c r="AC1222" s="340"/>
      <c r="AD1222" s="75"/>
      <c r="AE1222" s="75"/>
      <c r="AF1222" s="75"/>
      <c r="AG1222" s="344"/>
      <c r="AH1222" s="344"/>
      <c r="AI1222" s="344"/>
      <c r="AJ1222" s="97"/>
      <c r="AK1222" s="4"/>
    </row>
    <row r="1223" spans="2:37" s="113" customFormat="1" x14ac:dyDescent="0.4">
      <c r="B1223" s="80"/>
      <c r="C1223" s="563">
        <v>810</v>
      </c>
      <c r="D1223" s="907"/>
      <c r="E1223" s="906"/>
      <c r="F1223" s="921" t="str">
        <f t="shared" si="60"/>
        <v/>
      </c>
      <c r="G1223" s="882" t="str">
        <f t="shared" si="61"/>
        <v/>
      </c>
      <c r="H1223" s="925"/>
      <c r="I1223" s="919"/>
      <c r="J1223" s="919"/>
      <c r="K1223" s="919"/>
      <c r="L1223" s="919"/>
      <c r="O1223" s="339"/>
      <c r="T1223" s="75"/>
      <c r="U1223" s="75"/>
      <c r="V1223" s="75"/>
      <c r="W1223" s="75"/>
      <c r="X1223" s="75"/>
      <c r="Y1223" s="340"/>
      <c r="Z1223" s="341"/>
      <c r="AA1223" s="341"/>
      <c r="AB1223" s="341"/>
      <c r="AC1223" s="340"/>
      <c r="AD1223" s="75"/>
      <c r="AE1223" s="75"/>
      <c r="AF1223" s="75"/>
      <c r="AG1223" s="344"/>
      <c r="AH1223" s="344"/>
      <c r="AI1223" s="344"/>
      <c r="AJ1223" s="97"/>
      <c r="AK1223" s="4"/>
    </row>
    <row r="1224" spans="2:37" s="113" customFormat="1" x14ac:dyDescent="0.4">
      <c r="B1224" s="80"/>
      <c r="C1224" s="563">
        <v>811</v>
      </c>
      <c r="D1224" s="907"/>
      <c r="E1224" s="906"/>
      <c r="F1224" s="921" t="str">
        <f t="shared" si="60"/>
        <v/>
      </c>
      <c r="G1224" s="882" t="str">
        <f t="shared" si="61"/>
        <v/>
      </c>
      <c r="H1224" s="925"/>
      <c r="I1224" s="919"/>
      <c r="J1224" s="919"/>
      <c r="K1224" s="919"/>
      <c r="L1224" s="919"/>
      <c r="O1224" s="339"/>
      <c r="T1224" s="75"/>
      <c r="U1224" s="75"/>
      <c r="V1224" s="75"/>
      <c r="W1224" s="75"/>
      <c r="X1224" s="75"/>
      <c r="Y1224" s="340"/>
      <c r="Z1224" s="341"/>
      <c r="AA1224" s="341"/>
      <c r="AB1224" s="341"/>
      <c r="AC1224" s="340"/>
      <c r="AD1224" s="75"/>
      <c r="AE1224" s="75"/>
      <c r="AF1224" s="75"/>
      <c r="AG1224" s="344"/>
      <c r="AH1224" s="344"/>
      <c r="AI1224" s="344"/>
      <c r="AJ1224" s="97"/>
      <c r="AK1224" s="4"/>
    </row>
    <row r="1225" spans="2:37" s="113" customFormat="1" x14ac:dyDescent="0.4">
      <c r="B1225" s="80"/>
      <c r="C1225" s="563">
        <v>812</v>
      </c>
      <c r="D1225" s="907"/>
      <c r="E1225" s="906"/>
      <c r="F1225" s="921" t="str">
        <f t="shared" si="60"/>
        <v/>
      </c>
      <c r="G1225" s="882" t="str">
        <f t="shared" si="61"/>
        <v/>
      </c>
      <c r="H1225" s="925"/>
      <c r="I1225" s="919"/>
      <c r="J1225" s="919"/>
      <c r="K1225" s="919"/>
      <c r="L1225" s="919"/>
      <c r="O1225" s="339"/>
      <c r="T1225" s="75"/>
      <c r="U1225" s="75"/>
      <c r="V1225" s="75"/>
      <c r="W1225" s="75"/>
      <c r="X1225" s="75"/>
      <c r="Y1225" s="340"/>
      <c r="Z1225" s="341"/>
      <c r="AA1225" s="341"/>
      <c r="AB1225" s="341"/>
      <c r="AC1225" s="340"/>
      <c r="AD1225" s="75"/>
      <c r="AE1225" s="75"/>
      <c r="AF1225" s="75"/>
      <c r="AG1225" s="344"/>
      <c r="AH1225" s="344"/>
      <c r="AI1225" s="344"/>
      <c r="AJ1225" s="97"/>
      <c r="AK1225" s="4"/>
    </row>
    <row r="1226" spans="2:37" s="113" customFormat="1" x14ac:dyDescent="0.4">
      <c r="B1226" s="80"/>
      <c r="C1226" s="563">
        <v>813</v>
      </c>
      <c r="D1226" s="907"/>
      <c r="E1226" s="906"/>
      <c r="F1226" s="921" t="str">
        <f t="shared" si="60"/>
        <v/>
      </c>
      <c r="G1226" s="882" t="str">
        <f t="shared" si="61"/>
        <v/>
      </c>
      <c r="H1226" s="925"/>
      <c r="I1226" s="919"/>
      <c r="J1226" s="919"/>
      <c r="K1226" s="919"/>
      <c r="L1226" s="919"/>
      <c r="O1226" s="339"/>
      <c r="T1226" s="75"/>
      <c r="U1226" s="75"/>
      <c r="V1226" s="75"/>
      <c r="W1226" s="75"/>
      <c r="X1226" s="75"/>
      <c r="Y1226" s="340"/>
      <c r="Z1226" s="341"/>
      <c r="AA1226" s="341"/>
      <c r="AB1226" s="341"/>
      <c r="AC1226" s="340"/>
      <c r="AD1226" s="75"/>
      <c r="AE1226" s="75"/>
      <c r="AF1226" s="75"/>
      <c r="AG1226" s="344"/>
      <c r="AH1226" s="344"/>
      <c r="AI1226" s="344"/>
      <c r="AJ1226" s="97"/>
      <c r="AK1226" s="4"/>
    </row>
    <row r="1227" spans="2:37" s="113" customFormat="1" x14ac:dyDescent="0.4">
      <c r="B1227" s="80"/>
      <c r="C1227" s="563">
        <v>814</v>
      </c>
      <c r="D1227" s="907"/>
      <c r="E1227" s="906"/>
      <c r="F1227" s="921" t="str">
        <f t="shared" si="60"/>
        <v/>
      </c>
      <c r="G1227" s="882" t="str">
        <f t="shared" si="61"/>
        <v/>
      </c>
      <c r="H1227" s="925"/>
      <c r="I1227" s="919"/>
      <c r="J1227" s="919"/>
      <c r="K1227" s="919"/>
      <c r="L1227" s="919"/>
      <c r="O1227" s="339"/>
      <c r="T1227" s="75"/>
      <c r="U1227" s="75"/>
      <c r="V1227" s="75"/>
      <c r="W1227" s="75"/>
      <c r="X1227" s="75"/>
      <c r="Y1227" s="340"/>
      <c r="Z1227" s="341"/>
      <c r="AA1227" s="341"/>
      <c r="AB1227" s="341"/>
      <c r="AC1227" s="340"/>
      <c r="AD1227" s="75"/>
      <c r="AE1227" s="75"/>
      <c r="AF1227" s="75"/>
      <c r="AG1227" s="344"/>
      <c r="AH1227" s="344"/>
      <c r="AI1227" s="344"/>
      <c r="AJ1227" s="97"/>
      <c r="AK1227" s="4"/>
    </row>
    <row r="1228" spans="2:37" s="113" customFormat="1" x14ac:dyDescent="0.4">
      <c r="B1228" s="80"/>
      <c r="C1228" s="563">
        <v>815</v>
      </c>
      <c r="D1228" s="907"/>
      <c r="E1228" s="906"/>
      <c r="F1228" s="921" t="str">
        <f t="shared" si="60"/>
        <v/>
      </c>
      <c r="G1228" s="882" t="str">
        <f t="shared" si="61"/>
        <v/>
      </c>
      <c r="H1228" s="925"/>
      <c r="I1228" s="919"/>
      <c r="J1228" s="919"/>
      <c r="K1228" s="919"/>
      <c r="L1228" s="919"/>
      <c r="O1228" s="339"/>
      <c r="T1228" s="75"/>
      <c r="U1228" s="75"/>
      <c r="V1228" s="75"/>
      <c r="W1228" s="75"/>
      <c r="X1228" s="75"/>
      <c r="Y1228" s="340"/>
      <c r="Z1228" s="341"/>
      <c r="AA1228" s="341"/>
      <c r="AB1228" s="341"/>
      <c r="AC1228" s="340"/>
      <c r="AD1228" s="75"/>
      <c r="AE1228" s="75"/>
      <c r="AF1228" s="75"/>
      <c r="AG1228" s="344"/>
      <c r="AH1228" s="344"/>
      <c r="AI1228" s="344"/>
      <c r="AJ1228" s="97"/>
      <c r="AK1228" s="4"/>
    </row>
    <row r="1229" spans="2:37" s="113" customFormat="1" x14ac:dyDescent="0.4">
      <c r="B1229" s="80"/>
      <c r="C1229" s="563">
        <v>816</v>
      </c>
      <c r="D1229" s="907"/>
      <c r="E1229" s="906"/>
      <c r="F1229" s="921" t="str">
        <f t="shared" si="60"/>
        <v/>
      </c>
      <c r="G1229" s="882" t="str">
        <f t="shared" si="61"/>
        <v/>
      </c>
      <c r="H1229" s="925"/>
      <c r="I1229" s="919"/>
      <c r="J1229" s="919"/>
      <c r="K1229" s="919"/>
      <c r="L1229" s="919"/>
      <c r="O1229" s="339"/>
      <c r="T1229" s="75"/>
      <c r="U1229" s="75"/>
      <c r="V1229" s="75"/>
      <c r="W1229" s="75"/>
      <c r="X1229" s="75"/>
      <c r="Y1229" s="340"/>
      <c r="Z1229" s="341"/>
      <c r="AA1229" s="341"/>
      <c r="AB1229" s="341"/>
      <c r="AC1229" s="340"/>
      <c r="AD1229" s="75"/>
      <c r="AE1229" s="75"/>
      <c r="AF1229" s="75"/>
      <c r="AG1229" s="344"/>
      <c r="AH1229" s="344"/>
      <c r="AI1229" s="344"/>
      <c r="AJ1229" s="97"/>
      <c r="AK1229" s="4"/>
    </row>
    <row r="1230" spans="2:37" s="113" customFormat="1" x14ac:dyDescent="0.4">
      <c r="B1230" s="80"/>
      <c r="C1230" s="563">
        <v>817</v>
      </c>
      <c r="D1230" s="907"/>
      <c r="E1230" s="906"/>
      <c r="F1230" s="921" t="str">
        <f t="shared" si="60"/>
        <v/>
      </c>
      <c r="G1230" s="882" t="str">
        <f t="shared" si="61"/>
        <v/>
      </c>
      <c r="H1230" s="925"/>
      <c r="I1230" s="919"/>
      <c r="J1230" s="919"/>
      <c r="K1230" s="919"/>
      <c r="L1230" s="919"/>
      <c r="O1230" s="339"/>
      <c r="T1230" s="75"/>
      <c r="U1230" s="75"/>
      <c r="V1230" s="75"/>
      <c r="W1230" s="75"/>
      <c r="X1230" s="75"/>
      <c r="Y1230" s="340"/>
      <c r="Z1230" s="341"/>
      <c r="AA1230" s="341"/>
      <c r="AB1230" s="341"/>
      <c r="AC1230" s="340"/>
      <c r="AD1230" s="75"/>
      <c r="AE1230" s="75"/>
      <c r="AF1230" s="75"/>
      <c r="AG1230" s="344"/>
      <c r="AH1230" s="344"/>
      <c r="AI1230" s="344"/>
      <c r="AJ1230" s="97"/>
      <c r="AK1230" s="4"/>
    </row>
    <row r="1231" spans="2:37" s="113" customFormat="1" x14ac:dyDescent="0.4">
      <c r="B1231" s="80"/>
      <c r="C1231" s="563">
        <v>818</v>
      </c>
      <c r="D1231" s="907"/>
      <c r="E1231" s="906"/>
      <c r="F1231" s="921" t="str">
        <f t="shared" si="60"/>
        <v/>
      </c>
      <c r="G1231" s="882" t="str">
        <f t="shared" si="61"/>
        <v/>
      </c>
      <c r="H1231" s="925"/>
      <c r="I1231" s="919"/>
      <c r="J1231" s="919"/>
      <c r="K1231" s="919"/>
      <c r="L1231" s="919"/>
      <c r="O1231" s="339"/>
      <c r="T1231" s="75"/>
      <c r="U1231" s="75"/>
      <c r="V1231" s="75"/>
      <c r="W1231" s="75"/>
      <c r="X1231" s="75"/>
      <c r="Y1231" s="340"/>
      <c r="Z1231" s="341"/>
      <c r="AA1231" s="341"/>
      <c r="AB1231" s="341"/>
      <c r="AC1231" s="340"/>
      <c r="AD1231" s="75"/>
      <c r="AE1231" s="75"/>
      <c r="AF1231" s="75"/>
      <c r="AG1231" s="344"/>
      <c r="AH1231" s="344"/>
      <c r="AI1231" s="344"/>
      <c r="AJ1231" s="97"/>
      <c r="AK1231" s="4"/>
    </row>
    <row r="1232" spans="2:37" s="113" customFormat="1" x14ac:dyDescent="0.4">
      <c r="B1232" s="80"/>
      <c r="C1232" s="563">
        <v>819</v>
      </c>
      <c r="D1232" s="907"/>
      <c r="E1232" s="906"/>
      <c r="F1232" s="921" t="str">
        <f t="shared" si="60"/>
        <v/>
      </c>
      <c r="G1232" s="882" t="str">
        <f t="shared" si="61"/>
        <v/>
      </c>
      <c r="H1232" s="925"/>
      <c r="I1232" s="919"/>
      <c r="J1232" s="919"/>
      <c r="K1232" s="919"/>
      <c r="L1232" s="919"/>
      <c r="O1232" s="339"/>
      <c r="T1232" s="75"/>
      <c r="U1232" s="75"/>
      <c r="V1232" s="75"/>
      <c r="W1232" s="75"/>
      <c r="X1232" s="75"/>
      <c r="Y1232" s="340"/>
      <c r="Z1232" s="341"/>
      <c r="AA1232" s="341"/>
      <c r="AB1232" s="341"/>
      <c r="AC1232" s="340"/>
      <c r="AD1232" s="75"/>
      <c r="AE1232" s="75"/>
      <c r="AF1232" s="75"/>
      <c r="AG1232" s="344"/>
      <c r="AH1232" s="344"/>
      <c r="AI1232" s="344"/>
      <c r="AJ1232" s="97"/>
      <c r="AK1232" s="4"/>
    </row>
    <row r="1233" spans="2:37" s="113" customFormat="1" x14ac:dyDescent="0.4">
      <c r="B1233" s="80"/>
      <c r="C1233" s="563">
        <v>820</v>
      </c>
      <c r="D1233" s="907"/>
      <c r="E1233" s="906"/>
      <c r="F1233" s="921" t="str">
        <f t="shared" si="60"/>
        <v/>
      </c>
      <c r="G1233" s="882" t="str">
        <f t="shared" si="61"/>
        <v/>
      </c>
      <c r="H1233" s="925"/>
      <c r="I1233" s="919"/>
      <c r="J1233" s="919"/>
      <c r="K1233" s="919"/>
      <c r="L1233" s="919"/>
      <c r="O1233" s="339"/>
      <c r="T1233" s="75"/>
      <c r="U1233" s="75"/>
      <c r="V1233" s="75"/>
      <c r="W1233" s="75"/>
      <c r="X1233" s="75"/>
      <c r="Y1233" s="340"/>
      <c r="Z1233" s="341"/>
      <c r="AA1233" s="341"/>
      <c r="AB1233" s="341"/>
      <c r="AC1233" s="340"/>
      <c r="AD1233" s="75"/>
      <c r="AE1233" s="75"/>
      <c r="AF1233" s="75"/>
      <c r="AG1233" s="344"/>
      <c r="AH1233" s="344"/>
      <c r="AI1233" s="344"/>
      <c r="AJ1233" s="97"/>
      <c r="AK1233" s="4"/>
    </row>
    <row r="1234" spans="2:37" s="113" customFormat="1" x14ac:dyDescent="0.4">
      <c r="B1234" s="80"/>
      <c r="C1234" s="563">
        <v>821</v>
      </c>
      <c r="D1234" s="907"/>
      <c r="E1234" s="906"/>
      <c r="F1234" s="921" t="str">
        <f t="shared" si="60"/>
        <v/>
      </c>
      <c r="G1234" s="882" t="str">
        <f t="shared" si="61"/>
        <v/>
      </c>
      <c r="H1234" s="925"/>
      <c r="I1234" s="919"/>
      <c r="J1234" s="919"/>
      <c r="K1234" s="919"/>
      <c r="L1234" s="919"/>
      <c r="O1234" s="339"/>
      <c r="T1234" s="75"/>
      <c r="U1234" s="75"/>
      <c r="V1234" s="75"/>
      <c r="W1234" s="75"/>
      <c r="X1234" s="75"/>
      <c r="Y1234" s="340"/>
      <c r="Z1234" s="341"/>
      <c r="AA1234" s="341"/>
      <c r="AB1234" s="341"/>
      <c r="AC1234" s="340"/>
      <c r="AD1234" s="75"/>
      <c r="AE1234" s="75"/>
      <c r="AF1234" s="75"/>
      <c r="AG1234" s="344"/>
      <c r="AH1234" s="344"/>
      <c r="AI1234" s="344"/>
      <c r="AJ1234" s="97"/>
      <c r="AK1234" s="4"/>
    </row>
    <row r="1235" spans="2:37" s="113" customFormat="1" x14ac:dyDescent="0.4">
      <c r="B1235" s="80"/>
      <c r="C1235" s="563">
        <v>822</v>
      </c>
      <c r="D1235" s="907"/>
      <c r="E1235" s="906"/>
      <c r="F1235" s="921" t="str">
        <f t="shared" si="60"/>
        <v/>
      </c>
      <c r="G1235" s="882" t="str">
        <f t="shared" si="61"/>
        <v/>
      </c>
      <c r="H1235" s="925"/>
      <c r="I1235" s="919"/>
      <c r="J1235" s="919"/>
      <c r="K1235" s="919"/>
      <c r="L1235" s="919"/>
      <c r="O1235" s="339"/>
      <c r="T1235" s="75"/>
      <c r="U1235" s="75"/>
      <c r="V1235" s="75"/>
      <c r="W1235" s="75"/>
      <c r="X1235" s="75"/>
      <c r="Y1235" s="340"/>
      <c r="Z1235" s="341"/>
      <c r="AA1235" s="341"/>
      <c r="AB1235" s="341"/>
      <c r="AC1235" s="340"/>
      <c r="AD1235" s="75"/>
      <c r="AE1235" s="75"/>
      <c r="AF1235" s="75"/>
      <c r="AG1235" s="344"/>
      <c r="AH1235" s="344"/>
      <c r="AI1235" s="344"/>
      <c r="AJ1235" s="97"/>
      <c r="AK1235" s="4"/>
    </row>
    <row r="1236" spans="2:37" s="113" customFormat="1" x14ac:dyDescent="0.4">
      <c r="B1236" s="80"/>
      <c r="C1236" s="563">
        <v>823</v>
      </c>
      <c r="D1236" s="907"/>
      <c r="E1236" s="906"/>
      <c r="F1236" s="921" t="str">
        <f t="shared" si="60"/>
        <v/>
      </c>
      <c r="G1236" s="882" t="str">
        <f t="shared" si="61"/>
        <v/>
      </c>
      <c r="H1236" s="925"/>
      <c r="I1236" s="919"/>
      <c r="J1236" s="919"/>
      <c r="K1236" s="919"/>
      <c r="L1236" s="919"/>
      <c r="O1236" s="339"/>
      <c r="T1236" s="75"/>
      <c r="U1236" s="75"/>
      <c r="V1236" s="75"/>
      <c r="W1236" s="75"/>
      <c r="X1236" s="75"/>
      <c r="Y1236" s="340"/>
      <c r="Z1236" s="341"/>
      <c r="AA1236" s="341"/>
      <c r="AB1236" s="341"/>
      <c r="AC1236" s="340"/>
      <c r="AD1236" s="75"/>
      <c r="AE1236" s="75"/>
      <c r="AF1236" s="75"/>
      <c r="AG1236" s="344"/>
      <c r="AH1236" s="344"/>
      <c r="AI1236" s="344"/>
      <c r="AJ1236" s="97"/>
      <c r="AK1236" s="4"/>
    </row>
    <row r="1237" spans="2:37" s="113" customFormat="1" x14ac:dyDescent="0.4">
      <c r="B1237" s="80"/>
      <c r="C1237" s="563">
        <v>824</v>
      </c>
      <c r="D1237" s="907"/>
      <c r="E1237" s="906"/>
      <c r="F1237" s="921" t="str">
        <f t="shared" si="60"/>
        <v/>
      </c>
      <c r="G1237" s="882" t="str">
        <f t="shared" si="61"/>
        <v/>
      </c>
      <c r="H1237" s="925"/>
      <c r="I1237" s="919"/>
      <c r="J1237" s="919"/>
      <c r="K1237" s="919"/>
      <c r="L1237" s="919"/>
      <c r="O1237" s="339"/>
      <c r="T1237" s="75"/>
      <c r="U1237" s="75"/>
      <c r="V1237" s="75"/>
      <c r="W1237" s="75"/>
      <c r="X1237" s="75"/>
      <c r="Y1237" s="340"/>
      <c r="Z1237" s="341"/>
      <c r="AA1237" s="341"/>
      <c r="AB1237" s="341"/>
      <c r="AC1237" s="340"/>
      <c r="AD1237" s="75"/>
      <c r="AE1237" s="75"/>
      <c r="AF1237" s="75"/>
      <c r="AG1237" s="344"/>
      <c r="AH1237" s="344"/>
      <c r="AI1237" s="344"/>
      <c r="AJ1237" s="97"/>
      <c r="AK1237" s="4"/>
    </row>
    <row r="1238" spans="2:37" s="113" customFormat="1" x14ac:dyDescent="0.4">
      <c r="B1238" s="80"/>
      <c r="C1238" s="563">
        <v>825</v>
      </c>
      <c r="D1238" s="907"/>
      <c r="E1238" s="906"/>
      <c r="F1238" s="921" t="str">
        <f t="shared" si="60"/>
        <v/>
      </c>
      <c r="G1238" s="882" t="str">
        <f t="shared" si="61"/>
        <v/>
      </c>
      <c r="H1238" s="925"/>
      <c r="I1238" s="919"/>
      <c r="J1238" s="919"/>
      <c r="K1238" s="919"/>
      <c r="L1238" s="919"/>
      <c r="O1238" s="339"/>
      <c r="T1238" s="75"/>
      <c r="U1238" s="75"/>
      <c r="V1238" s="75"/>
      <c r="W1238" s="75"/>
      <c r="X1238" s="75"/>
      <c r="Y1238" s="340"/>
      <c r="Z1238" s="341"/>
      <c r="AA1238" s="341"/>
      <c r="AB1238" s="341"/>
      <c r="AC1238" s="340"/>
      <c r="AD1238" s="75"/>
      <c r="AE1238" s="75"/>
      <c r="AF1238" s="75"/>
      <c r="AG1238" s="344"/>
      <c r="AH1238" s="344"/>
      <c r="AI1238" s="344"/>
      <c r="AJ1238" s="97"/>
      <c r="AK1238" s="4"/>
    </row>
    <row r="1239" spans="2:37" s="113" customFormat="1" x14ac:dyDescent="0.4">
      <c r="B1239" s="80"/>
      <c r="C1239" s="563">
        <v>826</v>
      </c>
      <c r="D1239" s="907"/>
      <c r="E1239" s="906"/>
      <c r="F1239" s="921" t="str">
        <f t="shared" si="60"/>
        <v/>
      </c>
      <c r="G1239" s="882" t="str">
        <f t="shared" si="61"/>
        <v/>
      </c>
      <c r="H1239" s="925"/>
      <c r="I1239" s="919"/>
      <c r="J1239" s="919"/>
      <c r="K1239" s="919"/>
      <c r="L1239" s="919"/>
      <c r="O1239" s="339"/>
      <c r="T1239" s="75"/>
      <c r="U1239" s="75"/>
      <c r="V1239" s="75"/>
      <c r="W1239" s="75"/>
      <c r="X1239" s="75"/>
      <c r="Y1239" s="340"/>
      <c r="Z1239" s="341"/>
      <c r="AA1239" s="341"/>
      <c r="AB1239" s="341"/>
      <c r="AC1239" s="340"/>
      <c r="AD1239" s="75"/>
      <c r="AE1239" s="75"/>
      <c r="AF1239" s="75"/>
      <c r="AG1239" s="344"/>
      <c r="AH1239" s="344"/>
      <c r="AI1239" s="344"/>
      <c r="AJ1239" s="97"/>
      <c r="AK1239" s="4"/>
    </row>
    <row r="1240" spans="2:37" s="113" customFormat="1" x14ac:dyDescent="0.4">
      <c r="B1240" s="80"/>
      <c r="C1240" s="563">
        <v>827</v>
      </c>
      <c r="D1240" s="907"/>
      <c r="E1240" s="906"/>
      <c r="F1240" s="921" t="str">
        <f t="shared" si="60"/>
        <v/>
      </c>
      <c r="G1240" s="882" t="str">
        <f t="shared" si="61"/>
        <v/>
      </c>
      <c r="H1240" s="925"/>
      <c r="I1240" s="919"/>
      <c r="J1240" s="919"/>
      <c r="K1240" s="919"/>
      <c r="L1240" s="919"/>
      <c r="O1240" s="339"/>
      <c r="T1240" s="75"/>
      <c r="U1240" s="75"/>
      <c r="V1240" s="75"/>
      <c r="W1240" s="75"/>
      <c r="X1240" s="75"/>
      <c r="Y1240" s="340"/>
      <c r="Z1240" s="341"/>
      <c r="AA1240" s="341"/>
      <c r="AB1240" s="341"/>
      <c r="AC1240" s="340"/>
      <c r="AD1240" s="75"/>
      <c r="AE1240" s="75"/>
      <c r="AF1240" s="75"/>
      <c r="AG1240" s="344"/>
      <c r="AH1240" s="344"/>
      <c r="AI1240" s="344"/>
      <c r="AJ1240" s="97"/>
      <c r="AK1240" s="4"/>
    </row>
    <row r="1241" spans="2:37" s="113" customFormat="1" x14ac:dyDescent="0.4">
      <c r="B1241" s="80"/>
      <c r="C1241" s="563">
        <v>828</v>
      </c>
      <c r="D1241" s="907"/>
      <c r="E1241" s="906"/>
      <c r="F1241" s="921" t="str">
        <f t="shared" si="60"/>
        <v/>
      </c>
      <c r="G1241" s="882" t="str">
        <f t="shared" si="61"/>
        <v/>
      </c>
      <c r="H1241" s="925"/>
      <c r="I1241" s="919"/>
      <c r="J1241" s="919"/>
      <c r="K1241" s="919"/>
      <c r="L1241" s="919"/>
      <c r="O1241" s="339"/>
      <c r="T1241" s="75"/>
      <c r="U1241" s="75"/>
      <c r="V1241" s="75"/>
      <c r="W1241" s="75"/>
      <c r="X1241" s="75"/>
      <c r="Y1241" s="340"/>
      <c r="Z1241" s="341"/>
      <c r="AA1241" s="341"/>
      <c r="AB1241" s="341"/>
      <c r="AC1241" s="340"/>
      <c r="AD1241" s="75"/>
      <c r="AE1241" s="75"/>
      <c r="AF1241" s="75"/>
      <c r="AG1241" s="344"/>
      <c r="AH1241" s="344"/>
      <c r="AI1241" s="344"/>
      <c r="AJ1241" s="97"/>
      <c r="AK1241" s="4"/>
    </row>
    <row r="1242" spans="2:37" s="113" customFormat="1" x14ac:dyDescent="0.4">
      <c r="B1242" s="80"/>
      <c r="C1242" s="563">
        <v>829</v>
      </c>
      <c r="D1242" s="907"/>
      <c r="E1242" s="906"/>
      <c r="F1242" s="921" t="str">
        <f t="shared" si="60"/>
        <v/>
      </c>
      <c r="G1242" s="882" t="str">
        <f t="shared" si="61"/>
        <v/>
      </c>
      <c r="H1242" s="925"/>
      <c r="I1242" s="919"/>
      <c r="J1242" s="919"/>
      <c r="K1242" s="919"/>
      <c r="L1242" s="919"/>
      <c r="O1242" s="339"/>
      <c r="T1242" s="75"/>
      <c r="U1242" s="75"/>
      <c r="V1242" s="75"/>
      <c r="W1242" s="75"/>
      <c r="X1242" s="75"/>
      <c r="Y1242" s="340"/>
      <c r="Z1242" s="341"/>
      <c r="AA1242" s="341"/>
      <c r="AB1242" s="341"/>
      <c r="AC1242" s="340"/>
      <c r="AD1242" s="75"/>
      <c r="AE1242" s="75"/>
      <c r="AF1242" s="75"/>
      <c r="AG1242" s="344"/>
      <c r="AH1242" s="344"/>
      <c r="AI1242" s="344"/>
      <c r="AJ1242" s="97"/>
      <c r="AK1242" s="4"/>
    </row>
    <row r="1243" spans="2:37" s="113" customFormat="1" x14ac:dyDescent="0.4">
      <c r="B1243" s="80"/>
      <c r="C1243" s="563">
        <v>830</v>
      </c>
      <c r="D1243" s="907"/>
      <c r="E1243" s="906"/>
      <c r="F1243" s="921" t="str">
        <f t="shared" si="60"/>
        <v/>
      </c>
      <c r="G1243" s="882" t="str">
        <f t="shared" si="61"/>
        <v/>
      </c>
      <c r="H1243" s="925"/>
      <c r="I1243" s="919"/>
      <c r="J1243" s="919"/>
      <c r="K1243" s="919"/>
      <c r="L1243" s="919"/>
      <c r="O1243" s="339"/>
      <c r="T1243" s="75"/>
      <c r="U1243" s="75"/>
      <c r="V1243" s="75"/>
      <c r="W1243" s="75"/>
      <c r="X1243" s="75"/>
      <c r="Y1243" s="340"/>
      <c r="Z1243" s="341"/>
      <c r="AA1243" s="341"/>
      <c r="AB1243" s="341"/>
      <c r="AC1243" s="340"/>
      <c r="AD1243" s="75"/>
      <c r="AE1243" s="75"/>
      <c r="AF1243" s="75"/>
      <c r="AG1243" s="344"/>
      <c r="AH1243" s="344"/>
      <c r="AI1243" s="344"/>
      <c r="AJ1243" s="97"/>
      <c r="AK1243" s="4"/>
    </row>
    <row r="1244" spans="2:37" s="113" customFormat="1" x14ac:dyDescent="0.4">
      <c r="B1244" s="80"/>
      <c r="C1244" s="563">
        <v>831</v>
      </c>
      <c r="D1244" s="907"/>
      <c r="E1244" s="906"/>
      <c r="F1244" s="921" t="str">
        <f t="shared" si="60"/>
        <v/>
      </c>
      <c r="G1244" s="882" t="str">
        <f t="shared" si="61"/>
        <v/>
      </c>
      <c r="H1244" s="925"/>
      <c r="I1244" s="919"/>
      <c r="J1244" s="919"/>
      <c r="K1244" s="919"/>
      <c r="L1244" s="919"/>
      <c r="O1244" s="339"/>
      <c r="T1244" s="75"/>
      <c r="U1244" s="75"/>
      <c r="V1244" s="75"/>
      <c r="W1244" s="75"/>
      <c r="X1244" s="75"/>
      <c r="Y1244" s="340"/>
      <c r="Z1244" s="341"/>
      <c r="AA1244" s="341"/>
      <c r="AB1244" s="341"/>
      <c r="AC1244" s="340"/>
      <c r="AD1244" s="75"/>
      <c r="AE1244" s="75"/>
      <c r="AF1244" s="75"/>
      <c r="AG1244" s="344"/>
      <c r="AH1244" s="344"/>
      <c r="AI1244" s="344"/>
      <c r="AJ1244" s="97"/>
      <c r="AK1244" s="4"/>
    </row>
    <row r="1245" spans="2:37" s="113" customFormat="1" x14ac:dyDescent="0.4">
      <c r="B1245" s="80"/>
      <c r="C1245" s="563">
        <v>832</v>
      </c>
      <c r="D1245" s="907"/>
      <c r="E1245" s="906"/>
      <c r="F1245" s="921" t="str">
        <f t="shared" si="60"/>
        <v/>
      </c>
      <c r="G1245" s="882" t="str">
        <f t="shared" si="61"/>
        <v/>
      </c>
      <c r="H1245" s="925"/>
      <c r="I1245" s="919"/>
      <c r="J1245" s="919"/>
      <c r="K1245" s="919"/>
      <c r="L1245" s="919"/>
      <c r="O1245" s="339"/>
      <c r="T1245" s="75"/>
      <c r="U1245" s="75"/>
      <c r="V1245" s="75"/>
      <c r="W1245" s="75"/>
      <c r="X1245" s="75"/>
      <c r="Y1245" s="340"/>
      <c r="Z1245" s="341"/>
      <c r="AA1245" s="341"/>
      <c r="AB1245" s="341"/>
      <c r="AC1245" s="340"/>
      <c r="AD1245" s="75"/>
      <c r="AE1245" s="75"/>
      <c r="AF1245" s="75"/>
      <c r="AG1245" s="344"/>
      <c r="AH1245" s="344"/>
      <c r="AI1245" s="344"/>
      <c r="AJ1245" s="97"/>
      <c r="AK1245" s="4"/>
    </row>
    <row r="1246" spans="2:37" s="113" customFormat="1" x14ac:dyDescent="0.4">
      <c r="B1246" s="80"/>
      <c r="C1246" s="563">
        <v>833</v>
      </c>
      <c r="D1246" s="907"/>
      <c r="E1246" s="906"/>
      <c r="F1246" s="921" t="str">
        <f t="shared" ref="F1246:F1309" si="62">IF($D$30="","",IF(OR(
AND(C1246&gt;=0,C1246&lt;=$D$32),
AND(C1246&gt;=$E$30,C1246&lt;=$E$32),
AND(C1246&gt;=$F$30,C1246&lt;=$F$32),
AND(C1246&gt;=$G$30,C1246&lt;=$G$32),
AND(C1246&gt;=$H$30,C1246&lt;=$H$32),
AND(C1246&gt;=$I$30,C1246&lt;=$I$32),
AND(C1246&gt;=$J$30,C1246&lt;=$J$32),
AND(C1246&gt;=$K$30,C1246&lt;=$K$32),
AND(C1246&gt;=$L$30,C1246&lt;=$L$32),
AND(C1246&gt;=$M$30,C1246&lt;=$M$32,$M$32&lt;&gt;""),
AND(C1246&gt;=$N$30,C1246&lt;=$N$32,$N$32&lt;&gt;""),
AND(C1246&gt;=$O$30,C1246&lt;=$O$32,$O$32&lt;&gt;""),
AND(C1246&gt;=$P$30,C1246&lt;=$P$32,$P$32&lt;&gt;""),
AND(C1246&gt;=$Q$30,C1246&lt;=$Q$32,$Q$32&lt;&gt;"")
),"ON","OFF"))</f>
        <v/>
      </c>
      <c r="G1246" s="882" t="str">
        <f t="shared" si="61"/>
        <v/>
      </c>
      <c r="H1246" s="925"/>
      <c r="I1246" s="919"/>
      <c r="J1246" s="919"/>
      <c r="K1246" s="919"/>
      <c r="L1246" s="919"/>
      <c r="O1246" s="339"/>
      <c r="T1246" s="75"/>
      <c r="U1246" s="75"/>
      <c r="V1246" s="75"/>
      <c r="W1246" s="75"/>
      <c r="X1246" s="75"/>
      <c r="Y1246" s="340"/>
      <c r="Z1246" s="341"/>
      <c r="AA1246" s="341"/>
      <c r="AB1246" s="341"/>
      <c r="AC1246" s="340"/>
      <c r="AD1246" s="75"/>
      <c r="AE1246" s="75"/>
      <c r="AF1246" s="75"/>
      <c r="AG1246" s="344"/>
      <c r="AH1246" s="344"/>
      <c r="AI1246" s="344"/>
      <c r="AJ1246" s="97"/>
      <c r="AK1246" s="4"/>
    </row>
    <row r="1247" spans="2:37" s="113" customFormat="1" x14ac:dyDescent="0.4">
      <c r="B1247" s="80"/>
      <c r="C1247" s="563">
        <v>834</v>
      </c>
      <c r="D1247" s="907"/>
      <c r="E1247" s="906"/>
      <c r="F1247" s="921" t="str">
        <f t="shared" si="62"/>
        <v/>
      </c>
      <c r="G1247" s="882" t="str">
        <f t="shared" ref="G1247:G1310" si="63">IF(OR($D$47="",$D$48=""),"",IF(OR(
AND(C1247&gt;=$D$47,C1247&lt;=$D$48),
AND(C1247&gt;=$E$47,C1247&lt;=$E$48),
AND(C1247&gt;=$F$47,C1247&lt;=$F$48),
AND(C1247&gt;=$G$47,C1247&lt;=$G$48),
AND(C1247&gt;=$H$47,C1247&lt;=$H$48),
AND(C1247&gt;=$I$47,C1247&lt;=$I$48),
AND(C1247&gt;=$J$47,C1247&lt;=$J$48),
AND(C1247&gt;=$K$47,C1247&lt;=$K$48),
AND(C1247&gt;=$L$47,C1247&lt;=$L$48),
AND(C1247&gt;=$M$47,C1247&lt;=$M$48),
AND(C1247&gt;=$N$47,C1247&lt;=$N$48),
AND(C1247&gt;=$O$47,C1247&lt;=$O$48),
AND(C1247&gt;=$P$47,C1247&lt;=$P$48),
AND(C1247&gt;=$Q$47,C1247&lt;=$Q$48),
AND(C1247&gt;=$R$47,C1247&lt;=$R$48),
AND(C1247&gt;=$S$47,C1247&lt;=$S$48),
AND(C1247&gt;=$T$47,C1247&lt;=$T$48),
AND(C1247&gt;=$U$47,C1247&lt;=$U$48),
AND(C1247&gt;=$V$47,C1247&lt;=$V$48),
AND(C1247&gt;=$W$47,C1247&lt;=$W$48),
AND(C1247&gt;=$X$47,C1247&lt;=$X$48),
AND(C1247&gt;=$Y$47,C1247&lt;=$Y$48),
AND(C1247&gt;=$Z$47,C1247&lt;=$Z$48),
AND(C1247&gt;=$AA$47,C1247&lt;=$AA$48),
AND(C1247&gt;=$AB$47,C1247&lt;=$AB$48),
AND(C1247&gt;=$AC$47,C1247&lt;=$AC$48),
AND(C1247&gt;=$AD$47,C1247&lt;=$AD$48),
AND(C1247&gt;=$AE$47,C1247&lt;=$AE$48),
AND(C1247&gt;=$AF$47,C1247&lt;=$AF$48),
AND(C1247&gt;=$AG$47,C1247&lt;=$AG$48)
),"ON","OFF"))</f>
        <v/>
      </c>
      <c r="H1247" s="925"/>
      <c r="I1247" s="919"/>
      <c r="J1247" s="919"/>
      <c r="K1247" s="919"/>
      <c r="L1247" s="919"/>
      <c r="O1247" s="339"/>
      <c r="T1247" s="75"/>
      <c r="U1247" s="75"/>
      <c r="V1247" s="75"/>
      <c r="W1247" s="75"/>
      <c r="X1247" s="75"/>
      <c r="Y1247" s="340"/>
      <c r="Z1247" s="341"/>
      <c r="AA1247" s="341"/>
      <c r="AB1247" s="341"/>
      <c r="AC1247" s="340"/>
      <c r="AD1247" s="75"/>
      <c r="AE1247" s="75"/>
      <c r="AF1247" s="75"/>
      <c r="AG1247" s="344"/>
      <c r="AH1247" s="344"/>
      <c r="AI1247" s="344"/>
      <c r="AJ1247" s="97"/>
      <c r="AK1247" s="4"/>
    </row>
    <row r="1248" spans="2:37" s="113" customFormat="1" x14ac:dyDescent="0.4">
      <c r="B1248" s="80"/>
      <c r="C1248" s="563">
        <v>835</v>
      </c>
      <c r="D1248" s="907"/>
      <c r="E1248" s="906"/>
      <c r="F1248" s="921" t="str">
        <f t="shared" si="62"/>
        <v/>
      </c>
      <c r="G1248" s="882" t="str">
        <f t="shared" si="63"/>
        <v/>
      </c>
      <c r="H1248" s="925"/>
      <c r="I1248" s="919"/>
      <c r="J1248" s="919"/>
      <c r="K1248" s="919"/>
      <c r="L1248" s="919"/>
      <c r="O1248" s="339"/>
      <c r="T1248" s="75"/>
      <c r="U1248" s="75"/>
      <c r="V1248" s="75"/>
      <c r="W1248" s="75"/>
      <c r="X1248" s="75"/>
      <c r="Y1248" s="340"/>
      <c r="Z1248" s="341"/>
      <c r="AA1248" s="341"/>
      <c r="AB1248" s="341"/>
      <c r="AC1248" s="340"/>
      <c r="AD1248" s="75"/>
      <c r="AE1248" s="75"/>
      <c r="AF1248" s="75"/>
      <c r="AG1248" s="344"/>
      <c r="AH1248" s="344"/>
      <c r="AI1248" s="344"/>
      <c r="AJ1248" s="97"/>
      <c r="AK1248" s="4"/>
    </row>
    <row r="1249" spans="2:37" s="113" customFormat="1" x14ac:dyDescent="0.4">
      <c r="B1249" s="80"/>
      <c r="C1249" s="563">
        <v>836</v>
      </c>
      <c r="D1249" s="907"/>
      <c r="E1249" s="906"/>
      <c r="F1249" s="921" t="str">
        <f t="shared" si="62"/>
        <v/>
      </c>
      <c r="G1249" s="882" t="str">
        <f t="shared" si="63"/>
        <v/>
      </c>
      <c r="H1249" s="925"/>
      <c r="I1249" s="919"/>
      <c r="J1249" s="919"/>
      <c r="K1249" s="919"/>
      <c r="L1249" s="919"/>
      <c r="O1249" s="339"/>
      <c r="T1249" s="75"/>
      <c r="U1249" s="75"/>
      <c r="V1249" s="75"/>
      <c r="W1249" s="75"/>
      <c r="X1249" s="75"/>
      <c r="Y1249" s="340"/>
      <c r="Z1249" s="341"/>
      <c r="AA1249" s="341"/>
      <c r="AB1249" s="341"/>
      <c r="AC1249" s="340"/>
      <c r="AD1249" s="75"/>
      <c r="AE1249" s="75"/>
      <c r="AF1249" s="75"/>
      <c r="AG1249" s="344"/>
      <c r="AH1249" s="344"/>
      <c r="AI1249" s="344"/>
      <c r="AJ1249" s="97"/>
      <c r="AK1249" s="4"/>
    </row>
    <row r="1250" spans="2:37" s="113" customFormat="1" x14ac:dyDescent="0.4">
      <c r="B1250" s="80"/>
      <c r="C1250" s="563">
        <v>837</v>
      </c>
      <c r="D1250" s="907"/>
      <c r="E1250" s="906"/>
      <c r="F1250" s="921" t="str">
        <f t="shared" si="62"/>
        <v/>
      </c>
      <c r="G1250" s="882" t="str">
        <f t="shared" si="63"/>
        <v/>
      </c>
      <c r="H1250" s="925"/>
      <c r="I1250" s="919"/>
      <c r="J1250" s="919"/>
      <c r="K1250" s="919"/>
      <c r="L1250" s="919"/>
      <c r="O1250" s="339"/>
      <c r="T1250" s="75"/>
      <c r="U1250" s="75"/>
      <c r="V1250" s="75"/>
      <c r="W1250" s="75"/>
      <c r="X1250" s="75"/>
      <c r="Y1250" s="340"/>
      <c r="Z1250" s="341"/>
      <c r="AA1250" s="341"/>
      <c r="AB1250" s="341"/>
      <c r="AC1250" s="340"/>
      <c r="AD1250" s="75"/>
      <c r="AE1250" s="75"/>
      <c r="AF1250" s="75"/>
      <c r="AG1250" s="344"/>
      <c r="AH1250" s="344"/>
      <c r="AI1250" s="344"/>
      <c r="AJ1250" s="97"/>
      <c r="AK1250" s="4"/>
    </row>
    <row r="1251" spans="2:37" s="113" customFormat="1" x14ac:dyDescent="0.4">
      <c r="B1251" s="80"/>
      <c r="C1251" s="563">
        <v>838</v>
      </c>
      <c r="D1251" s="907"/>
      <c r="E1251" s="906"/>
      <c r="F1251" s="921" t="str">
        <f t="shared" si="62"/>
        <v/>
      </c>
      <c r="G1251" s="882" t="str">
        <f t="shared" si="63"/>
        <v/>
      </c>
      <c r="H1251" s="925"/>
      <c r="I1251" s="919"/>
      <c r="J1251" s="919"/>
      <c r="K1251" s="919"/>
      <c r="L1251" s="919"/>
      <c r="O1251" s="339"/>
      <c r="T1251" s="75"/>
      <c r="U1251" s="75"/>
      <c r="V1251" s="75"/>
      <c r="W1251" s="75"/>
      <c r="X1251" s="75"/>
      <c r="Y1251" s="340"/>
      <c r="Z1251" s="341"/>
      <c r="AA1251" s="341"/>
      <c r="AB1251" s="341"/>
      <c r="AC1251" s="340"/>
      <c r="AD1251" s="75"/>
      <c r="AE1251" s="75"/>
      <c r="AF1251" s="75"/>
      <c r="AG1251" s="344"/>
      <c r="AH1251" s="344"/>
      <c r="AI1251" s="344"/>
      <c r="AJ1251" s="97"/>
      <c r="AK1251" s="4"/>
    </row>
    <row r="1252" spans="2:37" s="113" customFormat="1" x14ac:dyDescent="0.4">
      <c r="B1252" s="80"/>
      <c r="C1252" s="563">
        <v>839</v>
      </c>
      <c r="D1252" s="907"/>
      <c r="E1252" s="906"/>
      <c r="F1252" s="921" t="str">
        <f t="shared" si="62"/>
        <v/>
      </c>
      <c r="G1252" s="882" t="str">
        <f t="shared" si="63"/>
        <v/>
      </c>
      <c r="H1252" s="925"/>
      <c r="I1252" s="919"/>
      <c r="J1252" s="919"/>
      <c r="K1252" s="919"/>
      <c r="L1252" s="919"/>
      <c r="O1252" s="339"/>
      <c r="T1252" s="75"/>
      <c r="U1252" s="75"/>
      <c r="V1252" s="75"/>
      <c r="W1252" s="75"/>
      <c r="X1252" s="75"/>
      <c r="Y1252" s="340"/>
      <c r="Z1252" s="341"/>
      <c r="AA1252" s="341"/>
      <c r="AB1252" s="341"/>
      <c r="AC1252" s="340"/>
      <c r="AD1252" s="75"/>
      <c r="AE1252" s="75"/>
      <c r="AF1252" s="75"/>
      <c r="AG1252" s="344"/>
      <c r="AH1252" s="344"/>
      <c r="AI1252" s="344"/>
      <c r="AJ1252" s="97"/>
      <c r="AK1252" s="4"/>
    </row>
    <row r="1253" spans="2:37" s="113" customFormat="1" x14ac:dyDescent="0.4">
      <c r="B1253" s="80"/>
      <c r="C1253" s="563">
        <v>840</v>
      </c>
      <c r="D1253" s="907"/>
      <c r="E1253" s="906"/>
      <c r="F1253" s="921" t="str">
        <f t="shared" si="62"/>
        <v/>
      </c>
      <c r="G1253" s="882" t="str">
        <f t="shared" si="63"/>
        <v/>
      </c>
      <c r="H1253" s="925"/>
      <c r="I1253" s="919"/>
      <c r="J1253" s="919"/>
      <c r="K1253" s="919"/>
      <c r="L1253" s="919"/>
      <c r="O1253" s="339"/>
      <c r="T1253" s="75"/>
      <c r="U1253" s="75"/>
      <c r="V1253" s="75"/>
      <c r="W1253" s="75"/>
      <c r="X1253" s="75"/>
      <c r="Y1253" s="340"/>
      <c r="Z1253" s="341"/>
      <c r="AA1253" s="341"/>
      <c r="AB1253" s="341"/>
      <c r="AC1253" s="340"/>
      <c r="AD1253" s="75"/>
      <c r="AE1253" s="75"/>
      <c r="AF1253" s="75"/>
      <c r="AG1253" s="344"/>
      <c r="AH1253" s="344"/>
      <c r="AI1253" s="344"/>
      <c r="AJ1253" s="97"/>
      <c r="AK1253" s="4"/>
    </row>
    <row r="1254" spans="2:37" s="113" customFormat="1" x14ac:dyDescent="0.4">
      <c r="B1254" s="80"/>
      <c r="C1254" s="563">
        <v>841</v>
      </c>
      <c r="D1254" s="907"/>
      <c r="E1254" s="906"/>
      <c r="F1254" s="921" t="str">
        <f t="shared" si="62"/>
        <v/>
      </c>
      <c r="G1254" s="882" t="str">
        <f t="shared" si="63"/>
        <v/>
      </c>
      <c r="H1254" s="925"/>
      <c r="I1254" s="919"/>
      <c r="J1254" s="919"/>
      <c r="K1254" s="919"/>
      <c r="L1254" s="919"/>
      <c r="O1254" s="339"/>
      <c r="T1254" s="75"/>
      <c r="U1254" s="75"/>
      <c r="V1254" s="75"/>
      <c r="W1254" s="75"/>
      <c r="X1254" s="75"/>
      <c r="Y1254" s="340"/>
      <c r="Z1254" s="341"/>
      <c r="AA1254" s="341"/>
      <c r="AB1254" s="341"/>
      <c r="AC1254" s="340"/>
      <c r="AD1254" s="75"/>
      <c r="AE1254" s="75"/>
      <c r="AF1254" s="75"/>
      <c r="AG1254" s="344"/>
      <c r="AH1254" s="344"/>
      <c r="AI1254" s="344"/>
      <c r="AJ1254" s="97"/>
      <c r="AK1254" s="4"/>
    </row>
    <row r="1255" spans="2:37" s="113" customFormat="1" x14ac:dyDescent="0.4">
      <c r="B1255" s="80"/>
      <c r="C1255" s="563">
        <v>842</v>
      </c>
      <c r="D1255" s="907"/>
      <c r="E1255" s="906"/>
      <c r="F1255" s="921" t="str">
        <f t="shared" si="62"/>
        <v/>
      </c>
      <c r="G1255" s="882" t="str">
        <f t="shared" si="63"/>
        <v/>
      </c>
      <c r="H1255" s="925"/>
      <c r="I1255" s="919"/>
      <c r="J1255" s="919"/>
      <c r="K1255" s="919"/>
      <c r="L1255" s="919"/>
      <c r="O1255" s="339"/>
      <c r="T1255" s="75"/>
      <c r="U1255" s="75"/>
      <c r="V1255" s="75"/>
      <c r="W1255" s="75"/>
      <c r="X1255" s="75"/>
      <c r="Y1255" s="340"/>
      <c r="Z1255" s="341"/>
      <c r="AA1255" s="341"/>
      <c r="AB1255" s="341"/>
      <c r="AC1255" s="340"/>
      <c r="AD1255" s="75"/>
      <c r="AE1255" s="75"/>
      <c r="AF1255" s="75"/>
      <c r="AG1255" s="344"/>
      <c r="AH1255" s="344"/>
      <c r="AI1255" s="344"/>
      <c r="AJ1255" s="97"/>
      <c r="AK1255" s="4"/>
    </row>
    <row r="1256" spans="2:37" s="113" customFormat="1" x14ac:dyDescent="0.4">
      <c r="B1256" s="80"/>
      <c r="C1256" s="563">
        <v>843</v>
      </c>
      <c r="D1256" s="907"/>
      <c r="E1256" s="906"/>
      <c r="F1256" s="921" t="str">
        <f t="shared" si="62"/>
        <v/>
      </c>
      <c r="G1256" s="882" t="str">
        <f t="shared" si="63"/>
        <v/>
      </c>
      <c r="H1256" s="925"/>
      <c r="I1256" s="919"/>
      <c r="J1256" s="919"/>
      <c r="K1256" s="919"/>
      <c r="L1256" s="919"/>
      <c r="O1256" s="339"/>
      <c r="T1256" s="75"/>
      <c r="U1256" s="75"/>
      <c r="V1256" s="75"/>
      <c r="W1256" s="75"/>
      <c r="X1256" s="75"/>
      <c r="Y1256" s="340"/>
      <c r="Z1256" s="341"/>
      <c r="AA1256" s="341"/>
      <c r="AB1256" s="341"/>
      <c r="AC1256" s="340"/>
      <c r="AD1256" s="75"/>
      <c r="AE1256" s="75"/>
      <c r="AF1256" s="75"/>
      <c r="AG1256" s="344"/>
      <c r="AH1256" s="344"/>
      <c r="AI1256" s="344"/>
      <c r="AJ1256" s="97"/>
      <c r="AK1256" s="4"/>
    </row>
    <row r="1257" spans="2:37" s="113" customFormat="1" x14ac:dyDescent="0.4">
      <c r="B1257" s="80"/>
      <c r="C1257" s="563">
        <v>844</v>
      </c>
      <c r="D1257" s="907"/>
      <c r="E1257" s="906"/>
      <c r="F1257" s="921" t="str">
        <f t="shared" si="62"/>
        <v/>
      </c>
      <c r="G1257" s="882" t="str">
        <f t="shared" si="63"/>
        <v/>
      </c>
      <c r="H1257" s="925"/>
      <c r="I1257" s="919"/>
      <c r="J1257" s="919"/>
      <c r="K1257" s="919"/>
      <c r="L1257" s="919"/>
      <c r="O1257" s="339"/>
      <c r="T1257" s="75"/>
      <c r="U1257" s="75"/>
      <c r="V1257" s="75"/>
      <c r="W1257" s="75"/>
      <c r="X1257" s="75"/>
      <c r="Y1257" s="340"/>
      <c r="Z1257" s="341"/>
      <c r="AA1257" s="341"/>
      <c r="AB1257" s="341"/>
      <c r="AC1257" s="340"/>
      <c r="AD1257" s="75"/>
      <c r="AE1257" s="75"/>
      <c r="AF1257" s="75"/>
      <c r="AG1257" s="344"/>
      <c r="AH1257" s="344"/>
      <c r="AI1257" s="344"/>
      <c r="AJ1257" s="97"/>
      <c r="AK1257" s="4"/>
    </row>
    <row r="1258" spans="2:37" s="113" customFormat="1" x14ac:dyDescent="0.4">
      <c r="B1258" s="80"/>
      <c r="C1258" s="563">
        <v>845</v>
      </c>
      <c r="D1258" s="907"/>
      <c r="E1258" s="906"/>
      <c r="F1258" s="921" t="str">
        <f t="shared" si="62"/>
        <v/>
      </c>
      <c r="G1258" s="882" t="str">
        <f t="shared" si="63"/>
        <v/>
      </c>
      <c r="H1258" s="925"/>
      <c r="I1258" s="919"/>
      <c r="J1258" s="919"/>
      <c r="K1258" s="919"/>
      <c r="L1258" s="919"/>
      <c r="O1258" s="339"/>
      <c r="T1258" s="75"/>
      <c r="U1258" s="75"/>
      <c r="V1258" s="75"/>
      <c r="W1258" s="75"/>
      <c r="X1258" s="75"/>
      <c r="Y1258" s="340"/>
      <c r="Z1258" s="341"/>
      <c r="AA1258" s="341"/>
      <c r="AB1258" s="341"/>
      <c r="AC1258" s="340"/>
      <c r="AD1258" s="75"/>
      <c r="AE1258" s="75"/>
      <c r="AF1258" s="75"/>
      <c r="AG1258" s="344"/>
      <c r="AH1258" s="344"/>
      <c r="AI1258" s="344"/>
      <c r="AJ1258" s="97"/>
      <c r="AK1258" s="4"/>
    </row>
    <row r="1259" spans="2:37" s="113" customFormat="1" x14ac:dyDescent="0.4">
      <c r="B1259" s="80"/>
      <c r="C1259" s="563">
        <v>846</v>
      </c>
      <c r="D1259" s="907"/>
      <c r="E1259" s="906"/>
      <c r="F1259" s="921" t="str">
        <f t="shared" si="62"/>
        <v/>
      </c>
      <c r="G1259" s="882" t="str">
        <f t="shared" si="63"/>
        <v/>
      </c>
      <c r="H1259" s="925"/>
      <c r="I1259" s="919"/>
      <c r="J1259" s="919"/>
      <c r="K1259" s="919"/>
      <c r="L1259" s="919"/>
      <c r="O1259" s="339"/>
      <c r="T1259" s="75"/>
      <c r="U1259" s="75"/>
      <c r="V1259" s="75"/>
      <c r="W1259" s="75"/>
      <c r="X1259" s="75"/>
      <c r="Y1259" s="340"/>
      <c r="Z1259" s="341"/>
      <c r="AA1259" s="341"/>
      <c r="AB1259" s="341"/>
      <c r="AC1259" s="340"/>
      <c r="AD1259" s="75"/>
      <c r="AE1259" s="75"/>
      <c r="AF1259" s="75"/>
      <c r="AG1259" s="344"/>
      <c r="AH1259" s="344"/>
      <c r="AI1259" s="344"/>
      <c r="AJ1259" s="97"/>
      <c r="AK1259" s="4"/>
    </row>
    <row r="1260" spans="2:37" s="113" customFormat="1" x14ac:dyDescent="0.4">
      <c r="B1260" s="80"/>
      <c r="C1260" s="563">
        <v>847</v>
      </c>
      <c r="D1260" s="907"/>
      <c r="E1260" s="906"/>
      <c r="F1260" s="921" t="str">
        <f t="shared" si="62"/>
        <v/>
      </c>
      <c r="G1260" s="882" t="str">
        <f t="shared" si="63"/>
        <v/>
      </c>
      <c r="H1260" s="925"/>
      <c r="I1260" s="919"/>
      <c r="J1260" s="919"/>
      <c r="K1260" s="919"/>
      <c r="L1260" s="919"/>
      <c r="O1260" s="339"/>
      <c r="T1260" s="75"/>
      <c r="U1260" s="75"/>
      <c r="V1260" s="75"/>
      <c r="W1260" s="75"/>
      <c r="X1260" s="75"/>
      <c r="Y1260" s="340"/>
      <c r="Z1260" s="341"/>
      <c r="AA1260" s="341"/>
      <c r="AB1260" s="341"/>
      <c r="AC1260" s="340"/>
      <c r="AD1260" s="75"/>
      <c r="AE1260" s="75"/>
      <c r="AF1260" s="75"/>
      <c r="AG1260" s="344"/>
      <c r="AH1260" s="344"/>
      <c r="AI1260" s="344"/>
      <c r="AJ1260" s="97"/>
      <c r="AK1260" s="4"/>
    </row>
    <row r="1261" spans="2:37" s="113" customFormat="1" x14ac:dyDescent="0.4">
      <c r="B1261" s="80"/>
      <c r="C1261" s="563">
        <v>848</v>
      </c>
      <c r="D1261" s="907"/>
      <c r="E1261" s="906"/>
      <c r="F1261" s="921" t="str">
        <f t="shared" si="62"/>
        <v/>
      </c>
      <c r="G1261" s="882" t="str">
        <f t="shared" si="63"/>
        <v/>
      </c>
      <c r="H1261" s="925"/>
      <c r="I1261" s="919"/>
      <c r="J1261" s="919"/>
      <c r="K1261" s="919"/>
      <c r="L1261" s="919"/>
      <c r="O1261" s="339"/>
      <c r="T1261" s="75"/>
      <c r="U1261" s="75"/>
      <c r="V1261" s="75"/>
      <c r="W1261" s="75"/>
      <c r="X1261" s="75"/>
      <c r="Y1261" s="340"/>
      <c r="Z1261" s="341"/>
      <c r="AA1261" s="341"/>
      <c r="AB1261" s="341"/>
      <c r="AC1261" s="340"/>
      <c r="AD1261" s="75"/>
      <c r="AE1261" s="75"/>
      <c r="AF1261" s="75"/>
      <c r="AG1261" s="344"/>
      <c r="AH1261" s="344"/>
      <c r="AI1261" s="344"/>
      <c r="AJ1261" s="97"/>
      <c r="AK1261" s="4"/>
    </row>
    <row r="1262" spans="2:37" s="113" customFormat="1" x14ac:dyDescent="0.4">
      <c r="B1262" s="80"/>
      <c r="C1262" s="563">
        <v>849</v>
      </c>
      <c r="D1262" s="907"/>
      <c r="E1262" s="906"/>
      <c r="F1262" s="921" t="str">
        <f t="shared" si="62"/>
        <v/>
      </c>
      <c r="G1262" s="882" t="str">
        <f t="shared" si="63"/>
        <v/>
      </c>
      <c r="H1262" s="925"/>
      <c r="I1262" s="919"/>
      <c r="J1262" s="919"/>
      <c r="K1262" s="919"/>
      <c r="L1262" s="919"/>
      <c r="O1262" s="339"/>
      <c r="T1262" s="75"/>
      <c r="U1262" s="75"/>
      <c r="V1262" s="75"/>
      <c r="W1262" s="75"/>
      <c r="X1262" s="75"/>
      <c r="Y1262" s="340"/>
      <c r="Z1262" s="341"/>
      <c r="AA1262" s="341"/>
      <c r="AB1262" s="341"/>
      <c r="AC1262" s="340"/>
      <c r="AD1262" s="75"/>
      <c r="AE1262" s="75"/>
      <c r="AF1262" s="75"/>
      <c r="AG1262" s="344"/>
      <c r="AH1262" s="344"/>
      <c r="AI1262" s="344"/>
      <c r="AJ1262" s="97"/>
      <c r="AK1262" s="4"/>
    </row>
    <row r="1263" spans="2:37" s="113" customFormat="1" x14ac:dyDescent="0.4">
      <c r="B1263" s="80"/>
      <c r="C1263" s="563">
        <v>850</v>
      </c>
      <c r="D1263" s="907"/>
      <c r="E1263" s="906"/>
      <c r="F1263" s="921" t="str">
        <f t="shared" si="62"/>
        <v/>
      </c>
      <c r="G1263" s="882" t="str">
        <f t="shared" si="63"/>
        <v/>
      </c>
      <c r="H1263" s="925"/>
      <c r="I1263" s="919"/>
      <c r="J1263" s="919"/>
      <c r="K1263" s="919"/>
      <c r="L1263" s="919"/>
      <c r="O1263" s="339"/>
      <c r="T1263" s="75"/>
      <c r="U1263" s="75"/>
      <c r="V1263" s="75"/>
      <c r="W1263" s="75"/>
      <c r="X1263" s="75"/>
      <c r="Y1263" s="340"/>
      <c r="Z1263" s="341"/>
      <c r="AA1263" s="341"/>
      <c r="AB1263" s="341"/>
      <c r="AC1263" s="340"/>
      <c r="AD1263" s="75"/>
      <c r="AE1263" s="75"/>
      <c r="AF1263" s="75"/>
      <c r="AG1263" s="344"/>
      <c r="AH1263" s="344"/>
      <c r="AI1263" s="344"/>
      <c r="AJ1263" s="97"/>
      <c r="AK1263" s="4"/>
    </row>
    <row r="1264" spans="2:37" s="113" customFormat="1" x14ac:dyDescent="0.4">
      <c r="B1264" s="80"/>
      <c r="C1264" s="563">
        <v>851</v>
      </c>
      <c r="D1264" s="907"/>
      <c r="E1264" s="906"/>
      <c r="F1264" s="921" t="str">
        <f t="shared" si="62"/>
        <v/>
      </c>
      <c r="G1264" s="882" t="str">
        <f t="shared" si="63"/>
        <v/>
      </c>
      <c r="H1264" s="925"/>
      <c r="I1264" s="919"/>
      <c r="J1264" s="919"/>
      <c r="K1264" s="919"/>
      <c r="L1264" s="919"/>
      <c r="O1264" s="339"/>
      <c r="T1264" s="75"/>
      <c r="U1264" s="75"/>
      <c r="V1264" s="75"/>
      <c r="W1264" s="75"/>
      <c r="X1264" s="75"/>
      <c r="Y1264" s="340"/>
      <c r="Z1264" s="341"/>
      <c r="AA1264" s="341"/>
      <c r="AB1264" s="341"/>
      <c r="AC1264" s="340"/>
      <c r="AD1264" s="75"/>
      <c r="AE1264" s="75"/>
      <c r="AF1264" s="75"/>
      <c r="AG1264" s="344"/>
      <c r="AH1264" s="344"/>
      <c r="AI1264" s="344"/>
      <c r="AJ1264" s="97"/>
      <c r="AK1264" s="4"/>
    </row>
    <row r="1265" spans="2:37" s="113" customFormat="1" x14ac:dyDescent="0.4">
      <c r="B1265" s="80"/>
      <c r="C1265" s="563">
        <v>852</v>
      </c>
      <c r="D1265" s="907"/>
      <c r="E1265" s="906"/>
      <c r="F1265" s="921" t="str">
        <f t="shared" si="62"/>
        <v/>
      </c>
      <c r="G1265" s="882" t="str">
        <f t="shared" si="63"/>
        <v/>
      </c>
      <c r="H1265" s="925"/>
      <c r="I1265" s="919"/>
      <c r="J1265" s="919"/>
      <c r="K1265" s="919"/>
      <c r="L1265" s="919"/>
      <c r="O1265" s="339"/>
      <c r="T1265" s="75"/>
      <c r="U1265" s="75"/>
      <c r="V1265" s="75"/>
      <c r="W1265" s="75"/>
      <c r="X1265" s="75"/>
      <c r="Y1265" s="340"/>
      <c r="Z1265" s="341"/>
      <c r="AA1265" s="341"/>
      <c r="AB1265" s="341"/>
      <c r="AC1265" s="340"/>
      <c r="AD1265" s="75"/>
      <c r="AE1265" s="75"/>
      <c r="AF1265" s="75"/>
      <c r="AG1265" s="344"/>
      <c r="AH1265" s="344"/>
      <c r="AI1265" s="344"/>
      <c r="AJ1265" s="97"/>
      <c r="AK1265" s="4"/>
    </row>
    <row r="1266" spans="2:37" s="113" customFormat="1" x14ac:dyDescent="0.4">
      <c r="B1266" s="80"/>
      <c r="C1266" s="563">
        <v>853</v>
      </c>
      <c r="D1266" s="907"/>
      <c r="E1266" s="906"/>
      <c r="F1266" s="921" t="str">
        <f t="shared" si="62"/>
        <v/>
      </c>
      <c r="G1266" s="882" t="str">
        <f t="shared" si="63"/>
        <v/>
      </c>
      <c r="H1266" s="925"/>
      <c r="I1266" s="919"/>
      <c r="J1266" s="919"/>
      <c r="K1266" s="919"/>
      <c r="L1266" s="919"/>
      <c r="O1266" s="339"/>
      <c r="T1266" s="75"/>
      <c r="U1266" s="75"/>
      <c r="V1266" s="75"/>
      <c r="W1266" s="75"/>
      <c r="X1266" s="75"/>
      <c r="Y1266" s="340"/>
      <c r="Z1266" s="341"/>
      <c r="AA1266" s="341"/>
      <c r="AB1266" s="341"/>
      <c r="AC1266" s="340"/>
      <c r="AD1266" s="75"/>
      <c r="AE1266" s="75"/>
      <c r="AF1266" s="75"/>
      <c r="AG1266" s="344"/>
      <c r="AH1266" s="344"/>
      <c r="AI1266" s="344"/>
      <c r="AJ1266" s="97"/>
      <c r="AK1266" s="4"/>
    </row>
    <row r="1267" spans="2:37" s="113" customFormat="1" x14ac:dyDescent="0.4">
      <c r="B1267" s="80"/>
      <c r="C1267" s="563">
        <v>854</v>
      </c>
      <c r="D1267" s="907"/>
      <c r="E1267" s="906"/>
      <c r="F1267" s="921" t="str">
        <f t="shared" si="62"/>
        <v/>
      </c>
      <c r="G1267" s="882" t="str">
        <f t="shared" si="63"/>
        <v/>
      </c>
      <c r="H1267" s="925"/>
      <c r="I1267" s="919"/>
      <c r="J1267" s="919"/>
      <c r="K1267" s="919"/>
      <c r="L1267" s="919"/>
      <c r="O1267" s="339"/>
      <c r="T1267" s="75"/>
      <c r="U1267" s="75"/>
      <c r="V1267" s="75"/>
      <c r="W1267" s="75"/>
      <c r="X1267" s="75"/>
      <c r="Y1267" s="340"/>
      <c r="Z1267" s="341"/>
      <c r="AA1267" s="341"/>
      <c r="AB1267" s="341"/>
      <c r="AC1267" s="340"/>
      <c r="AD1267" s="75"/>
      <c r="AE1267" s="75"/>
      <c r="AF1267" s="75"/>
      <c r="AG1267" s="344"/>
      <c r="AH1267" s="344"/>
      <c r="AI1267" s="344"/>
      <c r="AJ1267" s="97"/>
      <c r="AK1267" s="4"/>
    </row>
    <row r="1268" spans="2:37" s="113" customFormat="1" x14ac:dyDescent="0.4">
      <c r="B1268" s="80"/>
      <c r="C1268" s="563">
        <v>855</v>
      </c>
      <c r="D1268" s="907"/>
      <c r="E1268" s="906"/>
      <c r="F1268" s="921" t="str">
        <f t="shared" si="62"/>
        <v/>
      </c>
      <c r="G1268" s="882" t="str">
        <f t="shared" si="63"/>
        <v/>
      </c>
      <c r="H1268" s="925"/>
      <c r="I1268" s="919"/>
      <c r="J1268" s="919"/>
      <c r="K1268" s="919"/>
      <c r="L1268" s="919"/>
      <c r="O1268" s="339"/>
      <c r="T1268" s="75"/>
      <c r="U1268" s="75"/>
      <c r="V1268" s="75"/>
      <c r="W1268" s="75"/>
      <c r="X1268" s="75"/>
      <c r="Y1268" s="340"/>
      <c r="Z1268" s="341"/>
      <c r="AA1268" s="341"/>
      <c r="AB1268" s="341"/>
      <c r="AC1268" s="340"/>
      <c r="AD1268" s="75"/>
      <c r="AE1268" s="75"/>
      <c r="AF1268" s="75"/>
      <c r="AG1268" s="344"/>
      <c r="AH1268" s="344"/>
      <c r="AI1268" s="344"/>
      <c r="AJ1268" s="97"/>
      <c r="AK1268" s="4"/>
    </row>
    <row r="1269" spans="2:37" s="113" customFormat="1" x14ac:dyDescent="0.4">
      <c r="B1269" s="80"/>
      <c r="C1269" s="563">
        <v>856</v>
      </c>
      <c r="D1269" s="907"/>
      <c r="E1269" s="906"/>
      <c r="F1269" s="921" t="str">
        <f t="shared" si="62"/>
        <v/>
      </c>
      <c r="G1269" s="882" t="str">
        <f t="shared" si="63"/>
        <v/>
      </c>
      <c r="H1269" s="925"/>
      <c r="I1269" s="919"/>
      <c r="J1269" s="919"/>
      <c r="K1269" s="919"/>
      <c r="L1269" s="919"/>
      <c r="O1269" s="339"/>
      <c r="T1269" s="75"/>
      <c r="U1269" s="75"/>
      <c r="V1269" s="75"/>
      <c r="W1269" s="75"/>
      <c r="X1269" s="75"/>
      <c r="Y1269" s="340"/>
      <c r="Z1269" s="341"/>
      <c r="AA1269" s="341"/>
      <c r="AB1269" s="341"/>
      <c r="AC1269" s="340"/>
      <c r="AD1269" s="75"/>
      <c r="AE1269" s="75"/>
      <c r="AF1269" s="75"/>
      <c r="AG1269" s="344"/>
      <c r="AH1269" s="344"/>
      <c r="AI1269" s="344"/>
      <c r="AJ1269" s="97"/>
      <c r="AK1269" s="4"/>
    </row>
    <row r="1270" spans="2:37" s="113" customFormat="1" x14ac:dyDescent="0.4">
      <c r="B1270" s="80"/>
      <c r="C1270" s="563">
        <v>857</v>
      </c>
      <c r="D1270" s="907"/>
      <c r="E1270" s="906"/>
      <c r="F1270" s="921" t="str">
        <f t="shared" si="62"/>
        <v/>
      </c>
      <c r="G1270" s="882" t="str">
        <f t="shared" si="63"/>
        <v/>
      </c>
      <c r="H1270" s="925"/>
      <c r="I1270" s="919"/>
      <c r="J1270" s="919"/>
      <c r="K1270" s="919"/>
      <c r="L1270" s="919"/>
      <c r="O1270" s="339"/>
      <c r="T1270" s="75"/>
      <c r="U1270" s="75"/>
      <c r="V1270" s="75"/>
      <c r="W1270" s="75"/>
      <c r="X1270" s="75"/>
      <c r="Y1270" s="340"/>
      <c r="Z1270" s="341"/>
      <c r="AA1270" s="341"/>
      <c r="AB1270" s="341"/>
      <c r="AC1270" s="340"/>
      <c r="AD1270" s="75"/>
      <c r="AE1270" s="75"/>
      <c r="AF1270" s="75"/>
      <c r="AG1270" s="344"/>
      <c r="AH1270" s="344"/>
      <c r="AI1270" s="344"/>
      <c r="AJ1270" s="97"/>
      <c r="AK1270" s="4"/>
    </row>
    <row r="1271" spans="2:37" s="113" customFormat="1" x14ac:dyDescent="0.4">
      <c r="B1271" s="80"/>
      <c r="C1271" s="563">
        <v>858</v>
      </c>
      <c r="D1271" s="907"/>
      <c r="E1271" s="906"/>
      <c r="F1271" s="921" t="str">
        <f t="shared" si="62"/>
        <v/>
      </c>
      <c r="G1271" s="882" t="str">
        <f t="shared" si="63"/>
        <v/>
      </c>
      <c r="H1271" s="925"/>
      <c r="I1271" s="919"/>
      <c r="J1271" s="919"/>
      <c r="K1271" s="919"/>
      <c r="L1271" s="919"/>
      <c r="O1271" s="339"/>
      <c r="T1271" s="75"/>
      <c r="U1271" s="75"/>
      <c r="V1271" s="75"/>
      <c r="W1271" s="75"/>
      <c r="X1271" s="75"/>
      <c r="Y1271" s="340"/>
      <c r="Z1271" s="341"/>
      <c r="AA1271" s="341"/>
      <c r="AB1271" s="341"/>
      <c r="AC1271" s="340"/>
      <c r="AD1271" s="75"/>
      <c r="AE1271" s="75"/>
      <c r="AF1271" s="75"/>
      <c r="AG1271" s="344"/>
      <c r="AH1271" s="344"/>
      <c r="AI1271" s="344"/>
      <c r="AJ1271" s="97"/>
      <c r="AK1271" s="4"/>
    </row>
    <row r="1272" spans="2:37" s="113" customFormat="1" x14ac:dyDescent="0.4">
      <c r="B1272" s="80"/>
      <c r="C1272" s="563">
        <v>859</v>
      </c>
      <c r="D1272" s="907"/>
      <c r="E1272" s="906"/>
      <c r="F1272" s="921" t="str">
        <f t="shared" si="62"/>
        <v/>
      </c>
      <c r="G1272" s="882" t="str">
        <f t="shared" si="63"/>
        <v/>
      </c>
      <c r="H1272" s="925"/>
      <c r="I1272" s="919"/>
      <c r="J1272" s="919"/>
      <c r="K1272" s="919"/>
      <c r="L1272" s="919"/>
      <c r="O1272" s="339"/>
      <c r="T1272" s="75"/>
      <c r="U1272" s="75"/>
      <c r="V1272" s="75"/>
      <c r="W1272" s="75"/>
      <c r="X1272" s="75"/>
      <c r="Y1272" s="340"/>
      <c r="Z1272" s="341"/>
      <c r="AA1272" s="341"/>
      <c r="AB1272" s="341"/>
      <c r="AC1272" s="340"/>
      <c r="AD1272" s="75"/>
      <c r="AE1272" s="75"/>
      <c r="AF1272" s="75"/>
      <c r="AG1272" s="344"/>
      <c r="AH1272" s="344"/>
      <c r="AI1272" s="344"/>
      <c r="AJ1272" s="97"/>
      <c r="AK1272" s="4"/>
    </row>
    <row r="1273" spans="2:37" s="113" customFormat="1" x14ac:dyDescent="0.4">
      <c r="B1273" s="80"/>
      <c r="C1273" s="563">
        <v>860</v>
      </c>
      <c r="D1273" s="907"/>
      <c r="E1273" s="906"/>
      <c r="F1273" s="921" t="str">
        <f t="shared" si="62"/>
        <v/>
      </c>
      <c r="G1273" s="882" t="str">
        <f t="shared" si="63"/>
        <v/>
      </c>
      <c r="H1273" s="925"/>
      <c r="I1273" s="919"/>
      <c r="J1273" s="919"/>
      <c r="K1273" s="919"/>
      <c r="L1273" s="919"/>
      <c r="O1273" s="339"/>
      <c r="T1273" s="75"/>
      <c r="U1273" s="75"/>
      <c r="V1273" s="75"/>
      <c r="W1273" s="75"/>
      <c r="X1273" s="75"/>
      <c r="Y1273" s="340"/>
      <c r="Z1273" s="341"/>
      <c r="AA1273" s="341"/>
      <c r="AB1273" s="341"/>
      <c r="AC1273" s="340"/>
      <c r="AD1273" s="75"/>
      <c r="AE1273" s="75"/>
      <c r="AF1273" s="75"/>
      <c r="AG1273" s="344"/>
      <c r="AH1273" s="344"/>
      <c r="AI1273" s="344"/>
      <c r="AJ1273" s="97"/>
      <c r="AK1273" s="4"/>
    </row>
    <row r="1274" spans="2:37" s="113" customFormat="1" x14ac:dyDescent="0.4">
      <c r="B1274" s="80"/>
      <c r="C1274" s="563">
        <v>861</v>
      </c>
      <c r="D1274" s="907"/>
      <c r="E1274" s="906"/>
      <c r="F1274" s="921" t="str">
        <f t="shared" si="62"/>
        <v/>
      </c>
      <c r="G1274" s="882" t="str">
        <f t="shared" si="63"/>
        <v/>
      </c>
      <c r="H1274" s="925"/>
      <c r="I1274" s="919"/>
      <c r="J1274" s="919"/>
      <c r="K1274" s="919"/>
      <c r="L1274" s="919"/>
      <c r="O1274" s="339"/>
      <c r="T1274" s="75"/>
      <c r="U1274" s="75"/>
      <c r="V1274" s="75"/>
      <c r="W1274" s="75"/>
      <c r="X1274" s="75"/>
      <c r="Y1274" s="340"/>
      <c r="Z1274" s="341"/>
      <c r="AA1274" s="341"/>
      <c r="AB1274" s="341"/>
      <c r="AC1274" s="340"/>
      <c r="AD1274" s="75"/>
      <c r="AE1274" s="75"/>
      <c r="AF1274" s="75"/>
      <c r="AG1274" s="344"/>
      <c r="AH1274" s="344"/>
      <c r="AI1274" s="344"/>
      <c r="AJ1274" s="97"/>
      <c r="AK1274" s="4"/>
    </row>
    <row r="1275" spans="2:37" s="113" customFormat="1" x14ac:dyDescent="0.4">
      <c r="B1275" s="80"/>
      <c r="C1275" s="563">
        <v>862</v>
      </c>
      <c r="D1275" s="907"/>
      <c r="E1275" s="906"/>
      <c r="F1275" s="921" t="str">
        <f t="shared" si="62"/>
        <v/>
      </c>
      <c r="G1275" s="882" t="str">
        <f t="shared" si="63"/>
        <v/>
      </c>
      <c r="H1275" s="925"/>
      <c r="I1275" s="919"/>
      <c r="J1275" s="919"/>
      <c r="K1275" s="919"/>
      <c r="L1275" s="919"/>
      <c r="O1275" s="339"/>
      <c r="T1275" s="75"/>
      <c r="U1275" s="75"/>
      <c r="V1275" s="75"/>
      <c r="W1275" s="75"/>
      <c r="X1275" s="75"/>
      <c r="Y1275" s="340"/>
      <c r="Z1275" s="341"/>
      <c r="AA1275" s="341"/>
      <c r="AB1275" s="341"/>
      <c r="AC1275" s="340"/>
      <c r="AD1275" s="75"/>
      <c r="AE1275" s="75"/>
      <c r="AF1275" s="75"/>
      <c r="AG1275" s="344"/>
      <c r="AH1275" s="344"/>
      <c r="AI1275" s="344"/>
      <c r="AJ1275" s="97"/>
      <c r="AK1275" s="4"/>
    </row>
    <row r="1276" spans="2:37" s="113" customFormat="1" x14ac:dyDescent="0.4">
      <c r="B1276" s="80"/>
      <c r="C1276" s="563">
        <v>863</v>
      </c>
      <c r="D1276" s="907"/>
      <c r="E1276" s="906"/>
      <c r="F1276" s="921" t="str">
        <f t="shared" si="62"/>
        <v/>
      </c>
      <c r="G1276" s="882" t="str">
        <f t="shared" si="63"/>
        <v/>
      </c>
      <c r="H1276" s="925"/>
      <c r="I1276" s="919"/>
      <c r="J1276" s="919"/>
      <c r="K1276" s="919"/>
      <c r="L1276" s="919"/>
      <c r="O1276" s="339"/>
      <c r="T1276" s="75"/>
      <c r="U1276" s="75"/>
      <c r="V1276" s="75"/>
      <c r="W1276" s="75"/>
      <c r="X1276" s="75"/>
      <c r="Y1276" s="340"/>
      <c r="Z1276" s="341"/>
      <c r="AA1276" s="341"/>
      <c r="AB1276" s="341"/>
      <c r="AC1276" s="340"/>
      <c r="AD1276" s="75"/>
      <c r="AE1276" s="75"/>
      <c r="AF1276" s="75"/>
      <c r="AG1276" s="344"/>
      <c r="AH1276" s="344"/>
      <c r="AI1276" s="344"/>
      <c r="AJ1276" s="97"/>
      <c r="AK1276" s="4"/>
    </row>
    <row r="1277" spans="2:37" s="113" customFormat="1" x14ac:dyDescent="0.4">
      <c r="B1277" s="80"/>
      <c r="C1277" s="563">
        <v>864</v>
      </c>
      <c r="D1277" s="907"/>
      <c r="E1277" s="906"/>
      <c r="F1277" s="921" t="str">
        <f t="shared" si="62"/>
        <v/>
      </c>
      <c r="G1277" s="882" t="str">
        <f t="shared" si="63"/>
        <v/>
      </c>
      <c r="H1277" s="925"/>
      <c r="I1277" s="919"/>
      <c r="J1277" s="919"/>
      <c r="K1277" s="919"/>
      <c r="L1277" s="919"/>
      <c r="O1277" s="339"/>
      <c r="T1277" s="75"/>
      <c r="U1277" s="75"/>
      <c r="V1277" s="75"/>
      <c r="W1277" s="75"/>
      <c r="X1277" s="75"/>
      <c r="Y1277" s="340"/>
      <c r="Z1277" s="341"/>
      <c r="AA1277" s="341"/>
      <c r="AB1277" s="341"/>
      <c r="AC1277" s="340"/>
      <c r="AD1277" s="75"/>
      <c r="AE1277" s="75"/>
      <c r="AF1277" s="75"/>
      <c r="AG1277" s="344"/>
      <c r="AH1277" s="344"/>
      <c r="AI1277" s="344"/>
      <c r="AJ1277" s="97"/>
      <c r="AK1277" s="4"/>
    </row>
    <row r="1278" spans="2:37" s="113" customFormat="1" x14ac:dyDescent="0.4">
      <c r="B1278" s="80"/>
      <c r="C1278" s="563">
        <v>865</v>
      </c>
      <c r="D1278" s="907"/>
      <c r="E1278" s="906"/>
      <c r="F1278" s="921" t="str">
        <f t="shared" si="62"/>
        <v/>
      </c>
      <c r="G1278" s="882" t="str">
        <f t="shared" si="63"/>
        <v/>
      </c>
      <c r="H1278" s="925"/>
      <c r="I1278" s="919"/>
      <c r="J1278" s="919"/>
      <c r="K1278" s="919"/>
      <c r="L1278" s="919"/>
      <c r="O1278" s="339"/>
      <c r="T1278" s="75"/>
      <c r="U1278" s="75"/>
      <c r="V1278" s="75"/>
      <c r="W1278" s="75"/>
      <c r="X1278" s="75"/>
      <c r="Y1278" s="340"/>
      <c r="Z1278" s="341"/>
      <c r="AA1278" s="341"/>
      <c r="AB1278" s="341"/>
      <c r="AC1278" s="340"/>
      <c r="AD1278" s="75"/>
      <c r="AE1278" s="75"/>
      <c r="AF1278" s="75"/>
      <c r="AG1278" s="344"/>
      <c r="AH1278" s="344"/>
      <c r="AI1278" s="344"/>
      <c r="AJ1278" s="97"/>
      <c r="AK1278" s="4"/>
    </row>
    <row r="1279" spans="2:37" s="113" customFormat="1" x14ac:dyDescent="0.4">
      <c r="B1279" s="80"/>
      <c r="C1279" s="563">
        <v>866</v>
      </c>
      <c r="D1279" s="907"/>
      <c r="E1279" s="906"/>
      <c r="F1279" s="921" t="str">
        <f t="shared" si="62"/>
        <v/>
      </c>
      <c r="G1279" s="882" t="str">
        <f t="shared" si="63"/>
        <v/>
      </c>
      <c r="H1279" s="925"/>
      <c r="I1279" s="919"/>
      <c r="J1279" s="919"/>
      <c r="K1279" s="919"/>
      <c r="L1279" s="919"/>
      <c r="O1279" s="339"/>
      <c r="T1279" s="75"/>
      <c r="U1279" s="75"/>
      <c r="V1279" s="75"/>
      <c r="W1279" s="75"/>
      <c r="X1279" s="75"/>
      <c r="Y1279" s="340"/>
      <c r="Z1279" s="341"/>
      <c r="AA1279" s="341"/>
      <c r="AB1279" s="341"/>
      <c r="AC1279" s="340"/>
      <c r="AD1279" s="75"/>
      <c r="AE1279" s="75"/>
      <c r="AF1279" s="75"/>
      <c r="AG1279" s="344"/>
      <c r="AH1279" s="344"/>
      <c r="AI1279" s="344"/>
      <c r="AJ1279" s="97"/>
      <c r="AK1279" s="4"/>
    </row>
    <row r="1280" spans="2:37" s="113" customFormat="1" x14ac:dyDescent="0.4">
      <c r="B1280" s="80"/>
      <c r="C1280" s="563">
        <v>867</v>
      </c>
      <c r="D1280" s="907"/>
      <c r="E1280" s="906"/>
      <c r="F1280" s="921" t="str">
        <f t="shared" si="62"/>
        <v/>
      </c>
      <c r="G1280" s="882" t="str">
        <f t="shared" si="63"/>
        <v/>
      </c>
      <c r="H1280" s="925"/>
      <c r="I1280" s="919"/>
      <c r="J1280" s="919"/>
      <c r="K1280" s="919"/>
      <c r="L1280" s="919"/>
      <c r="O1280" s="339"/>
      <c r="T1280" s="75"/>
      <c r="U1280" s="75"/>
      <c r="V1280" s="75"/>
      <c r="W1280" s="75"/>
      <c r="X1280" s="75"/>
      <c r="Y1280" s="340"/>
      <c r="Z1280" s="341"/>
      <c r="AA1280" s="341"/>
      <c r="AB1280" s="341"/>
      <c r="AC1280" s="340"/>
      <c r="AD1280" s="75"/>
      <c r="AE1280" s="75"/>
      <c r="AF1280" s="75"/>
      <c r="AG1280" s="344"/>
      <c r="AH1280" s="344"/>
      <c r="AI1280" s="344"/>
      <c r="AJ1280" s="97"/>
      <c r="AK1280" s="4"/>
    </row>
    <row r="1281" spans="2:37" s="113" customFormat="1" x14ac:dyDescent="0.4">
      <c r="B1281" s="80"/>
      <c r="C1281" s="563">
        <v>868</v>
      </c>
      <c r="D1281" s="907"/>
      <c r="E1281" s="906"/>
      <c r="F1281" s="921" t="str">
        <f t="shared" si="62"/>
        <v/>
      </c>
      <c r="G1281" s="882" t="str">
        <f t="shared" si="63"/>
        <v/>
      </c>
      <c r="H1281" s="925"/>
      <c r="I1281" s="919"/>
      <c r="J1281" s="919"/>
      <c r="K1281" s="919"/>
      <c r="L1281" s="919"/>
      <c r="O1281" s="339"/>
      <c r="T1281" s="75"/>
      <c r="U1281" s="75"/>
      <c r="V1281" s="75"/>
      <c r="W1281" s="75"/>
      <c r="X1281" s="75"/>
      <c r="Y1281" s="340"/>
      <c r="Z1281" s="341"/>
      <c r="AA1281" s="341"/>
      <c r="AB1281" s="341"/>
      <c r="AC1281" s="340"/>
      <c r="AD1281" s="75"/>
      <c r="AE1281" s="75"/>
      <c r="AF1281" s="75"/>
      <c r="AG1281" s="344"/>
      <c r="AH1281" s="344"/>
      <c r="AI1281" s="344"/>
      <c r="AJ1281" s="97"/>
      <c r="AK1281" s="4"/>
    </row>
    <row r="1282" spans="2:37" s="113" customFormat="1" x14ac:dyDescent="0.4">
      <c r="B1282" s="80"/>
      <c r="C1282" s="563">
        <v>869</v>
      </c>
      <c r="D1282" s="907"/>
      <c r="E1282" s="906"/>
      <c r="F1282" s="921" t="str">
        <f t="shared" si="62"/>
        <v/>
      </c>
      <c r="G1282" s="882" t="str">
        <f t="shared" si="63"/>
        <v/>
      </c>
      <c r="H1282" s="925"/>
      <c r="I1282" s="919"/>
      <c r="J1282" s="919"/>
      <c r="K1282" s="919"/>
      <c r="L1282" s="919"/>
      <c r="O1282" s="339"/>
      <c r="T1282" s="75"/>
      <c r="U1282" s="75"/>
      <c r="V1282" s="75"/>
      <c r="W1282" s="75"/>
      <c r="X1282" s="75"/>
      <c r="Y1282" s="340"/>
      <c r="Z1282" s="341"/>
      <c r="AA1282" s="341"/>
      <c r="AB1282" s="341"/>
      <c r="AC1282" s="340"/>
      <c r="AD1282" s="75"/>
      <c r="AE1282" s="75"/>
      <c r="AF1282" s="75"/>
      <c r="AG1282" s="344"/>
      <c r="AH1282" s="344"/>
      <c r="AI1282" s="344"/>
      <c r="AJ1282" s="97"/>
      <c r="AK1282" s="4"/>
    </row>
    <row r="1283" spans="2:37" s="113" customFormat="1" x14ac:dyDescent="0.4">
      <c r="B1283" s="80"/>
      <c r="C1283" s="563">
        <v>870</v>
      </c>
      <c r="D1283" s="907"/>
      <c r="E1283" s="906"/>
      <c r="F1283" s="921" t="str">
        <f t="shared" si="62"/>
        <v/>
      </c>
      <c r="G1283" s="882" t="str">
        <f t="shared" si="63"/>
        <v/>
      </c>
      <c r="H1283" s="925"/>
      <c r="I1283" s="919"/>
      <c r="J1283" s="919"/>
      <c r="K1283" s="919"/>
      <c r="L1283" s="919"/>
      <c r="O1283" s="339"/>
      <c r="T1283" s="75"/>
      <c r="U1283" s="75"/>
      <c r="V1283" s="75"/>
      <c r="W1283" s="75"/>
      <c r="X1283" s="75"/>
      <c r="Y1283" s="340"/>
      <c r="Z1283" s="341"/>
      <c r="AA1283" s="341"/>
      <c r="AB1283" s="341"/>
      <c r="AC1283" s="340"/>
      <c r="AD1283" s="75"/>
      <c r="AE1283" s="75"/>
      <c r="AF1283" s="75"/>
      <c r="AG1283" s="344"/>
      <c r="AH1283" s="344"/>
      <c r="AI1283" s="344"/>
      <c r="AJ1283" s="97"/>
      <c r="AK1283" s="4"/>
    </row>
    <row r="1284" spans="2:37" s="113" customFormat="1" x14ac:dyDescent="0.4">
      <c r="B1284" s="80"/>
      <c r="C1284" s="563">
        <v>871</v>
      </c>
      <c r="D1284" s="907"/>
      <c r="E1284" s="906"/>
      <c r="F1284" s="921" t="str">
        <f t="shared" si="62"/>
        <v/>
      </c>
      <c r="G1284" s="882" t="str">
        <f t="shared" si="63"/>
        <v/>
      </c>
      <c r="H1284" s="925"/>
      <c r="I1284" s="919"/>
      <c r="J1284" s="919"/>
      <c r="K1284" s="919"/>
      <c r="L1284" s="919"/>
      <c r="O1284" s="339"/>
      <c r="T1284" s="75"/>
      <c r="U1284" s="75"/>
      <c r="V1284" s="75"/>
      <c r="W1284" s="75"/>
      <c r="X1284" s="75"/>
      <c r="Y1284" s="340"/>
      <c r="Z1284" s="341"/>
      <c r="AA1284" s="341"/>
      <c r="AB1284" s="341"/>
      <c r="AC1284" s="340"/>
      <c r="AD1284" s="75"/>
      <c r="AE1284" s="75"/>
      <c r="AF1284" s="75"/>
      <c r="AG1284" s="344"/>
      <c r="AH1284" s="344"/>
      <c r="AI1284" s="344"/>
      <c r="AJ1284" s="97"/>
      <c r="AK1284" s="4"/>
    </row>
    <row r="1285" spans="2:37" s="113" customFormat="1" x14ac:dyDescent="0.4">
      <c r="B1285" s="80"/>
      <c r="C1285" s="563">
        <v>872</v>
      </c>
      <c r="D1285" s="907"/>
      <c r="E1285" s="906"/>
      <c r="F1285" s="921" t="str">
        <f t="shared" si="62"/>
        <v/>
      </c>
      <c r="G1285" s="882" t="str">
        <f t="shared" si="63"/>
        <v/>
      </c>
      <c r="H1285" s="925"/>
      <c r="I1285" s="919"/>
      <c r="J1285" s="919"/>
      <c r="K1285" s="919"/>
      <c r="L1285" s="919"/>
      <c r="O1285" s="339"/>
      <c r="T1285" s="75"/>
      <c r="U1285" s="75"/>
      <c r="V1285" s="75"/>
      <c r="W1285" s="75"/>
      <c r="X1285" s="75"/>
      <c r="Y1285" s="340"/>
      <c r="Z1285" s="341"/>
      <c r="AA1285" s="341"/>
      <c r="AB1285" s="341"/>
      <c r="AC1285" s="340"/>
      <c r="AD1285" s="75"/>
      <c r="AE1285" s="75"/>
      <c r="AF1285" s="75"/>
      <c r="AG1285" s="344"/>
      <c r="AH1285" s="344"/>
      <c r="AI1285" s="344"/>
      <c r="AJ1285" s="97"/>
      <c r="AK1285" s="4"/>
    </row>
    <row r="1286" spans="2:37" s="113" customFormat="1" x14ac:dyDescent="0.4">
      <c r="B1286" s="80"/>
      <c r="C1286" s="563">
        <v>873</v>
      </c>
      <c r="D1286" s="907"/>
      <c r="E1286" s="906"/>
      <c r="F1286" s="921" t="str">
        <f t="shared" si="62"/>
        <v/>
      </c>
      <c r="G1286" s="882" t="str">
        <f t="shared" si="63"/>
        <v/>
      </c>
      <c r="H1286" s="925"/>
      <c r="I1286" s="919"/>
      <c r="J1286" s="919"/>
      <c r="K1286" s="919"/>
      <c r="L1286" s="919"/>
      <c r="O1286" s="339"/>
      <c r="T1286" s="75"/>
      <c r="U1286" s="75"/>
      <c r="V1286" s="75"/>
      <c r="W1286" s="75"/>
      <c r="X1286" s="75"/>
      <c r="Y1286" s="340"/>
      <c r="Z1286" s="341"/>
      <c r="AA1286" s="341"/>
      <c r="AB1286" s="341"/>
      <c r="AC1286" s="340"/>
      <c r="AD1286" s="75"/>
      <c r="AE1286" s="75"/>
      <c r="AF1286" s="75"/>
      <c r="AG1286" s="344"/>
      <c r="AH1286" s="344"/>
      <c r="AI1286" s="344"/>
      <c r="AJ1286" s="97"/>
      <c r="AK1286" s="4"/>
    </row>
    <row r="1287" spans="2:37" s="113" customFormat="1" x14ac:dyDescent="0.4">
      <c r="B1287" s="80"/>
      <c r="C1287" s="563">
        <v>874</v>
      </c>
      <c r="D1287" s="907"/>
      <c r="E1287" s="906"/>
      <c r="F1287" s="921" t="str">
        <f t="shared" si="62"/>
        <v/>
      </c>
      <c r="G1287" s="882" t="str">
        <f t="shared" si="63"/>
        <v/>
      </c>
      <c r="H1287" s="925"/>
      <c r="I1287" s="919"/>
      <c r="J1287" s="919"/>
      <c r="K1287" s="919"/>
      <c r="L1287" s="919"/>
      <c r="O1287" s="339"/>
      <c r="T1287" s="75"/>
      <c r="U1287" s="75"/>
      <c r="V1287" s="75"/>
      <c r="W1287" s="75"/>
      <c r="X1287" s="75"/>
      <c r="Y1287" s="340"/>
      <c r="Z1287" s="341"/>
      <c r="AA1287" s="341"/>
      <c r="AB1287" s="341"/>
      <c r="AC1287" s="340"/>
      <c r="AD1287" s="75"/>
      <c r="AE1287" s="75"/>
      <c r="AF1287" s="75"/>
      <c r="AG1287" s="344"/>
      <c r="AH1287" s="344"/>
      <c r="AI1287" s="344"/>
      <c r="AJ1287" s="97"/>
      <c r="AK1287" s="4"/>
    </row>
    <row r="1288" spans="2:37" s="113" customFormat="1" x14ac:dyDescent="0.4">
      <c r="B1288" s="80"/>
      <c r="C1288" s="563">
        <v>875</v>
      </c>
      <c r="D1288" s="907"/>
      <c r="E1288" s="906"/>
      <c r="F1288" s="921" t="str">
        <f t="shared" si="62"/>
        <v/>
      </c>
      <c r="G1288" s="882" t="str">
        <f t="shared" si="63"/>
        <v/>
      </c>
      <c r="H1288" s="925"/>
      <c r="I1288" s="919"/>
      <c r="J1288" s="919"/>
      <c r="K1288" s="919"/>
      <c r="L1288" s="919"/>
      <c r="O1288" s="339"/>
      <c r="T1288" s="75"/>
      <c r="U1288" s="75"/>
      <c r="V1288" s="75"/>
      <c r="W1288" s="75"/>
      <c r="X1288" s="75"/>
      <c r="Y1288" s="340"/>
      <c r="Z1288" s="341"/>
      <c r="AA1288" s="341"/>
      <c r="AB1288" s="341"/>
      <c r="AC1288" s="340"/>
      <c r="AD1288" s="75"/>
      <c r="AE1288" s="75"/>
      <c r="AF1288" s="75"/>
      <c r="AG1288" s="344"/>
      <c r="AH1288" s="344"/>
      <c r="AI1288" s="344"/>
      <c r="AJ1288" s="97"/>
      <c r="AK1288" s="4"/>
    </row>
    <row r="1289" spans="2:37" s="113" customFormat="1" x14ac:dyDescent="0.4">
      <c r="B1289" s="80"/>
      <c r="C1289" s="563">
        <v>876</v>
      </c>
      <c r="D1289" s="907"/>
      <c r="E1289" s="906"/>
      <c r="F1289" s="921" t="str">
        <f t="shared" si="62"/>
        <v/>
      </c>
      <c r="G1289" s="882" t="str">
        <f t="shared" si="63"/>
        <v/>
      </c>
      <c r="H1289" s="925"/>
      <c r="I1289" s="919"/>
      <c r="J1289" s="919"/>
      <c r="K1289" s="919"/>
      <c r="L1289" s="919"/>
      <c r="O1289" s="339"/>
      <c r="T1289" s="75"/>
      <c r="U1289" s="75"/>
      <c r="V1289" s="75"/>
      <c r="W1289" s="75"/>
      <c r="X1289" s="75"/>
      <c r="Y1289" s="340"/>
      <c r="Z1289" s="341"/>
      <c r="AA1289" s="341"/>
      <c r="AB1289" s="341"/>
      <c r="AC1289" s="340"/>
      <c r="AD1289" s="75"/>
      <c r="AE1289" s="75"/>
      <c r="AF1289" s="75"/>
      <c r="AG1289" s="344"/>
      <c r="AH1289" s="344"/>
      <c r="AI1289" s="344"/>
      <c r="AJ1289" s="97"/>
      <c r="AK1289" s="4"/>
    </row>
    <row r="1290" spans="2:37" s="113" customFormat="1" x14ac:dyDescent="0.4">
      <c r="B1290" s="80"/>
      <c r="C1290" s="563">
        <v>877</v>
      </c>
      <c r="D1290" s="907"/>
      <c r="E1290" s="906"/>
      <c r="F1290" s="921" t="str">
        <f t="shared" si="62"/>
        <v/>
      </c>
      <c r="G1290" s="882" t="str">
        <f t="shared" si="63"/>
        <v/>
      </c>
      <c r="H1290" s="925"/>
      <c r="I1290" s="919"/>
      <c r="J1290" s="919"/>
      <c r="K1290" s="919"/>
      <c r="L1290" s="919"/>
      <c r="O1290" s="339"/>
      <c r="T1290" s="75"/>
      <c r="U1290" s="75"/>
      <c r="V1290" s="75"/>
      <c r="W1290" s="75"/>
      <c r="X1290" s="75"/>
      <c r="Y1290" s="340"/>
      <c r="Z1290" s="341"/>
      <c r="AA1290" s="341"/>
      <c r="AB1290" s="341"/>
      <c r="AC1290" s="340"/>
      <c r="AD1290" s="75"/>
      <c r="AE1290" s="75"/>
      <c r="AF1290" s="75"/>
      <c r="AG1290" s="344"/>
      <c r="AH1290" s="344"/>
      <c r="AI1290" s="344"/>
      <c r="AJ1290" s="97"/>
      <c r="AK1290" s="4"/>
    </row>
    <row r="1291" spans="2:37" s="113" customFormat="1" x14ac:dyDescent="0.4">
      <c r="B1291" s="80"/>
      <c r="C1291" s="563">
        <v>878</v>
      </c>
      <c r="D1291" s="907"/>
      <c r="E1291" s="906"/>
      <c r="F1291" s="921" t="str">
        <f t="shared" si="62"/>
        <v/>
      </c>
      <c r="G1291" s="882" t="str">
        <f t="shared" si="63"/>
        <v/>
      </c>
      <c r="H1291" s="925"/>
      <c r="I1291" s="919"/>
      <c r="J1291" s="919"/>
      <c r="K1291" s="919"/>
      <c r="L1291" s="919"/>
      <c r="O1291" s="339"/>
      <c r="T1291" s="75"/>
      <c r="U1291" s="75"/>
      <c r="V1291" s="75"/>
      <c r="W1291" s="75"/>
      <c r="X1291" s="75"/>
      <c r="Y1291" s="340"/>
      <c r="Z1291" s="341"/>
      <c r="AA1291" s="341"/>
      <c r="AB1291" s="341"/>
      <c r="AC1291" s="340"/>
      <c r="AD1291" s="75"/>
      <c r="AE1291" s="75"/>
      <c r="AF1291" s="75"/>
      <c r="AG1291" s="344"/>
      <c r="AH1291" s="344"/>
      <c r="AI1291" s="344"/>
      <c r="AJ1291" s="97"/>
      <c r="AK1291" s="4"/>
    </row>
    <row r="1292" spans="2:37" s="113" customFormat="1" x14ac:dyDescent="0.4">
      <c r="B1292" s="80"/>
      <c r="C1292" s="563">
        <v>879</v>
      </c>
      <c r="D1292" s="907"/>
      <c r="E1292" s="906"/>
      <c r="F1292" s="921" t="str">
        <f t="shared" si="62"/>
        <v/>
      </c>
      <c r="G1292" s="882" t="str">
        <f t="shared" si="63"/>
        <v/>
      </c>
      <c r="H1292" s="925"/>
      <c r="I1292" s="919"/>
      <c r="J1292" s="919"/>
      <c r="K1292" s="919"/>
      <c r="L1292" s="919"/>
      <c r="O1292" s="339"/>
      <c r="T1292" s="75"/>
      <c r="U1292" s="75"/>
      <c r="V1292" s="75"/>
      <c r="W1292" s="75"/>
      <c r="X1292" s="75"/>
      <c r="Y1292" s="340"/>
      <c r="Z1292" s="341"/>
      <c r="AA1292" s="341"/>
      <c r="AB1292" s="341"/>
      <c r="AC1292" s="340"/>
      <c r="AD1292" s="75"/>
      <c r="AE1292" s="75"/>
      <c r="AF1292" s="75"/>
      <c r="AG1292" s="344"/>
      <c r="AH1292" s="344"/>
      <c r="AI1292" s="344"/>
      <c r="AJ1292" s="97"/>
      <c r="AK1292" s="4"/>
    </row>
    <row r="1293" spans="2:37" s="113" customFormat="1" x14ac:dyDescent="0.4">
      <c r="B1293" s="80"/>
      <c r="C1293" s="563">
        <v>880</v>
      </c>
      <c r="D1293" s="907"/>
      <c r="E1293" s="906"/>
      <c r="F1293" s="921" t="str">
        <f t="shared" si="62"/>
        <v/>
      </c>
      <c r="G1293" s="882" t="str">
        <f t="shared" si="63"/>
        <v/>
      </c>
      <c r="H1293" s="925"/>
      <c r="I1293" s="919"/>
      <c r="J1293" s="919"/>
      <c r="K1293" s="919"/>
      <c r="L1293" s="919"/>
      <c r="O1293" s="339"/>
      <c r="T1293" s="75"/>
      <c r="U1293" s="75"/>
      <c r="V1293" s="75"/>
      <c r="W1293" s="75"/>
      <c r="X1293" s="75"/>
      <c r="Y1293" s="340"/>
      <c r="Z1293" s="341"/>
      <c r="AA1293" s="341"/>
      <c r="AB1293" s="341"/>
      <c r="AC1293" s="340"/>
      <c r="AD1293" s="75"/>
      <c r="AE1293" s="75"/>
      <c r="AF1293" s="75"/>
      <c r="AG1293" s="344"/>
      <c r="AH1293" s="344"/>
      <c r="AI1293" s="344"/>
      <c r="AJ1293" s="97"/>
      <c r="AK1293" s="4"/>
    </row>
    <row r="1294" spans="2:37" s="113" customFormat="1" x14ac:dyDescent="0.4">
      <c r="B1294" s="80"/>
      <c r="C1294" s="563">
        <v>881</v>
      </c>
      <c r="D1294" s="907"/>
      <c r="E1294" s="906"/>
      <c r="F1294" s="921" t="str">
        <f t="shared" si="62"/>
        <v/>
      </c>
      <c r="G1294" s="882" t="str">
        <f t="shared" si="63"/>
        <v/>
      </c>
      <c r="H1294" s="925"/>
      <c r="I1294" s="919"/>
      <c r="J1294" s="919"/>
      <c r="K1294" s="919"/>
      <c r="L1294" s="919"/>
      <c r="O1294" s="339"/>
      <c r="T1294" s="75"/>
      <c r="U1294" s="75"/>
      <c r="V1294" s="75"/>
      <c r="W1294" s="75"/>
      <c r="X1294" s="75"/>
      <c r="Y1294" s="340"/>
      <c r="Z1294" s="341"/>
      <c r="AA1294" s="341"/>
      <c r="AB1294" s="341"/>
      <c r="AC1294" s="340"/>
      <c r="AD1294" s="75"/>
      <c r="AE1294" s="75"/>
      <c r="AF1294" s="75"/>
      <c r="AG1294" s="344"/>
      <c r="AH1294" s="344"/>
      <c r="AI1294" s="344"/>
      <c r="AJ1294" s="97"/>
      <c r="AK1294" s="4"/>
    </row>
    <row r="1295" spans="2:37" s="113" customFormat="1" x14ac:dyDescent="0.4">
      <c r="B1295" s="80"/>
      <c r="C1295" s="563">
        <v>882</v>
      </c>
      <c r="D1295" s="907"/>
      <c r="E1295" s="906"/>
      <c r="F1295" s="921" t="str">
        <f t="shared" si="62"/>
        <v/>
      </c>
      <c r="G1295" s="882" t="str">
        <f t="shared" si="63"/>
        <v/>
      </c>
      <c r="H1295" s="925"/>
      <c r="I1295" s="919"/>
      <c r="J1295" s="919"/>
      <c r="K1295" s="919"/>
      <c r="L1295" s="919"/>
      <c r="O1295" s="339"/>
      <c r="T1295" s="75"/>
      <c r="U1295" s="75"/>
      <c r="V1295" s="75"/>
      <c r="W1295" s="75"/>
      <c r="X1295" s="75"/>
      <c r="Y1295" s="340"/>
      <c r="Z1295" s="341"/>
      <c r="AA1295" s="341"/>
      <c r="AB1295" s="341"/>
      <c r="AC1295" s="340"/>
      <c r="AD1295" s="75"/>
      <c r="AE1295" s="75"/>
      <c r="AF1295" s="75"/>
      <c r="AG1295" s="344"/>
      <c r="AH1295" s="344"/>
      <c r="AI1295" s="344"/>
      <c r="AJ1295" s="97"/>
      <c r="AK1295" s="4"/>
    </row>
    <row r="1296" spans="2:37" s="113" customFormat="1" x14ac:dyDescent="0.4">
      <c r="B1296" s="80"/>
      <c r="C1296" s="563">
        <v>883</v>
      </c>
      <c r="D1296" s="907"/>
      <c r="E1296" s="906"/>
      <c r="F1296" s="921" t="str">
        <f t="shared" si="62"/>
        <v/>
      </c>
      <c r="G1296" s="882" t="str">
        <f t="shared" si="63"/>
        <v/>
      </c>
      <c r="H1296" s="925"/>
      <c r="I1296" s="919"/>
      <c r="J1296" s="919"/>
      <c r="K1296" s="919"/>
      <c r="L1296" s="919"/>
      <c r="O1296" s="339"/>
      <c r="T1296" s="75"/>
      <c r="U1296" s="75"/>
      <c r="V1296" s="75"/>
      <c r="W1296" s="75"/>
      <c r="X1296" s="75"/>
      <c r="Y1296" s="340"/>
      <c r="Z1296" s="341"/>
      <c r="AA1296" s="341"/>
      <c r="AB1296" s="341"/>
      <c r="AC1296" s="340"/>
      <c r="AD1296" s="75"/>
      <c r="AE1296" s="75"/>
      <c r="AF1296" s="75"/>
      <c r="AG1296" s="344"/>
      <c r="AH1296" s="344"/>
      <c r="AI1296" s="344"/>
      <c r="AJ1296" s="97"/>
      <c r="AK1296" s="4"/>
    </row>
    <row r="1297" spans="2:37" s="113" customFormat="1" x14ac:dyDescent="0.4">
      <c r="B1297" s="80"/>
      <c r="C1297" s="563">
        <v>884</v>
      </c>
      <c r="D1297" s="907"/>
      <c r="E1297" s="906"/>
      <c r="F1297" s="921" t="str">
        <f t="shared" si="62"/>
        <v/>
      </c>
      <c r="G1297" s="882" t="str">
        <f t="shared" si="63"/>
        <v/>
      </c>
      <c r="H1297" s="925"/>
      <c r="I1297" s="919"/>
      <c r="J1297" s="919"/>
      <c r="K1297" s="919"/>
      <c r="L1297" s="919"/>
      <c r="O1297" s="339"/>
      <c r="T1297" s="75"/>
      <c r="U1297" s="75"/>
      <c r="V1297" s="75"/>
      <c r="W1297" s="75"/>
      <c r="X1297" s="75"/>
      <c r="Y1297" s="340"/>
      <c r="Z1297" s="341"/>
      <c r="AA1297" s="341"/>
      <c r="AB1297" s="341"/>
      <c r="AC1297" s="340"/>
      <c r="AD1297" s="75"/>
      <c r="AE1297" s="75"/>
      <c r="AF1297" s="75"/>
      <c r="AG1297" s="344"/>
      <c r="AH1297" s="344"/>
      <c r="AI1297" s="344"/>
      <c r="AJ1297" s="97"/>
      <c r="AK1297" s="4"/>
    </row>
    <row r="1298" spans="2:37" s="113" customFormat="1" x14ac:dyDescent="0.4">
      <c r="B1298" s="80"/>
      <c r="C1298" s="563">
        <v>885</v>
      </c>
      <c r="D1298" s="907"/>
      <c r="E1298" s="906"/>
      <c r="F1298" s="921" t="str">
        <f t="shared" si="62"/>
        <v/>
      </c>
      <c r="G1298" s="882" t="str">
        <f t="shared" si="63"/>
        <v/>
      </c>
      <c r="H1298" s="925"/>
      <c r="I1298" s="919"/>
      <c r="J1298" s="919"/>
      <c r="K1298" s="919"/>
      <c r="L1298" s="919"/>
      <c r="O1298" s="339"/>
      <c r="T1298" s="75"/>
      <c r="U1298" s="75"/>
      <c r="V1298" s="75"/>
      <c r="W1298" s="75"/>
      <c r="X1298" s="75"/>
      <c r="Y1298" s="340"/>
      <c r="Z1298" s="341"/>
      <c r="AA1298" s="341"/>
      <c r="AB1298" s="341"/>
      <c r="AC1298" s="340"/>
      <c r="AD1298" s="75"/>
      <c r="AE1298" s="75"/>
      <c r="AF1298" s="75"/>
      <c r="AG1298" s="344"/>
      <c r="AH1298" s="344"/>
      <c r="AI1298" s="344"/>
      <c r="AJ1298" s="97"/>
      <c r="AK1298" s="4"/>
    </row>
    <row r="1299" spans="2:37" s="113" customFormat="1" x14ac:dyDescent="0.4">
      <c r="B1299" s="80"/>
      <c r="C1299" s="563">
        <v>886</v>
      </c>
      <c r="D1299" s="907"/>
      <c r="E1299" s="906"/>
      <c r="F1299" s="921" t="str">
        <f t="shared" si="62"/>
        <v/>
      </c>
      <c r="G1299" s="882" t="str">
        <f t="shared" si="63"/>
        <v/>
      </c>
      <c r="H1299" s="925"/>
      <c r="I1299" s="919"/>
      <c r="J1299" s="919"/>
      <c r="K1299" s="919"/>
      <c r="L1299" s="919"/>
      <c r="O1299" s="339"/>
      <c r="T1299" s="75"/>
      <c r="U1299" s="75"/>
      <c r="V1299" s="75"/>
      <c r="W1299" s="75"/>
      <c r="X1299" s="75"/>
      <c r="Y1299" s="340"/>
      <c r="Z1299" s="341"/>
      <c r="AA1299" s="341"/>
      <c r="AB1299" s="341"/>
      <c r="AC1299" s="340"/>
      <c r="AD1299" s="75"/>
      <c r="AE1299" s="75"/>
      <c r="AF1299" s="75"/>
      <c r="AG1299" s="344"/>
      <c r="AH1299" s="344"/>
      <c r="AI1299" s="344"/>
      <c r="AJ1299" s="97"/>
      <c r="AK1299" s="4"/>
    </row>
    <row r="1300" spans="2:37" s="113" customFormat="1" x14ac:dyDescent="0.4">
      <c r="B1300" s="80"/>
      <c r="C1300" s="563">
        <v>887</v>
      </c>
      <c r="D1300" s="907"/>
      <c r="E1300" s="906"/>
      <c r="F1300" s="921" t="str">
        <f t="shared" si="62"/>
        <v/>
      </c>
      <c r="G1300" s="882" t="str">
        <f t="shared" si="63"/>
        <v/>
      </c>
      <c r="H1300" s="925"/>
      <c r="I1300" s="919"/>
      <c r="J1300" s="919"/>
      <c r="K1300" s="919"/>
      <c r="L1300" s="919"/>
      <c r="O1300" s="339"/>
      <c r="T1300" s="75"/>
      <c r="U1300" s="75"/>
      <c r="V1300" s="75"/>
      <c r="W1300" s="75"/>
      <c r="X1300" s="75"/>
      <c r="Y1300" s="340"/>
      <c r="Z1300" s="341"/>
      <c r="AA1300" s="341"/>
      <c r="AB1300" s="341"/>
      <c r="AC1300" s="340"/>
      <c r="AD1300" s="75"/>
      <c r="AE1300" s="75"/>
      <c r="AF1300" s="75"/>
      <c r="AG1300" s="344"/>
      <c r="AH1300" s="344"/>
      <c r="AI1300" s="344"/>
      <c r="AJ1300" s="97"/>
      <c r="AK1300" s="4"/>
    </row>
    <row r="1301" spans="2:37" s="113" customFormat="1" x14ac:dyDescent="0.4">
      <c r="B1301" s="80"/>
      <c r="C1301" s="563">
        <v>888</v>
      </c>
      <c r="D1301" s="907"/>
      <c r="E1301" s="906"/>
      <c r="F1301" s="921" t="str">
        <f t="shared" si="62"/>
        <v/>
      </c>
      <c r="G1301" s="882" t="str">
        <f t="shared" si="63"/>
        <v/>
      </c>
      <c r="H1301" s="925"/>
      <c r="I1301" s="919"/>
      <c r="J1301" s="919"/>
      <c r="K1301" s="919"/>
      <c r="L1301" s="919"/>
      <c r="O1301" s="339"/>
      <c r="T1301" s="75"/>
      <c r="U1301" s="75"/>
      <c r="V1301" s="75"/>
      <c r="W1301" s="75"/>
      <c r="X1301" s="75"/>
      <c r="Y1301" s="340"/>
      <c r="Z1301" s="341"/>
      <c r="AA1301" s="341"/>
      <c r="AB1301" s="341"/>
      <c r="AC1301" s="340"/>
      <c r="AD1301" s="75"/>
      <c r="AE1301" s="75"/>
      <c r="AF1301" s="75"/>
      <c r="AG1301" s="344"/>
      <c r="AH1301" s="344"/>
      <c r="AI1301" s="344"/>
      <c r="AJ1301" s="97"/>
      <c r="AK1301" s="4"/>
    </row>
    <row r="1302" spans="2:37" s="113" customFormat="1" x14ac:dyDescent="0.4">
      <c r="B1302" s="80"/>
      <c r="C1302" s="563">
        <v>889</v>
      </c>
      <c r="D1302" s="907"/>
      <c r="E1302" s="906"/>
      <c r="F1302" s="921" t="str">
        <f t="shared" si="62"/>
        <v/>
      </c>
      <c r="G1302" s="882" t="str">
        <f t="shared" si="63"/>
        <v/>
      </c>
      <c r="H1302" s="925"/>
      <c r="I1302" s="919"/>
      <c r="J1302" s="919"/>
      <c r="K1302" s="919"/>
      <c r="L1302" s="919"/>
      <c r="O1302" s="339"/>
      <c r="T1302" s="75"/>
      <c r="U1302" s="75"/>
      <c r="V1302" s="75"/>
      <c r="W1302" s="75"/>
      <c r="X1302" s="75"/>
      <c r="Y1302" s="340"/>
      <c r="Z1302" s="341"/>
      <c r="AA1302" s="341"/>
      <c r="AB1302" s="341"/>
      <c r="AC1302" s="340"/>
      <c r="AD1302" s="75"/>
      <c r="AE1302" s="75"/>
      <c r="AF1302" s="75"/>
      <c r="AG1302" s="344"/>
      <c r="AH1302" s="344"/>
      <c r="AI1302" s="344"/>
      <c r="AJ1302" s="97"/>
      <c r="AK1302" s="4"/>
    </row>
    <row r="1303" spans="2:37" s="113" customFormat="1" x14ac:dyDescent="0.4">
      <c r="B1303" s="80"/>
      <c r="C1303" s="563">
        <v>890</v>
      </c>
      <c r="D1303" s="907"/>
      <c r="E1303" s="906"/>
      <c r="F1303" s="921" t="str">
        <f t="shared" si="62"/>
        <v/>
      </c>
      <c r="G1303" s="882" t="str">
        <f t="shared" si="63"/>
        <v/>
      </c>
      <c r="H1303" s="925"/>
      <c r="I1303" s="919"/>
      <c r="J1303" s="919"/>
      <c r="K1303" s="919"/>
      <c r="L1303" s="919"/>
      <c r="O1303" s="339"/>
      <c r="T1303" s="75"/>
      <c r="U1303" s="75"/>
      <c r="V1303" s="75"/>
      <c r="W1303" s="75"/>
      <c r="X1303" s="75"/>
      <c r="Y1303" s="340"/>
      <c r="Z1303" s="341"/>
      <c r="AA1303" s="341"/>
      <c r="AB1303" s="341"/>
      <c r="AC1303" s="340"/>
      <c r="AD1303" s="75"/>
      <c r="AE1303" s="75"/>
      <c r="AF1303" s="75"/>
      <c r="AG1303" s="344"/>
      <c r="AH1303" s="344"/>
      <c r="AI1303" s="344"/>
      <c r="AJ1303" s="97"/>
      <c r="AK1303" s="4"/>
    </row>
    <row r="1304" spans="2:37" s="113" customFormat="1" x14ac:dyDescent="0.4">
      <c r="B1304" s="80"/>
      <c r="C1304" s="563">
        <v>891</v>
      </c>
      <c r="D1304" s="907"/>
      <c r="E1304" s="906"/>
      <c r="F1304" s="921" t="str">
        <f t="shared" si="62"/>
        <v/>
      </c>
      <c r="G1304" s="882" t="str">
        <f t="shared" si="63"/>
        <v/>
      </c>
      <c r="H1304" s="925"/>
      <c r="I1304" s="919"/>
      <c r="J1304" s="919"/>
      <c r="K1304" s="919"/>
      <c r="L1304" s="919"/>
      <c r="O1304" s="339"/>
      <c r="T1304" s="75"/>
      <c r="U1304" s="75"/>
      <c r="V1304" s="75"/>
      <c r="W1304" s="75"/>
      <c r="X1304" s="75"/>
      <c r="Y1304" s="340"/>
      <c r="Z1304" s="341"/>
      <c r="AA1304" s="341"/>
      <c r="AB1304" s="341"/>
      <c r="AC1304" s="340"/>
      <c r="AD1304" s="75"/>
      <c r="AE1304" s="75"/>
      <c r="AF1304" s="75"/>
      <c r="AG1304" s="344"/>
      <c r="AH1304" s="344"/>
      <c r="AI1304" s="344"/>
      <c r="AJ1304" s="97"/>
      <c r="AK1304" s="4"/>
    </row>
    <row r="1305" spans="2:37" s="113" customFormat="1" x14ac:dyDescent="0.4">
      <c r="B1305" s="80"/>
      <c r="C1305" s="563">
        <v>892</v>
      </c>
      <c r="D1305" s="907"/>
      <c r="E1305" s="906"/>
      <c r="F1305" s="921" t="str">
        <f t="shared" si="62"/>
        <v/>
      </c>
      <c r="G1305" s="882" t="str">
        <f t="shared" si="63"/>
        <v/>
      </c>
      <c r="H1305" s="925"/>
      <c r="I1305" s="919"/>
      <c r="J1305" s="919"/>
      <c r="K1305" s="919"/>
      <c r="L1305" s="919"/>
      <c r="O1305" s="339"/>
      <c r="T1305" s="75"/>
      <c r="U1305" s="75"/>
      <c r="V1305" s="75"/>
      <c r="W1305" s="75"/>
      <c r="X1305" s="75"/>
      <c r="Y1305" s="340"/>
      <c r="Z1305" s="341"/>
      <c r="AA1305" s="341"/>
      <c r="AB1305" s="341"/>
      <c r="AC1305" s="340"/>
      <c r="AD1305" s="75"/>
      <c r="AE1305" s="75"/>
      <c r="AF1305" s="75"/>
      <c r="AG1305" s="344"/>
      <c r="AH1305" s="344"/>
      <c r="AI1305" s="344"/>
      <c r="AJ1305" s="97"/>
      <c r="AK1305" s="4"/>
    </row>
    <row r="1306" spans="2:37" s="113" customFormat="1" x14ac:dyDescent="0.4">
      <c r="B1306" s="80"/>
      <c r="C1306" s="563">
        <v>893</v>
      </c>
      <c r="D1306" s="907"/>
      <c r="E1306" s="906"/>
      <c r="F1306" s="921" t="str">
        <f t="shared" si="62"/>
        <v/>
      </c>
      <c r="G1306" s="882" t="str">
        <f t="shared" si="63"/>
        <v/>
      </c>
      <c r="H1306" s="925"/>
      <c r="I1306" s="919"/>
      <c r="J1306" s="919"/>
      <c r="K1306" s="919"/>
      <c r="L1306" s="919"/>
      <c r="O1306" s="339"/>
      <c r="T1306" s="75"/>
      <c r="U1306" s="75"/>
      <c r="V1306" s="75"/>
      <c r="W1306" s="75"/>
      <c r="X1306" s="75"/>
      <c r="Y1306" s="340"/>
      <c r="Z1306" s="341"/>
      <c r="AA1306" s="341"/>
      <c r="AB1306" s="341"/>
      <c r="AC1306" s="340"/>
      <c r="AD1306" s="75"/>
      <c r="AE1306" s="75"/>
      <c r="AF1306" s="75"/>
      <c r="AG1306" s="344"/>
      <c r="AH1306" s="344"/>
      <c r="AI1306" s="344"/>
      <c r="AJ1306" s="97"/>
      <c r="AK1306" s="4"/>
    </row>
    <row r="1307" spans="2:37" s="113" customFormat="1" x14ac:dyDescent="0.4">
      <c r="B1307" s="80"/>
      <c r="C1307" s="563">
        <v>894</v>
      </c>
      <c r="D1307" s="907"/>
      <c r="E1307" s="906"/>
      <c r="F1307" s="921" t="str">
        <f t="shared" si="62"/>
        <v/>
      </c>
      <c r="G1307" s="882" t="str">
        <f t="shared" si="63"/>
        <v/>
      </c>
      <c r="H1307" s="925"/>
      <c r="I1307" s="919"/>
      <c r="J1307" s="919"/>
      <c r="K1307" s="919"/>
      <c r="L1307" s="919"/>
      <c r="O1307" s="339"/>
      <c r="T1307" s="75"/>
      <c r="U1307" s="75"/>
      <c r="V1307" s="75"/>
      <c r="W1307" s="75"/>
      <c r="X1307" s="75"/>
      <c r="Y1307" s="340"/>
      <c r="Z1307" s="341"/>
      <c r="AA1307" s="341"/>
      <c r="AB1307" s="341"/>
      <c r="AC1307" s="340"/>
      <c r="AD1307" s="75"/>
      <c r="AE1307" s="75"/>
      <c r="AF1307" s="75"/>
      <c r="AG1307" s="344"/>
      <c r="AH1307" s="344"/>
      <c r="AI1307" s="344"/>
      <c r="AJ1307" s="97"/>
      <c r="AK1307" s="4"/>
    </row>
    <row r="1308" spans="2:37" s="113" customFormat="1" x14ac:dyDescent="0.4">
      <c r="B1308" s="80"/>
      <c r="C1308" s="563">
        <v>895</v>
      </c>
      <c r="D1308" s="907"/>
      <c r="E1308" s="906"/>
      <c r="F1308" s="921" t="str">
        <f t="shared" si="62"/>
        <v/>
      </c>
      <c r="G1308" s="882" t="str">
        <f t="shared" si="63"/>
        <v/>
      </c>
      <c r="H1308" s="925"/>
      <c r="I1308" s="919"/>
      <c r="J1308" s="919"/>
      <c r="K1308" s="919"/>
      <c r="L1308" s="919"/>
      <c r="O1308" s="339"/>
      <c r="T1308" s="75"/>
      <c r="U1308" s="75"/>
      <c r="V1308" s="75"/>
      <c r="W1308" s="75"/>
      <c r="X1308" s="75"/>
      <c r="Y1308" s="340"/>
      <c r="Z1308" s="341"/>
      <c r="AA1308" s="341"/>
      <c r="AB1308" s="341"/>
      <c r="AC1308" s="340"/>
      <c r="AD1308" s="75"/>
      <c r="AE1308" s="75"/>
      <c r="AF1308" s="75"/>
      <c r="AG1308" s="344"/>
      <c r="AH1308" s="344"/>
      <c r="AI1308" s="344"/>
      <c r="AJ1308" s="97"/>
      <c r="AK1308" s="4"/>
    </row>
    <row r="1309" spans="2:37" s="113" customFormat="1" x14ac:dyDescent="0.4">
      <c r="B1309" s="80"/>
      <c r="C1309" s="563">
        <v>896</v>
      </c>
      <c r="D1309" s="907"/>
      <c r="E1309" s="906"/>
      <c r="F1309" s="921" t="str">
        <f t="shared" si="62"/>
        <v/>
      </c>
      <c r="G1309" s="882" t="str">
        <f t="shared" si="63"/>
        <v/>
      </c>
      <c r="H1309" s="925"/>
      <c r="I1309" s="919"/>
      <c r="J1309" s="919"/>
      <c r="K1309" s="919"/>
      <c r="L1309" s="919"/>
      <c r="O1309" s="339"/>
      <c r="T1309" s="75"/>
      <c r="U1309" s="75"/>
      <c r="V1309" s="75"/>
      <c r="W1309" s="75"/>
      <c r="X1309" s="75"/>
      <c r="Y1309" s="340"/>
      <c r="Z1309" s="341"/>
      <c r="AA1309" s="341"/>
      <c r="AB1309" s="341"/>
      <c r="AC1309" s="340"/>
      <c r="AD1309" s="75"/>
      <c r="AE1309" s="75"/>
      <c r="AF1309" s="75"/>
      <c r="AG1309" s="344"/>
      <c r="AH1309" s="344"/>
      <c r="AI1309" s="344"/>
      <c r="AJ1309" s="97"/>
      <c r="AK1309" s="4"/>
    </row>
    <row r="1310" spans="2:37" s="113" customFormat="1" x14ac:dyDescent="0.4">
      <c r="B1310" s="80"/>
      <c r="C1310" s="563">
        <v>897</v>
      </c>
      <c r="D1310" s="907"/>
      <c r="E1310" s="906"/>
      <c r="F1310" s="921" t="str">
        <f t="shared" ref="F1310:F1373" si="64">IF($D$30="","",IF(OR(
AND(C1310&gt;=0,C1310&lt;=$D$32),
AND(C1310&gt;=$E$30,C1310&lt;=$E$32),
AND(C1310&gt;=$F$30,C1310&lt;=$F$32),
AND(C1310&gt;=$G$30,C1310&lt;=$G$32),
AND(C1310&gt;=$H$30,C1310&lt;=$H$32),
AND(C1310&gt;=$I$30,C1310&lt;=$I$32),
AND(C1310&gt;=$J$30,C1310&lt;=$J$32),
AND(C1310&gt;=$K$30,C1310&lt;=$K$32),
AND(C1310&gt;=$L$30,C1310&lt;=$L$32),
AND(C1310&gt;=$M$30,C1310&lt;=$M$32,$M$32&lt;&gt;""),
AND(C1310&gt;=$N$30,C1310&lt;=$N$32,$N$32&lt;&gt;""),
AND(C1310&gt;=$O$30,C1310&lt;=$O$32,$O$32&lt;&gt;""),
AND(C1310&gt;=$P$30,C1310&lt;=$P$32,$P$32&lt;&gt;""),
AND(C1310&gt;=$Q$30,C1310&lt;=$Q$32,$Q$32&lt;&gt;"")
),"ON","OFF"))</f>
        <v/>
      </c>
      <c r="G1310" s="882" t="str">
        <f t="shared" si="63"/>
        <v/>
      </c>
      <c r="H1310" s="925"/>
      <c r="I1310" s="919"/>
      <c r="J1310" s="919"/>
      <c r="K1310" s="919"/>
      <c r="L1310" s="919"/>
      <c r="O1310" s="339"/>
      <c r="T1310" s="75"/>
      <c r="U1310" s="75"/>
      <c r="V1310" s="75"/>
      <c r="W1310" s="75"/>
      <c r="X1310" s="75"/>
      <c r="Y1310" s="340"/>
      <c r="Z1310" s="341"/>
      <c r="AA1310" s="341"/>
      <c r="AB1310" s="341"/>
      <c r="AC1310" s="340"/>
      <c r="AD1310" s="75"/>
      <c r="AE1310" s="75"/>
      <c r="AF1310" s="75"/>
      <c r="AG1310" s="344"/>
      <c r="AH1310" s="344"/>
      <c r="AI1310" s="344"/>
      <c r="AJ1310" s="97"/>
      <c r="AK1310" s="4"/>
    </row>
    <row r="1311" spans="2:37" s="113" customFormat="1" x14ac:dyDescent="0.4">
      <c r="B1311" s="80"/>
      <c r="C1311" s="563">
        <v>898</v>
      </c>
      <c r="D1311" s="907"/>
      <c r="E1311" s="906"/>
      <c r="F1311" s="921" t="str">
        <f t="shared" si="64"/>
        <v/>
      </c>
      <c r="G1311" s="882" t="str">
        <f t="shared" ref="G1311:G1374" si="65">IF(OR($D$47="",$D$48=""),"",IF(OR(
AND(C1311&gt;=$D$47,C1311&lt;=$D$48),
AND(C1311&gt;=$E$47,C1311&lt;=$E$48),
AND(C1311&gt;=$F$47,C1311&lt;=$F$48),
AND(C1311&gt;=$G$47,C1311&lt;=$G$48),
AND(C1311&gt;=$H$47,C1311&lt;=$H$48),
AND(C1311&gt;=$I$47,C1311&lt;=$I$48),
AND(C1311&gt;=$J$47,C1311&lt;=$J$48),
AND(C1311&gt;=$K$47,C1311&lt;=$K$48),
AND(C1311&gt;=$L$47,C1311&lt;=$L$48),
AND(C1311&gt;=$M$47,C1311&lt;=$M$48),
AND(C1311&gt;=$N$47,C1311&lt;=$N$48),
AND(C1311&gt;=$O$47,C1311&lt;=$O$48),
AND(C1311&gt;=$P$47,C1311&lt;=$P$48),
AND(C1311&gt;=$Q$47,C1311&lt;=$Q$48),
AND(C1311&gt;=$R$47,C1311&lt;=$R$48),
AND(C1311&gt;=$S$47,C1311&lt;=$S$48),
AND(C1311&gt;=$T$47,C1311&lt;=$T$48),
AND(C1311&gt;=$U$47,C1311&lt;=$U$48),
AND(C1311&gt;=$V$47,C1311&lt;=$V$48),
AND(C1311&gt;=$W$47,C1311&lt;=$W$48),
AND(C1311&gt;=$X$47,C1311&lt;=$X$48),
AND(C1311&gt;=$Y$47,C1311&lt;=$Y$48),
AND(C1311&gt;=$Z$47,C1311&lt;=$Z$48),
AND(C1311&gt;=$AA$47,C1311&lt;=$AA$48),
AND(C1311&gt;=$AB$47,C1311&lt;=$AB$48),
AND(C1311&gt;=$AC$47,C1311&lt;=$AC$48),
AND(C1311&gt;=$AD$47,C1311&lt;=$AD$48),
AND(C1311&gt;=$AE$47,C1311&lt;=$AE$48),
AND(C1311&gt;=$AF$47,C1311&lt;=$AF$48),
AND(C1311&gt;=$AG$47,C1311&lt;=$AG$48)
),"ON","OFF"))</f>
        <v/>
      </c>
      <c r="H1311" s="925"/>
      <c r="I1311" s="919"/>
      <c r="J1311" s="919"/>
      <c r="K1311" s="919"/>
      <c r="L1311" s="919"/>
      <c r="O1311" s="339"/>
      <c r="T1311" s="75"/>
      <c r="U1311" s="75"/>
      <c r="V1311" s="75"/>
      <c r="W1311" s="75"/>
      <c r="X1311" s="75"/>
      <c r="Y1311" s="340"/>
      <c r="Z1311" s="341"/>
      <c r="AA1311" s="341"/>
      <c r="AB1311" s="341"/>
      <c r="AC1311" s="340"/>
      <c r="AD1311" s="75"/>
      <c r="AE1311" s="75"/>
      <c r="AF1311" s="75"/>
      <c r="AG1311" s="344"/>
      <c r="AH1311" s="344"/>
      <c r="AI1311" s="344"/>
      <c r="AJ1311" s="97"/>
      <c r="AK1311" s="4"/>
    </row>
    <row r="1312" spans="2:37" s="113" customFormat="1" x14ac:dyDescent="0.4">
      <c r="B1312" s="80"/>
      <c r="C1312" s="563">
        <v>899</v>
      </c>
      <c r="D1312" s="907"/>
      <c r="E1312" s="906"/>
      <c r="F1312" s="921" t="str">
        <f t="shared" si="64"/>
        <v/>
      </c>
      <c r="G1312" s="882" t="str">
        <f t="shared" si="65"/>
        <v/>
      </c>
      <c r="H1312" s="925"/>
      <c r="I1312" s="919"/>
      <c r="J1312" s="919"/>
      <c r="K1312" s="919"/>
      <c r="L1312" s="919"/>
      <c r="O1312" s="339"/>
      <c r="T1312" s="75"/>
      <c r="U1312" s="75"/>
      <c r="V1312" s="75"/>
      <c r="W1312" s="75"/>
      <c r="X1312" s="75"/>
      <c r="Y1312" s="340"/>
      <c r="Z1312" s="341"/>
      <c r="AA1312" s="341"/>
      <c r="AB1312" s="341"/>
      <c r="AC1312" s="340"/>
      <c r="AD1312" s="75"/>
      <c r="AE1312" s="75"/>
      <c r="AF1312" s="75"/>
      <c r="AG1312" s="344"/>
      <c r="AH1312" s="344"/>
      <c r="AI1312" s="344"/>
      <c r="AJ1312" s="97"/>
      <c r="AK1312" s="4"/>
    </row>
    <row r="1313" spans="2:37" s="113" customFormat="1" x14ac:dyDescent="0.4">
      <c r="B1313" s="80"/>
      <c r="C1313" s="563">
        <v>900</v>
      </c>
      <c r="D1313" s="907"/>
      <c r="E1313" s="906"/>
      <c r="F1313" s="921" t="str">
        <f t="shared" si="64"/>
        <v/>
      </c>
      <c r="G1313" s="882" t="str">
        <f t="shared" si="65"/>
        <v/>
      </c>
      <c r="H1313" s="925"/>
      <c r="I1313" s="919"/>
      <c r="J1313" s="919"/>
      <c r="K1313" s="919"/>
      <c r="L1313" s="919"/>
      <c r="O1313" s="339"/>
      <c r="T1313" s="75"/>
      <c r="U1313" s="75"/>
      <c r="V1313" s="75"/>
      <c r="W1313" s="75"/>
      <c r="X1313" s="75"/>
      <c r="Y1313" s="340"/>
      <c r="Z1313" s="341"/>
      <c r="AA1313" s="341"/>
      <c r="AB1313" s="341"/>
      <c r="AC1313" s="340"/>
      <c r="AD1313" s="75"/>
      <c r="AE1313" s="75"/>
      <c r="AF1313" s="75"/>
      <c r="AG1313" s="344"/>
      <c r="AH1313" s="344"/>
      <c r="AI1313" s="344"/>
      <c r="AJ1313" s="97"/>
      <c r="AK1313" s="4"/>
    </row>
    <row r="1314" spans="2:37" s="113" customFormat="1" x14ac:dyDescent="0.4">
      <c r="B1314" s="80"/>
      <c r="C1314" s="563">
        <v>901</v>
      </c>
      <c r="D1314" s="907"/>
      <c r="E1314" s="906"/>
      <c r="F1314" s="921" t="str">
        <f t="shared" si="64"/>
        <v/>
      </c>
      <c r="G1314" s="882" t="str">
        <f t="shared" si="65"/>
        <v/>
      </c>
      <c r="H1314" s="925"/>
      <c r="I1314" s="919"/>
      <c r="J1314" s="919"/>
      <c r="K1314" s="919"/>
      <c r="L1314" s="919"/>
      <c r="O1314" s="339"/>
      <c r="T1314" s="75"/>
      <c r="U1314" s="75"/>
      <c r="V1314" s="75"/>
      <c r="W1314" s="75"/>
      <c r="X1314" s="75"/>
      <c r="Y1314" s="340"/>
      <c r="Z1314" s="341"/>
      <c r="AA1314" s="341"/>
      <c r="AB1314" s="341"/>
      <c r="AC1314" s="340"/>
      <c r="AD1314" s="75"/>
      <c r="AE1314" s="75"/>
      <c r="AF1314" s="75"/>
      <c r="AG1314" s="344"/>
      <c r="AH1314" s="344"/>
      <c r="AI1314" s="344"/>
      <c r="AJ1314" s="97"/>
      <c r="AK1314" s="4"/>
    </row>
    <row r="1315" spans="2:37" s="113" customFormat="1" x14ac:dyDescent="0.4">
      <c r="B1315" s="80"/>
      <c r="C1315" s="563">
        <v>902</v>
      </c>
      <c r="D1315" s="907"/>
      <c r="E1315" s="906"/>
      <c r="F1315" s="921" t="str">
        <f t="shared" si="64"/>
        <v/>
      </c>
      <c r="G1315" s="882" t="str">
        <f t="shared" si="65"/>
        <v/>
      </c>
      <c r="H1315" s="925"/>
      <c r="I1315" s="919"/>
      <c r="J1315" s="919"/>
      <c r="K1315" s="919"/>
      <c r="L1315" s="919"/>
      <c r="O1315" s="339"/>
      <c r="T1315" s="75"/>
      <c r="U1315" s="75"/>
      <c r="V1315" s="75"/>
      <c r="W1315" s="75"/>
      <c r="X1315" s="75"/>
      <c r="Y1315" s="340"/>
      <c r="Z1315" s="341"/>
      <c r="AA1315" s="341"/>
      <c r="AB1315" s="341"/>
      <c r="AC1315" s="340"/>
      <c r="AD1315" s="75"/>
      <c r="AE1315" s="75"/>
      <c r="AF1315" s="75"/>
      <c r="AG1315" s="344"/>
      <c r="AH1315" s="344"/>
      <c r="AI1315" s="344"/>
      <c r="AJ1315" s="97"/>
      <c r="AK1315" s="4"/>
    </row>
    <row r="1316" spans="2:37" s="113" customFormat="1" x14ac:dyDescent="0.4">
      <c r="B1316" s="80"/>
      <c r="C1316" s="563">
        <v>903</v>
      </c>
      <c r="D1316" s="907"/>
      <c r="E1316" s="906"/>
      <c r="F1316" s="921" t="str">
        <f t="shared" si="64"/>
        <v/>
      </c>
      <c r="G1316" s="882" t="str">
        <f t="shared" si="65"/>
        <v/>
      </c>
      <c r="H1316" s="925"/>
      <c r="I1316" s="919"/>
      <c r="J1316" s="919"/>
      <c r="K1316" s="919"/>
      <c r="L1316" s="919"/>
      <c r="O1316" s="339"/>
      <c r="T1316" s="75"/>
      <c r="U1316" s="75"/>
      <c r="V1316" s="75"/>
      <c r="W1316" s="75"/>
      <c r="X1316" s="75"/>
      <c r="Y1316" s="340"/>
      <c r="Z1316" s="341"/>
      <c r="AA1316" s="341"/>
      <c r="AB1316" s="341"/>
      <c r="AC1316" s="340"/>
      <c r="AD1316" s="75"/>
      <c r="AE1316" s="75"/>
      <c r="AF1316" s="75"/>
      <c r="AG1316" s="344"/>
      <c r="AH1316" s="344"/>
      <c r="AI1316" s="344"/>
      <c r="AJ1316" s="97"/>
      <c r="AK1316" s="4"/>
    </row>
    <row r="1317" spans="2:37" s="113" customFormat="1" x14ac:dyDescent="0.4">
      <c r="B1317" s="80"/>
      <c r="C1317" s="563">
        <v>904</v>
      </c>
      <c r="D1317" s="907"/>
      <c r="E1317" s="906"/>
      <c r="F1317" s="921" t="str">
        <f t="shared" si="64"/>
        <v/>
      </c>
      <c r="G1317" s="882" t="str">
        <f t="shared" si="65"/>
        <v/>
      </c>
      <c r="H1317" s="925"/>
      <c r="I1317" s="919"/>
      <c r="J1317" s="919"/>
      <c r="K1317" s="919"/>
      <c r="L1317" s="919"/>
      <c r="O1317" s="339"/>
      <c r="T1317" s="75"/>
      <c r="U1317" s="75"/>
      <c r="V1317" s="75"/>
      <c r="W1317" s="75"/>
      <c r="X1317" s="75"/>
      <c r="Y1317" s="340"/>
      <c r="Z1317" s="341"/>
      <c r="AA1317" s="341"/>
      <c r="AB1317" s="341"/>
      <c r="AC1317" s="340"/>
      <c r="AD1317" s="75"/>
      <c r="AE1317" s="75"/>
      <c r="AF1317" s="75"/>
      <c r="AG1317" s="344"/>
      <c r="AH1317" s="344"/>
      <c r="AI1317" s="344"/>
      <c r="AJ1317" s="97"/>
      <c r="AK1317" s="4"/>
    </row>
    <row r="1318" spans="2:37" s="113" customFormat="1" x14ac:dyDescent="0.4">
      <c r="B1318" s="80"/>
      <c r="C1318" s="563">
        <v>905</v>
      </c>
      <c r="D1318" s="907"/>
      <c r="E1318" s="906"/>
      <c r="F1318" s="921" t="str">
        <f t="shared" si="64"/>
        <v/>
      </c>
      <c r="G1318" s="882" t="str">
        <f t="shared" si="65"/>
        <v/>
      </c>
      <c r="H1318" s="925"/>
      <c r="I1318" s="919"/>
      <c r="J1318" s="919"/>
      <c r="K1318" s="919"/>
      <c r="L1318" s="919"/>
      <c r="O1318" s="339"/>
      <c r="T1318" s="75"/>
      <c r="U1318" s="75"/>
      <c r="V1318" s="75"/>
      <c r="W1318" s="75"/>
      <c r="X1318" s="75"/>
      <c r="Y1318" s="340"/>
      <c r="Z1318" s="341"/>
      <c r="AA1318" s="341"/>
      <c r="AB1318" s="341"/>
      <c r="AC1318" s="340"/>
      <c r="AD1318" s="75"/>
      <c r="AE1318" s="75"/>
      <c r="AF1318" s="75"/>
      <c r="AG1318" s="344"/>
      <c r="AH1318" s="344"/>
      <c r="AI1318" s="344"/>
      <c r="AJ1318" s="97"/>
      <c r="AK1318" s="4"/>
    </row>
    <row r="1319" spans="2:37" s="113" customFormat="1" x14ac:dyDescent="0.4">
      <c r="B1319" s="80"/>
      <c r="C1319" s="563">
        <v>906</v>
      </c>
      <c r="D1319" s="907"/>
      <c r="E1319" s="906"/>
      <c r="F1319" s="921" t="str">
        <f t="shared" si="64"/>
        <v/>
      </c>
      <c r="G1319" s="882" t="str">
        <f t="shared" si="65"/>
        <v/>
      </c>
      <c r="H1319" s="925"/>
      <c r="I1319" s="919"/>
      <c r="J1319" s="919"/>
      <c r="K1319" s="919"/>
      <c r="L1319" s="919"/>
      <c r="O1319" s="339"/>
      <c r="T1319" s="75"/>
      <c r="U1319" s="75"/>
      <c r="V1319" s="75"/>
      <c r="W1319" s="75"/>
      <c r="X1319" s="75"/>
      <c r="Y1319" s="340"/>
      <c r="Z1319" s="341"/>
      <c r="AA1319" s="341"/>
      <c r="AB1319" s="341"/>
      <c r="AC1319" s="340"/>
      <c r="AD1319" s="75"/>
      <c r="AE1319" s="75"/>
      <c r="AF1319" s="75"/>
      <c r="AG1319" s="344"/>
      <c r="AH1319" s="344"/>
      <c r="AI1319" s="344"/>
      <c r="AJ1319" s="97"/>
      <c r="AK1319" s="4"/>
    </row>
    <row r="1320" spans="2:37" s="113" customFormat="1" x14ac:dyDescent="0.4">
      <c r="B1320" s="80"/>
      <c r="C1320" s="563">
        <v>907</v>
      </c>
      <c r="D1320" s="907"/>
      <c r="E1320" s="906"/>
      <c r="F1320" s="921" t="str">
        <f t="shared" si="64"/>
        <v/>
      </c>
      <c r="G1320" s="882" t="str">
        <f t="shared" si="65"/>
        <v/>
      </c>
      <c r="H1320" s="925"/>
      <c r="I1320" s="919"/>
      <c r="J1320" s="919"/>
      <c r="K1320" s="919"/>
      <c r="L1320" s="919"/>
      <c r="O1320" s="339"/>
      <c r="T1320" s="75"/>
      <c r="U1320" s="75"/>
      <c r="V1320" s="75"/>
      <c r="W1320" s="75"/>
      <c r="X1320" s="75"/>
      <c r="Y1320" s="340"/>
      <c r="Z1320" s="341"/>
      <c r="AA1320" s="341"/>
      <c r="AB1320" s="341"/>
      <c r="AC1320" s="340"/>
      <c r="AD1320" s="75"/>
      <c r="AE1320" s="75"/>
      <c r="AF1320" s="75"/>
      <c r="AG1320" s="344"/>
      <c r="AH1320" s="344"/>
      <c r="AI1320" s="344"/>
      <c r="AJ1320" s="97"/>
      <c r="AK1320" s="4"/>
    </row>
    <row r="1321" spans="2:37" s="113" customFormat="1" x14ac:dyDescent="0.4">
      <c r="B1321" s="80"/>
      <c r="C1321" s="563">
        <v>908</v>
      </c>
      <c r="D1321" s="907"/>
      <c r="E1321" s="906"/>
      <c r="F1321" s="921" t="str">
        <f t="shared" si="64"/>
        <v/>
      </c>
      <c r="G1321" s="882" t="str">
        <f t="shared" si="65"/>
        <v/>
      </c>
      <c r="H1321" s="925"/>
      <c r="I1321" s="919"/>
      <c r="J1321" s="919"/>
      <c r="K1321" s="919"/>
      <c r="L1321" s="919"/>
      <c r="O1321" s="339"/>
      <c r="T1321" s="75"/>
      <c r="U1321" s="75"/>
      <c r="V1321" s="75"/>
      <c r="W1321" s="75"/>
      <c r="X1321" s="75"/>
      <c r="Y1321" s="340"/>
      <c r="Z1321" s="341"/>
      <c r="AA1321" s="341"/>
      <c r="AB1321" s="341"/>
      <c r="AC1321" s="340"/>
      <c r="AD1321" s="75"/>
      <c r="AE1321" s="75"/>
      <c r="AF1321" s="75"/>
      <c r="AG1321" s="344"/>
      <c r="AH1321" s="344"/>
      <c r="AI1321" s="344"/>
      <c r="AJ1321" s="97"/>
      <c r="AK1321" s="4"/>
    </row>
    <row r="1322" spans="2:37" s="113" customFormat="1" x14ac:dyDescent="0.4">
      <c r="B1322" s="80"/>
      <c r="C1322" s="563">
        <v>909</v>
      </c>
      <c r="D1322" s="907"/>
      <c r="E1322" s="906"/>
      <c r="F1322" s="921" t="str">
        <f t="shared" si="64"/>
        <v/>
      </c>
      <c r="G1322" s="882" t="str">
        <f t="shared" si="65"/>
        <v/>
      </c>
      <c r="H1322" s="925"/>
      <c r="I1322" s="919"/>
      <c r="J1322" s="919"/>
      <c r="K1322" s="919"/>
      <c r="L1322" s="919"/>
      <c r="O1322" s="339"/>
      <c r="T1322" s="75"/>
      <c r="U1322" s="75"/>
      <c r="V1322" s="75"/>
      <c r="W1322" s="75"/>
      <c r="X1322" s="75"/>
      <c r="Y1322" s="340"/>
      <c r="Z1322" s="341"/>
      <c r="AA1322" s="341"/>
      <c r="AB1322" s="341"/>
      <c r="AC1322" s="340"/>
      <c r="AD1322" s="75"/>
      <c r="AE1322" s="75"/>
      <c r="AF1322" s="75"/>
      <c r="AG1322" s="344"/>
      <c r="AH1322" s="344"/>
      <c r="AI1322" s="344"/>
      <c r="AJ1322" s="97"/>
      <c r="AK1322" s="4"/>
    </row>
    <row r="1323" spans="2:37" s="113" customFormat="1" x14ac:dyDescent="0.4">
      <c r="B1323" s="80"/>
      <c r="C1323" s="563">
        <v>910</v>
      </c>
      <c r="D1323" s="907"/>
      <c r="E1323" s="906"/>
      <c r="F1323" s="921" t="str">
        <f t="shared" si="64"/>
        <v/>
      </c>
      <c r="G1323" s="882" t="str">
        <f t="shared" si="65"/>
        <v/>
      </c>
      <c r="H1323" s="925"/>
      <c r="I1323" s="919"/>
      <c r="J1323" s="919"/>
      <c r="K1323" s="919"/>
      <c r="L1323" s="919"/>
      <c r="O1323" s="339"/>
      <c r="T1323" s="75"/>
      <c r="U1323" s="75"/>
      <c r="V1323" s="75"/>
      <c r="W1323" s="75"/>
      <c r="X1323" s="75"/>
      <c r="Y1323" s="340"/>
      <c r="Z1323" s="341"/>
      <c r="AA1323" s="341"/>
      <c r="AB1323" s="341"/>
      <c r="AC1323" s="340"/>
      <c r="AD1323" s="75"/>
      <c r="AE1323" s="75"/>
      <c r="AF1323" s="75"/>
      <c r="AG1323" s="344"/>
      <c r="AH1323" s="344"/>
      <c r="AI1323" s="344"/>
      <c r="AJ1323" s="97"/>
      <c r="AK1323" s="4"/>
    </row>
    <row r="1324" spans="2:37" s="113" customFormat="1" x14ac:dyDescent="0.4">
      <c r="B1324" s="80"/>
      <c r="C1324" s="563">
        <v>911</v>
      </c>
      <c r="D1324" s="907"/>
      <c r="E1324" s="906"/>
      <c r="F1324" s="921" t="str">
        <f t="shared" si="64"/>
        <v/>
      </c>
      <c r="G1324" s="882" t="str">
        <f t="shared" si="65"/>
        <v/>
      </c>
      <c r="H1324" s="925"/>
      <c r="I1324" s="919"/>
      <c r="J1324" s="919"/>
      <c r="K1324" s="919"/>
      <c r="L1324" s="919"/>
      <c r="O1324" s="339"/>
      <c r="T1324" s="75"/>
      <c r="U1324" s="75"/>
      <c r="V1324" s="75"/>
      <c r="W1324" s="75"/>
      <c r="X1324" s="75"/>
      <c r="Y1324" s="340"/>
      <c r="Z1324" s="341"/>
      <c r="AA1324" s="341"/>
      <c r="AB1324" s="341"/>
      <c r="AC1324" s="340"/>
      <c r="AD1324" s="75"/>
      <c r="AE1324" s="75"/>
      <c r="AF1324" s="75"/>
      <c r="AG1324" s="344"/>
      <c r="AH1324" s="344"/>
      <c r="AI1324" s="344"/>
      <c r="AJ1324" s="97"/>
      <c r="AK1324" s="4"/>
    </row>
    <row r="1325" spans="2:37" s="113" customFormat="1" x14ac:dyDescent="0.4">
      <c r="B1325" s="80"/>
      <c r="C1325" s="563">
        <v>912</v>
      </c>
      <c r="D1325" s="907"/>
      <c r="E1325" s="906"/>
      <c r="F1325" s="921" t="str">
        <f t="shared" si="64"/>
        <v/>
      </c>
      <c r="G1325" s="882" t="str">
        <f t="shared" si="65"/>
        <v/>
      </c>
      <c r="H1325" s="925"/>
      <c r="I1325" s="919"/>
      <c r="J1325" s="919"/>
      <c r="K1325" s="919"/>
      <c r="L1325" s="919"/>
      <c r="O1325" s="339"/>
      <c r="T1325" s="75"/>
      <c r="U1325" s="75"/>
      <c r="V1325" s="75"/>
      <c r="W1325" s="75"/>
      <c r="X1325" s="75"/>
      <c r="Y1325" s="340"/>
      <c r="Z1325" s="341"/>
      <c r="AA1325" s="341"/>
      <c r="AB1325" s="341"/>
      <c r="AC1325" s="340"/>
      <c r="AD1325" s="75"/>
      <c r="AE1325" s="75"/>
      <c r="AF1325" s="75"/>
      <c r="AG1325" s="344"/>
      <c r="AH1325" s="344"/>
      <c r="AI1325" s="344"/>
      <c r="AJ1325" s="97"/>
      <c r="AK1325" s="4"/>
    </row>
    <row r="1326" spans="2:37" s="113" customFormat="1" x14ac:dyDescent="0.4">
      <c r="B1326" s="80"/>
      <c r="C1326" s="563">
        <v>913</v>
      </c>
      <c r="D1326" s="907"/>
      <c r="E1326" s="906"/>
      <c r="F1326" s="921" t="str">
        <f t="shared" si="64"/>
        <v/>
      </c>
      <c r="G1326" s="882" t="str">
        <f t="shared" si="65"/>
        <v/>
      </c>
      <c r="H1326" s="925"/>
      <c r="I1326" s="919"/>
      <c r="J1326" s="919"/>
      <c r="K1326" s="919"/>
      <c r="L1326" s="919"/>
      <c r="O1326" s="339"/>
      <c r="T1326" s="75"/>
      <c r="U1326" s="75"/>
      <c r="V1326" s="75"/>
      <c r="W1326" s="75"/>
      <c r="X1326" s="75"/>
      <c r="Y1326" s="340"/>
      <c r="Z1326" s="341"/>
      <c r="AA1326" s="341"/>
      <c r="AB1326" s="341"/>
      <c r="AC1326" s="340"/>
      <c r="AD1326" s="75"/>
      <c r="AE1326" s="75"/>
      <c r="AF1326" s="75"/>
      <c r="AG1326" s="344"/>
      <c r="AH1326" s="344"/>
      <c r="AI1326" s="344"/>
      <c r="AJ1326" s="97"/>
      <c r="AK1326" s="4"/>
    </row>
    <row r="1327" spans="2:37" s="113" customFormat="1" x14ac:dyDescent="0.4">
      <c r="B1327" s="80"/>
      <c r="C1327" s="563">
        <v>914</v>
      </c>
      <c r="D1327" s="907"/>
      <c r="E1327" s="906"/>
      <c r="F1327" s="921" t="str">
        <f t="shared" si="64"/>
        <v/>
      </c>
      <c r="G1327" s="882" t="str">
        <f t="shared" si="65"/>
        <v/>
      </c>
      <c r="H1327" s="925"/>
      <c r="I1327" s="919"/>
      <c r="J1327" s="919"/>
      <c r="K1327" s="919"/>
      <c r="L1327" s="919"/>
      <c r="O1327" s="339"/>
      <c r="T1327" s="75"/>
      <c r="U1327" s="75"/>
      <c r="V1327" s="75"/>
      <c r="W1327" s="75"/>
      <c r="X1327" s="75"/>
      <c r="Y1327" s="340"/>
      <c r="Z1327" s="341"/>
      <c r="AA1327" s="341"/>
      <c r="AB1327" s="341"/>
      <c r="AC1327" s="340"/>
      <c r="AD1327" s="75"/>
      <c r="AE1327" s="75"/>
      <c r="AF1327" s="75"/>
      <c r="AG1327" s="344"/>
      <c r="AH1327" s="344"/>
      <c r="AI1327" s="344"/>
      <c r="AJ1327" s="97"/>
      <c r="AK1327" s="4"/>
    </row>
    <row r="1328" spans="2:37" s="113" customFormat="1" x14ac:dyDescent="0.4">
      <c r="B1328" s="80"/>
      <c r="C1328" s="563">
        <v>915</v>
      </c>
      <c r="D1328" s="907"/>
      <c r="E1328" s="906"/>
      <c r="F1328" s="921" t="str">
        <f t="shared" si="64"/>
        <v/>
      </c>
      <c r="G1328" s="882" t="str">
        <f t="shared" si="65"/>
        <v/>
      </c>
      <c r="H1328" s="925"/>
      <c r="I1328" s="919"/>
      <c r="J1328" s="919"/>
      <c r="K1328" s="919"/>
      <c r="L1328" s="919"/>
      <c r="O1328" s="339"/>
      <c r="T1328" s="75"/>
      <c r="U1328" s="75"/>
      <c r="V1328" s="75"/>
      <c r="W1328" s="75"/>
      <c r="X1328" s="75"/>
      <c r="Y1328" s="340"/>
      <c r="Z1328" s="341"/>
      <c r="AA1328" s="341"/>
      <c r="AB1328" s="341"/>
      <c r="AC1328" s="340"/>
      <c r="AD1328" s="75"/>
      <c r="AE1328" s="75"/>
      <c r="AF1328" s="75"/>
      <c r="AG1328" s="344"/>
      <c r="AH1328" s="344"/>
      <c r="AI1328" s="344"/>
      <c r="AJ1328" s="97"/>
      <c r="AK1328" s="4"/>
    </row>
    <row r="1329" spans="2:37" s="113" customFormat="1" x14ac:dyDescent="0.4">
      <c r="B1329" s="80"/>
      <c r="C1329" s="563">
        <v>916</v>
      </c>
      <c r="D1329" s="907"/>
      <c r="E1329" s="906"/>
      <c r="F1329" s="921" t="str">
        <f t="shared" si="64"/>
        <v/>
      </c>
      <c r="G1329" s="882" t="str">
        <f t="shared" si="65"/>
        <v/>
      </c>
      <c r="H1329" s="925"/>
      <c r="I1329" s="919"/>
      <c r="J1329" s="919"/>
      <c r="K1329" s="919"/>
      <c r="L1329" s="919"/>
      <c r="O1329" s="339"/>
      <c r="T1329" s="75"/>
      <c r="U1329" s="75"/>
      <c r="V1329" s="75"/>
      <c r="W1329" s="75"/>
      <c r="X1329" s="75"/>
      <c r="Y1329" s="340"/>
      <c r="Z1329" s="341"/>
      <c r="AA1329" s="341"/>
      <c r="AB1329" s="341"/>
      <c r="AC1329" s="340"/>
      <c r="AD1329" s="75"/>
      <c r="AE1329" s="75"/>
      <c r="AF1329" s="75"/>
      <c r="AG1329" s="344"/>
      <c r="AH1329" s="344"/>
      <c r="AI1329" s="344"/>
      <c r="AJ1329" s="97"/>
      <c r="AK1329" s="4"/>
    </row>
    <row r="1330" spans="2:37" s="113" customFormat="1" x14ac:dyDescent="0.4">
      <c r="B1330" s="80"/>
      <c r="C1330" s="563">
        <v>917</v>
      </c>
      <c r="D1330" s="907"/>
      <c r="E1330" s="906"/>
      <c r="F1330" s="921" t="str">
        <f t="shared" si="64"/>
        <v/>
      </c>
      <c r="G1330" s="882" t="str">
        <f t="shared" si="65"/>
        <v/>
      </c>
      <c r="H1330" s="925"/>
      <c r="I1330" s="919"/>
      <c r="J1330" s="919"/>
      <c r="K1330" s="919"/>
      <c r="L1330" s="919"/>
      <c r="O1330" s="339"/>
      <c r="T1330" s="75"/>
      <c r="U1330" s="75"/>
      <c r="V1330" s="75"/>
      <c r="W1330" s="75"/>
      <c r="X1330" s="75"/>
      <c r="Y1330" s="340"/>
      <c r="Z1330" s="341"/>
      <c r="AA1330" s="341"/>
      <c r="AB1330" s="341"/>
      <c r="AC1330" s="340"/>
      <c r="AD1330" s="75"/>
      <c r="AE1330" s="75"/>
      <c r="AF1330" s="75"/>
      <c r="AG1330" s="344"/>
      <c r="AH1330" s="344"/>
      <c r="AI1330" s="344"/>
      <c r="AJ1330" s="97"/>
      <c r="AK1330" s="4"/>
    </row>
    <row r="1331" spans="2:37" s="113" customFormat="1" x14ac:dyDescent="0.4">
      <c r="B1331" s="80"/>
      <c r="C1331" s="563">
        <v>918</v>
      </c>
      <c r="D1331" s="907"/>
      <c r="E1331" s="906"/>
      <c r="F1331" s="921" t="str">
        <f t="shared" si="64"/>
        <v/>
      </c>
      <c r="G1331" s="882" t="str">
        <f t="shared" si="65"/>
        <v/>
      </c>
      <c r="H1331" s="925"/>
      <c r="I1331" s="919"/>
      <c r="J1331" s="919"/>
      <c r="K1331" s="919"/>
      <c r="L1331" s="919"/>
      <c r="O1331" s="339"/>
      <c r="T1331" s="75"/>
      <c r="U1331" s="75"/>
      <c r="V1331" s="75"/>
      <c r="W1331" s="75"/>
      <c r="X1331" s="75"/>
      <c r="Y1331" s="340"/>
      <c r="Z1331" s="341"/>
      <c r="AA1331" s="341"/>
      <c r="AB1331" s="341"/>
      <c r="AC1331" s="340"/>
      <c r="AD1331" s="75"/>
      <c r="AE1331" s="75"/>
      <c r="AF1331" s="75"/>
      <c r="AG1331" s="344"/>
      <c r="AH1331" s="344"/>
      <c r="AI1331" s="344"/>
      <c r="AJ1331" s="97"/>
      <c r="AK1331" s="4"/>
    </row>
    <row r="1332" spans="2:37" s="113" customFormat="1" x14ac:dyDescent="0.4">
      <c r="B1332" s="80"/>
      <c r="C1332" s="563">
        <v>919</v>
      </c>
      <c r="D1332" s="907"/>
      <c r="E1332" s="906"/>
      <c r="F1332" s="921" t="str">
        <f t="shared" si="64"/>
        <v/>
      </c>
      <c r="G1332" s="882" t="str">
        <f t="shared" si="65"/>
        <v/>
      </c>
      <c r="H1332" s="925"/>
      <c r="I1332" s="919"/>
      <c r="J1332" s="919"/>
      <c r="K1332" s="919"/>
      <c r="L1332" s="919"/>
      <c r="O1332" s="339"/>
      <c r="T1332" s="75"/>
      <c r="U1332" s="75"/>
      <c r="V1332" s="75"/>
      <c r="W1332" s="75"/>
      <c r="X1332" s="75"/>
      <c r="Y1332" s="340"/>
      <c r="Z1332" s="341"/>
      <c r="AA1332" s="341"/>
      <c r="AB1332" s="341"/>
      <c r="AC1332" s="340"/>
      <c r="AD1332" s="75"/>
      <c r="AE1332" s="75"/>
      <c r="AF1332" s="75"/>
      <c r="AG1332" s="344"/>
      <c r="AH1332" s="344"/>
      <c r="AI1332" s="344"/>
      <c r="AJ1332" s="97"/>
      <c r="AK1332" s="4"/>
    </row>
    <row r="1333" spans="2:37" s="113" customFormat="1" x14ac:dyDescent="0.4">
      <c r="B1333" s="80"/>
      <c r="C1333" s="563">
        <v>920</v>
      </c>
      <c r="D1333" s="907"/>
      <c r="E1333" s="906"/>
      <c r="F1333" s="921" t="str">
        <f t="shared" si="64"/>
        <v/>
      </c>
      <c r="G1333" s="882" t="str">
        <f t="shared" si="65"/>
        <v/>
      </c>
      <c r="H1333" s="925"/>
      <c r="I1333" s="919"/>
      <c r="J1333" s="919"/>
      <c r="K1333" s="919"/>
      <c r="L1333" s="919"/>
      <c r="O1333" s="339"/>
      <c r="T1333" s="75"/>
      <c r="U1333" s="75"/>
      <c r="V1333" s="75"/>
      <c r="W1333" s="75"/>
      <c r="X1333" s="75"/>
      <c r="Y1333" s="340"/>
      <c r="Z1333" s="341"/>
      <c r="AA1333" s="341"/>
      <c r="AB1333" s="341"/>
      <c r="AC1333" s="340"/>
      <c r="AD1333" s="75"/>
      <c r="AE1333" s="75"/>
      <c r="AF1333" s="75"/>
      <c r="AG1333" s="344"/>
      <c r="AH1333" s="344"/>
      <c r="AI1333" s="344"/>
      <c r="AJ1333" s="97"/>
      <c r="AK1333" s="4"/>
    </row>
    <row r="1334" spans="2:37" s="113" customFormat="1" x14ac:dyDescent="0.4">
      <c r="B1334" s="80"/>
      <c r="C1334" s="563">
        <v>921</v>
      </c>
      <c r="D1334" s="907"/>
      <c r="E1334" s="906"/>
      <c r="F1334" s="921" t="str">
        <f t="shared" si="64"/>
        <v/>
      </c>
      <c r="G1334" s="882" t="str">
        <f t="shared" si="65"/>
        <v/>
      </c>
      <c r="H1334" s="925"/>
      <c r="I1334" s="919"/>
      <c r="J1334" s="919"/>
      <c r="K1334" s="919"/>
      <c r="L1334" s="919"/>
      <c r="O1334" s="339"/>
      <c r="T1334" s="75"/>
      <c r="U1334" s="75"/>
      <c r="V1334" s="75"/>
      <c r="W1334" s="75"/>
      <c r="X1334" s="75"/>
      <c r="Y1334" s="340"/>
      <c r="Z1334" s="341"/>
      <c r="AA1334" s="341"/>
      <c r="AB1334" s="341"/>
      <c r="AC1334" s="340"/>
      <c r="AD1334" s="75"/>
      <c r="AE1334" s="75"/>
      <c r="AF1334" s="75"/>
      <c r="AG1334" s="344"/>
      <c r="AH1334" s="344"/>
      <c r="AI1334" s="344"/>
      <c r="AJ1334" s="97"/>
      <c r="AK1334" s="4"/>
    </row>
    <row r="1335" spans="2:37" s="113" customFormat="1" x14ac:dyDescent="0.4">
      <c r="B1335" s="80"/>
      <c r="C1335" s="563">
        <v>922</v>
      </c>
      <c r="D1335" s="907"/>
      <c r="E1335" s="906"/>
      <c r="F1335" s="921" t="str">
        <f t="shared" si="64"/>
        <v/>
      </c>
      <c r="G1335" s="882" t="str">
        <f t="shared" si="65"/>
        <v/>
      </c>
      <c r="H1335" s="925"/>
      <c r="I1335" s="919"/>
      <c r="J1335" s="919"/>
      <c r="K1335" s="919"/>
      <c r="L1335" s="919"/>
      <c r="O1335" s="339"/>
      <c r="T1335" s="75"/>
      <c r="U1335" s="75"/>
      <c r="V1335" s="75"/>
      <c r="W1335" s="75"/>
      <c r="X1335" s="75"/>
      <c r="Y1335" s="340"/>
      <c r="Z1335" s="341"/>
      <c r="AA1335" s="341"/>
      <c r="AB1335" s="341"/>
      <c r="AC1335" s="340"/>
      <c r="AD1335" s="75"/>
      <c r="AE1335" s="75"/>
      <c r="AF1335" s="75"/>
      <c r="AG1335" s="344"/>
      <c r="AH1335" s="344"/>
      <c r="AI1335" s="344"/>
      <c r="AJ1335" s="97"/>
      <c r="AK1335" s="4"/>
    </row>
    <row r="1336" spans="2:37" s="113" customFormat="1" x14ac:dyDescent="0.4">
      <c r="B1336" s="80"/>
      <c r="C1336" s="563">
        <v>923</v>
      </c>
      <c r="D1336" s="907"/>
      <c r="E1336" s="906"/>
      <c r="F1336" s="921" t="str">
        <f t="shared" si="64"/>
        <v/>
      </c>
      <c r="G1336" s="882" t="str">
        <f t="shared" si="65"/>
        <v/>
      </c>
      <c r="H1336" s="925"/>
      <c r="I1336" s="919"/>
      <c r="J1336" s="919"/>
      <c r="K1336" s="919"/>
      <c r="L1336" s="919"/>
      <c r="O1336" s="339"/>
      <c r="T1336" s="75"/>
      <c r="U1336" s="75"/>
      <c r="V1336" s="75"/>
      <c r="W1336" s="75"/>
      <c r="X1336" s="75"/>
      <c r="Y1336" s="340"/>
      <c r="Z1336" s="341"/>
      <c r="AA1336" s="341"/>
      <c r="AB1336" s="341"/>
      <c r="AC1336" s="340"/>
      <c r="AD1336" s="75"/>
      <c r="AE1336" s="75"/>
      <c r="AF1336" s="75"/>
      <c r="AG1336" s="344"/>
      <c r="AH1336" s="344"/>
      <c r="AI1336" s="344"/>
      <c r="AJ1336" s="97"/>
      <c r="AK1336" s="4"/>
    </row>
    <row r="1337" spans="2:37" s="113" customFormat="1" x14ac:dyDescent="0.4">
      <c r="B1337" s="80"/>
      <c r="C1337" s="563">
        <v>924</v>
      </c>
      <c r="D1337" s="907"/>
      <c r="E1337" s="906"/>
      <c r="F1337" s="921" t="str">
        <f t="shared" si="64"/>
        <v/>
      </c>
      <c r="G1337" s="882" t="str">
        <f t="shared" si="65"/>
        <v/>
      </c>
      <c r="H1337" s="925"/>
      <c r="I1337" s="919"/>
      <c r="J1337" s="919"/>
      <c r="K1337" s="919"/>
      <c r="L1337" s="919"/>
      <c r="O1337" s="339"/>
      <c r="T1337" s="75"/>
      <c r="U1337" s="75"/>
      <c r="V1337" s="75"/>
      <c r="W1337" s="75"/>
      <c r="X1337" s="75"/>
      <c r="Y1337" s="340"/>
      <c r="Z1337" s="341"/>
      <c r="AA1337" s="341"/>
      <c r="AB1337" s="341"/>
      <c r="AC1337" s="340"/>
      <c r="AD1337" s="75"/>
      <c r="AE1337" s="75"/>
      <c r="AF1337" s="75"/>
      <c r="AG1337" s="344"/>
      <c r="AH1337" s="344"/>
      <c r="AI1337" s="344"/>
      <c r="AJ1337" s="97"/>
      <c r="AK1337" s="4"/>
    </row>
    <row r="1338" spans="2:37" s="113" customFormat="1" x14ac:dyDescent="0.4">
      <c r="B1338" s="80"/>
      <c r="C1338" s="563">
        <v>925</v>
      </c>
      <c r="D1338" s="907"/>
      <c r="E1338" s="906"/>
      <c r="F1338" s="921" t="str">
        <f t="shared" si="64"/>
        <v/>
      </c>
      <c r="G1338" s="882" t="str">
        <f t="shared" si="65"/>
        <v/>
      </c>
      <c r="H1338" s="925"/>
      <c r="I1338" s="919"/>
      <c r="J1338" s="919"/>
      <c r="K1338" s="919"/>
      <c r="L1338" s="919"/>
      <c r="O1338" s="339"/>
      <c r="T1338" s="75"/>
      <c r="U1338" s="75"/>
      <c r="V1338" s="75"/>
      <c r="W1338" s="75"/>
      <c r="X1338" s="75"/>
      <c r="Y1338" s="340"/>
      <c r="Z1338" s="341"/>
      <c r="AA1338" s="341"/>
      <c r="AB1338" s="341"/>
      <c r="AC1338" s="340"/>
      <c r="AD1338" s="75"/>
      <c r="AE1338" s="75"/>
      <c r="AF1338" s="75"/>
      <c r="AG1338" s="344"/>
      <c r="AH1338" s="344"/>
      <c r="AI1338" s="344"/>
      <c r="AJ1338" s="97"/>
      <c r="AK1338" s="4"/>
    </row>
    <row r="1339" spans="2:37" s="113" customFormat="1" x14ac:dyDescent="0.4">
      <c r="B1339" s="80"/>
      <c r="C1339" s="563">
        <v>926</v>
      </c>
      <c r="D1339" s="907"/>
      <c r="E1339" s="906"/>
      <c r="F1339" s="921" t="str">
        <f t="shared" si="64"/>
        <v/>
      </c>
      <c r="G1339" s="882" t="str">
        <f t="shared" si="65"/>
        <v/>
      </c>
      <c r="H1339" s="925"/>
      <c r="I1339" s="919"/>
      <c r="J1339" s="919"/>
      <c r="K1339" s="919"/>
      <c r="L1339" s="919"/>
      <c r="O1339" s="339"/>
      <c r="T1339" s="75"/>
      <c r="U1339" s="75"/>
      <c r="V1339" s="75"/>
      <c r="W1339" s="75"/>
      <c r="X1339" s="75"/>
      <c r="Y1339" s="340"/>
      <c r="Z1339" s="341"/>
      <c r="AA1339" s="341"/>
      <c r="AB1339" s="341"/>
      <c r="AC1339" s="340"/>
      <c r="AD1339" s="75"/>
      <c r="AE1339" s="75"/>
      <c r="AF1339" s="75"/>
      <c r="AG1339" s="344"/>
      <c r="AH1339" s="344"/>
      <c r="AI1339" s="344"/>
      <c r="AJ1339" s="97"/>
      <c r="AK1339" s="4"/>
    </row>
    <row r="1340" spans="2:37" s="113" customFormat="1" x14ac:dyDescent="0.4">
      <c r="B1340" s="80"/>
      <c r="C1340" s="563">
        <v>927</v>
      </c>
      <c r="D1340" s="907"/>
      <c r="E1340" s="906"/>
      <c r="F1340" s="921" t="str">
        <f t="shared" si="64"/>
        <v/>
      </c>
      <c r="G1340" s="882" t="str">
        <f t="shared" si="65"/>
        <v/>
      </c>
      <c r="H1340" s="925"/>
      <c r="I1340" s="919"/>
      <c r="J1340" s="919"/>
      <c r="K1340" s="919"/>
      <c r="L1340" s="919"/>
      <c r="O1340" s="339"/>
      <c r="T1340" s="75"/>
      <c r="U1340" s="75"/>
      <c r="V1340" s="75"/>
      <c r="W1340" s="75"/>
      <c r="X1340" s="75"/>
      <c r="Y1340" s="340"/>
      <c r="Z1340" s="341"/>
      <c r="AA1340" s="341"/>
      <c r="AB1340" s="341"/>
      <c r="AC1340" s="340"/>
      <c r="AD1340" s="75"/>
      <c r="AE1340" s="75"/>
      <c r="AF1340" s="75"/>
      <c r="AG1340" s="344"/>
      <c r="AH1340" s="344"/>
      <c r="AI1340" s="344"/>
      <c r="AJ1340" s="97"/>
      <c r="AK1340" s="4"/>
    </row>
    <row r="1341" spans="2:37" s="113" customFormat="1" x14ac:dyDescent="0.4">
      <c r="B1341" s="80"/>
      <c r="C1341" s="563">
        <v>928</v>
      </c>
      <c r="D1341" s="907"/>
      <c r="E1341" s="906"/>
      <c r="F1341" s="921" t="str">
        <f t="shared" si="64"/>
        <v/>
      </c>
      <c r="G1341" s="882" t="str">
        <f t="shared" si="65"/>
        <v/>
      </c>
      <c r="H1341" s="925"/>
      <c r="I1341" s="919"/>
      <c r="J1341" s="919"/>
      <c r="K1341" s="919"/>
      <c r="L1341" s="919"/>
      <c r="O1341" s="339"/>
      <c r="T1341" s="75"/>
      <c r="U1341" s="75"/>
      <c r="V1341" s="75"/>
      <c r="W1341" s="75"/>
      <c r="X1341" s="75"/>
      <c r="Y1341" s="340"/>
      <c r="Z1341" s="341"/>
      <c r="AA1341" s="341"/>
      <c r="AB1341" s="341"/>
      <c r="AC1341" s="340"/>
      <c r="AD1341" s="75"/>
      <c r="AE1341" s="75"/>
      <c r="AF1341" s="75"/>
      <c r="AG1341" s="344"/>
      <c r="AH1341" s="344"/>
      <c r="AI1341" s="344"/>
      <c r="AJ1341" s="97"/>
      <c r="AK1341" s="4"/>
    </row>
    <row r="1342" spans="2:37" s="113" customFormat="1" x14ac:dyDescent="0.4">
      <c r="B1342" s="80"/>
      <c r="C1342" s="563">
        <v>929</v>
      </c>
      <c r="D1342" s="907"/>
      <c r="E1342" s="906"/>
      <c r="F1342" s="921" t="str">
        <f t="shared" si="64"/>
        <v/>
      </c>
      <c r="G1342" s="882" t="str">
        <f t="shared" si="65"/>
        <v/>
      </c>
      <c r="H1342" s="925"/>
      <c r="I1342" s="919"/>
      <c r="J1342" s="919"/>
      <c r="K1342" s="919"/>
      <c r="L1342" s="919"/>
      <c r="O1342" s="339"/>
      <c r="T1342" s="75"/>
      <c r="U1342" s="75"/>
      <c r="V1342" s="75"/>
      <c r="W1342" s="75"/>
      <c r="X1342" s="75"/>
      <c r="Y1342" s="340"/>
      <c r="Z1342" s="341"/>
      <c r="AA1342" s="341"/>
      <c r="AB1342" s="341"/>
      <c r="AC1342" s="340"/>
      <c r="AD1342" s="75"/>
      <c r="AE1342" s="75"/>
      <c r="AF1342" s="75"/>
      <c r="AG1342" s="344"/>
      <c r="AH1342" s="344"/>
      <c r="AI1342" s="344"/>
      <c r="AJ1342" s="97"/>
      <c r="AK1342" s="4"/>
    </row>
    <row r="1343" spans="2:37" s="113" customFormat="1" x14ac:dyDescent="0.4">
      <c r="B1343" s="80"/>
      <c r="C1343" s="563">
        <v>930</v>
      </c>
      <c r="D1343" s="907"/>
      <c r="E1343" s="906"/>
      <c r="F1343" s="921" t="str">
        <f t="shared" si="64"/>
        <v/>
      </c>
      <c r="G1343" s="882" t="str">
        <f t="shared" si="65"/>
        <v/>
      </c>
      <c r="H1343" s="925"/>
      <c r="I1343" s="919"/>
      <c r="J1343" s="919"/>
      <c r="K1343" s="919"/>
      <c r="L1343" s="919"/>
      <c r="O1343" s="339"/>
      <c r="T1343" s="75"/>
      <c r="U1343" s="75"/>
      <c r="V1343" s="75"/>
      <c r="W1343" s="75"/>
      <c r="X1343" s="75"/>
      <c r="Y1343" s="340"/>
      <c r="Z1343" s="341"/>
      <c r="AA1343" s="341"/>
      <c r="AB1343" s="341"/>
      <c r="AC1343" s="340"/>
      <c r="AD1343" s="75"/>
      <c r="AE1343" s="75"/>
      <c r="AF1343" s="75"/>
      <c r="AG1343" s="344"/>
      <c r="AH1343" s="344"/>
      <c r="AI1343" s="344"/>
      <c r="AJ1343" s="97"/>
      <c r="AK1343" s="4"/>
    </row>
    <row r="1344" spans="2:37" s="113" customFormat="1" x14ac:dyDescent="0.4">
      <c r="B1344" s="80"/>
      <c r="C1344" s="563">
        <v>931</v>
      </c>
      <c r="D1344" s="907"/>
      <c r="E1344" s="906"/>
      <c r="F1344" s="921" t="str">
        <f t="shared" si="64"/>
        <v/>
      </c>
      <c r="G1344" s="882" t="str">
        <f t="shared" si="65"/>
        <v/>
      </c>
      <c r="H1344" s="925"/>
      <c r="I1344" s="919"/>
      <c r="J1344" s="919"/>
      <c r="K1344" s="919"/>
      <c r="L1344" s="919"/>
      <c r="O1344" s="339"/>
      <c r="T1344" s="75"/>
      <c r="U1344" s="75"/>
      <c r="V1344" s="75"/>
      <c r="W1344" s="75"/>
      <c r="X1344" s="75"/>
      <c r="Y1344" s="340"/>
      <c r="Z1344" s="341"/>
      <c r="AA1344" s="341"/>
      <c r="AB1344" s="341"/>
      <c r="AC1344" s="340"/>
      <c r="AD1344" s="75"/>
      <c r="AE1344" s="75"/>
      <c r="AF1344" s="75"/>
      <c r="AG1344" s="344"/>
      <c r="AH1344" s="344"/>
      <c r="AI1344" s="344"/>
      <c r="AJ1344" s="97"/>
      <c r="AK1344" s="4"/>
    </row>
    <row r="1345" spans="2:37" s="113" customFormat="1" x14ac:dyDescent="0.4">
      <c r="B1345" s="80"/>
      <c r="C1345" s="563">
        <v>932</v>
      </c>
      <c r="D1345" s="907"/>
      <c r="E1345" s="906"/>
      <c r="F1345" s="921" t="str">
        <f t="shared" si="64"/>
        <v/>
      </c>
      <c r="G1345" s="882" t="str">
        <f t="shared" si="65"/>
        <v/>
      </c>
      <c r="H1345" s="925"/>
      <c r="I1345" s="919"/>
      <c r="J1345" s="919"/>
      <c r="K1345" s="919"/>
      <c r="L1345" s="919"/>
      <c r="O1345" s="339"/>
      <c r="T1345" s="75"/>
      <c r="U1345" s="75"/>
      <c r="V1345" s="75"/>
      <c r="W1345" s="75"/>
      <c r="X1345" s="75"/>
      <c r="Y1345" s="340"/>
      <c r="Z1345" s="341"/>
      <c r="AA1345" s="341"/>
      <c r="AB1345" s="341"/>
      <c r="AC1345" s="340"/>
      <c r="AD1345" s="75"/>
      <c r="AE1345" s="75"/>
      <c r="AF1345" s="75"/>
      <c r="AG1345" s="344"/>
      <c r="AH1345" s="344"/>
      <c r="AI1345" s="344"/>
      <c r="AJ1345" s="97"/>
      <c r="AK1345" s="4"/>
    </row>
    <row r="1346" spans="2:37" s="113" customFormat="1" x14ac:dyDescent="0.4">
      <c r="B1346" s="80"/>
      <c r="C1346" s="563">
        <v>933</v>
      </c>
      <c r="D1346" s="907"/>
      <c r="E1346" s="906"/>
      <c r="F1346" s="921" t="str">
        <f t="shared" si="64"/>
        <v/>
      </c>
      <c r="G1346" s="882" t="str">
        <f t="shared" si="65"/>
        <v/>
      </c>
      <c r="H1346" s="925"/>
      <c r="I1346" s="919"/>
      <c r="J1346" s="919"/>
      <c r="K1346" s="919"/>
      <c r="L1346" s="919"/>
      <c r="O1346" s="339"/>
      <c r="T1346" s="75"/>
      <c r="U1346" s="75"/>
      <c r="V1346" s="75"/>
      <c r="W1346" s="75"/>
      <c r="X1346" s="75"/>
      <c r="Y1346" s="340"/>
      <c r="Z1346" s="341"/>
      <c r="AA1346" s="341"/>
      <c r="AB1346" s="341"/>
      <c r="AC1346" s="340"/>
      <c r="AD1346" s="75"/>
      <c r="AE1346" s="75"/>
      <c r="AF1346" s="75"/>
      <c r="AG1346" s="344"/>
      <c r="AH1346" s="344"/>
      <c r="AI1346" s="344"/>
      <c r="AJ1346" s="97"/>
      <c r="AK1346" s="4"/>
    </row>
    <row r="1347" spans="2:37" s="113" customFormat="1" x14ac:dyDescent="0.4">
      <c r="B1347" s="80"/>
      <c r="C1347" s="563">
        <v>934</v>
      </c>
      <c r="D1347" s="907"/>
      <c r="E1347" s="906"/>
      <c r="F1347" s="921" t="str">
        <f t="shared" si="64"/>
        <v/>
      </c>
      <c r="G1347" s="882" t="str">
        <f t="shared" si="65"/>
        <v/>
      </c>
      <c r="H1347" s="925"/>
      <c r="I1347" s="919"/>
      <c r="J1347" s="919"/>
      <c r="K1347" s="919"/>
      <c r="L1347" s="919"/>
      <c r="O1347" s="339"/>
      <c r="T1347" s="75"/>
      <c r="U1347" s="75"/>
      <c r="V1347" s="75"/>
      <c r="W1347" s="75"/>
      <c r="X1347" s="75"/>
      <c r="Y1347" s="340"/>
      <c r="Z1347" s="341"/>
      <c r="AA1347" s="341"/>
      <c r="AB1347" s="341"/>
      <c r="AC1347" s="340"/>
      <c r="AD1347" s="75"/>
      <c r="AE1347" s="75"/>
      <c r="AF1347" s="75"/>
      <c r="AG1347" s="344"/>
      <c r="AH1347" s="344"/>
      <c r="AI1347" s="344"/>
      <c r="AJ1347" s="97"/>
      <c r="AK1347" s="4"/>
    </row>
    <row r="1348" spans="2:37" s="113" customFormat="1" x14ac:dyDescent="0.4">
      <c r="B1348" s="80"/>
      <c r="C1348" s="563">
        <v>935</v>
      </c>
      <c r="D1348" s="907"/>
      <c r="E1348" s="906"/>
      <c r="F1348" s="921" t="str">
        <f t="shared" si="64"/>
        <v/>
      </c>
      <c r="G1348" s="882" t="str">
        <f t="shared" si="65"/>
        <v/>
      </c>
      <c r="H1348" s="925"/>
      <c r="I1348" s="919"/>
      <c r="J1348" s="919"/>
      <c r="K1348" s="919"/>
      <c r="L1348" s="919"/>
      <c r="O1348" s="339"/>
      <c r="T1348" s="75"/>
      <c r="U1348" s="75"/>
      <c r="V1348" s="75"/>
      <c r="W1348" s="75"/>
      <c r="X1348" s="75"/>
      <c r="Y1348" s="340"/>
      <c r="Z1348" s="341"/>
      <c r="AA1348" s="341"/>
      <c r="AB1348" s="341"/>
      <c r="AC1348" s="340"/>
      <c r="AD1348" s="75"/>
      <c r="AE1348" s="75"/>
      <c r="AF1348" s="75"/>
      <c r="AG1348" s="344"/>
      <c r="AH1348" s="344"/>
      <c r="AI1348" s="344"/>
      <c r="AJ1348" s="97"/>
      <c r="AK1348" s="4"/>
    </row>
    <row r="1349" spans="2:37" s="113" customFormat="1" x14ac:dyDescent="0.4">
      <c r="B1349" s="80"/>
      <c r="C1349" s="563">
        <v>936</v>
      </c>
      <c r="D1349" s="907"/>
      <c r="E1349" s="906"/>
      <c r="F1349" s="921" t="str">
        <f t="shared" si="64"/>
        <v/>
      </c>
      <c r="G1349" s="882" t="str">
        <f t="shared" si="65"/>
        <v/>
      </c>
      <c r="H1349" s="925"/>
      <c r="I1349" s="919"/>
      <c r="J1349" s="919"/>
      <c r="K1349" s="919"/>
      <c r="L1349" s="919"/>
      <c r="O1349" s="339"/>
      <c r="T1349" s="75"/>
      <c r="U1349" s="75"/>
      <c r="V1349" s="75"/>
      <c r="W1349" s="75"/>
      <c r="X1349" s="75"/>
      <c r="Y1349" s="340"/>
      <c r="Z1349" s="341"/>
      <c r="AA1349" s="341"/>
      <c r="AB1349" s="341"/>
      <c r="AC1349" s="340"/>
      <c r="AD1349" s="75"/>
      <c r="AE1349" s="75"/>
      <c r="AF1349" s="75"/>
      <c r="AG1349" s="344"/>
      <c r="AH1349" s="344"/>
      <c r="AI1349" s="344"/>
      <c r="AJ1349" s="97"/>
      <c r="AK1349" s="4"/>
    </row>
    <row r="1350" spans="2:37" s="113" customFormat="1" x14ac:dyDescent="0.4">
      <c r="B1350" s="80"/>
      <c r="C1350" s="563">
        <v>937</v>
      </c>
      <c r="D1350" s="907"/>
      <c r="E1350" s="906"/>
      <c r="F1350" s="921" t="str">
        <f t="shared" si="64"/>
        <v/>
      </c>
      <c r="G1350" s="882" t="str">
        <f t="shared" si="65"/>
        <v/>
      </c>
      <c r="H1350" s="925"/>
      <c r="I1350" s="919"/>
      <c r="J1350" s="919"/>
      <c r="K1350" s="919"/>
      <c r="L1350" s="919"/>
      <c r="O1350" s="339"/>
      <c r="T1350" s="75"/>
      <c r="U1350" s="75"/>
      <c r="V1350" s="75"/>
      <c r="W1350" s="75"/>
      <c r="X1350" s="75"/>
      <c r="Y1350" s="340"/>
      <c r="Z1350" s="341"/>
      <c r="AA1350" s="341"/>
      <c r="AB1350" s="341"/>
      <c r="AC1350" s="340"/>
      <c r="AD1350" s="75"/>
      <c r="AE1350" s="75"/>
      <c r="AF1350" s="75"/>
      <c r="AG1350" s="344"/>
      <c r="AH1350" s="344"/>
      <c r="AI1350" s="344"/>
      <c r="AJ1350" s="97"/>
      <c r="AK1350" s="4"/>
    </row>
    <row r="1351" spans="2:37" s="113" customFormat="1" x14ac:dyDescent="0.4">
      <c r="B1351" s="80"/>
      <c r="C1351" s="563">
        <v>938</v>
      </c>
      <c r="D1351" s="907"/>
      <c r="E1351" s="906"/>
      <c r="F1351" s="921" t="str">
        <f t="shared" si="64"/>
        <v/>
      </c>
      <c r="G1351" s="882" t="str">
        <f t="shared" si="65"/>
        <v/>
      </c>
      <c r="H1351" s="925"/>
      <c r="I1351" s="919"/>
      <c r="J1351" s="919"/>
      <c r="K1351" s="919"/>
      <c r="L1351" s="919"/>
      <c r="O1351" s="339"/>
      <c r="T1351" s="75"/>
      <c r="U1351" s="75"/>
      <c r="V1351" s="75"/>
      <c r="W1351" s="75"/>
      <c r="X1351" s="75"/>
      <c r="Y1351" s="340"/>
      <c r="Z1351" s="341"/>
      <c r="AA1351" s="341"/>
      <c r="AB1351" s="341"/>
      <c r="AC1351" s="340"/>
      <c r="AD1351" s="75"/>
      <c r="AE1351" s="75"/>
      <c r="AF1351" s="75"/>
      <c r="AG1351" s="344"/>
      <c r="AH1351" s="344"/>
      <c r="AI1351" s="344"/>
      <c r="AJ1351" s="97"/>
      <c r="AK1351" s="4"/>
    </row>
    <row r="1352" spans="2:37" s="113" customFormat="1" x14ac:dyDescent="0.4">
      <c r="B1352" s="80"/>
      <c r="C1352" s="563">
        <v>939</v>
      </c>
      <c r="D1352" s="907"/>
      <c r="E1352" s="906"/>
      <c r="F1352" s="921" t="str">
        <f t="shared" si="64"/>
        <v/>
      </c>
      <c r="G1352" s="882" t="str">
        <f t="shared" si="65"/>
        <v/>
      </c>
      <c r="H1352" s="925"/>
      <c r="I1352" s="919"/>
      <c r="J1352" s="919"/>
      <c r="K1352" s="919"/>
      <c r="L1352" s="919"/>
      <c r="O1352" s="339"/>
      <c r="T1352" s="75"/>
      <c r="U1352" s="75"/>
      <c r="V1352" s="75"/>
      <c r="W1352" s="75"/>
      <c r="X1352" s="75"/>
      <c r="Y1352" s="340"/>
      <c r="Z1352" s="341"/>
      <c r="AA1352" s="341"/>
      <c r="AB1352" s="341"/>
      <c r="AC1352" s="340"/>
      <c r="AD1352" s="75"/>
      <c r="AE1352" s="75"/>
      <c r="AF1352" s="75"/>
      <c r="AG1352" s="344"/>
      <c r="AH1352" s="344"/>
      <c r="AI1352" s="344"/>
      <c r="AJ1352" s="97"/>
      <c r="AK1352" s="4"/>
    </row>
    <row r="1353" spans="2:37" s="113" customFormat="1" x14ac:dyDescent="0.4">
      <c r="B1353" s="80"/>
      <c r="C1353" s="563">
        <v>940</v>
      </c>
      <c r="D1353" s="907"/>
      <c r="E1353" s="906"/>
      <c r="F1353" s="921" t="str">
        <f t="shared" si="64"/>
        <v/>
      </c>
      <c r="G1353" s="882" t="str">
        <f t="shared" si="65"/>
        <v/>
      </c>
      <c r="H1353" s="925"/>
      <c r="I1353" s="919"/>
      <c r="J1353" s="919"/>
      <c r="K1353" s="919"/>
      <c r="L1353" s="919"/>
      <c r="O1353" s="339"/>
      <c r="T1353" s="75"/>
      <c r="U1353" s="75"/>
      <c r="V1353" s="75"/>
      <c r="W1353" s="75"/>
      <c r="X1353" s="75"/>
      <c r="Y1353" s="340"/>
      <c r="Z1353" s="341"/>
      <c r="AA1353" s="341"/>
      <c r="AB1353" s="341"/>
      <c r="AC1353" s="340"/>
      <c r="AD1353" s="75"/>
      <c r="AE1353" s="75"/>
      <c r="AF1353" s="75"/>
      <c r="AG1353" s="344"/>
      <c r="AH1353" s="344"/>
      <c r="AI1353" s="344"/>
      <c r="AJ1353" s="97"/>
      <c r="AK1353" s="4"/>
    </row>
    <row r="1354" spans="2:37" s="113" customFormat="1" x14ac:dyDescent="0.4">
      <c r="B1354" s="80"/>
      <c r="C1354" s="563">
        <v>941</v>
      </c>
      <c r="D1354" s="907"/>
      <c r="E1354" s="906"/>
      <c r="F1354" s="921" t="str">
        <f t="shared" si="64"/>
        <v/>
      </c>
      <c r="G1354" s="882" t="str">
        <f t="shared" si="65"/>
        <v/>
      </c>
      <c r="H1354" s="925"/>
      <c r="I1354" s="919"/>
      <c r="J1354" s="919"/>
      <c r="K1354" s="919"/>
      <c r="L1354" s="919"/>
      <c r="O1354" s="339"/>
      <c r="T1354" s="75"/>
      <c r="U1354" s="75"/>
      <c r="V1354" s="75"/>
      <c r="W1354" s="75"/>
      <c r="X1354" s="75"/>
      <c r="Y1354" s="340"/>
      <c r="Z1354" s="341"/>
      <c r="AA1354" s="341"/>
      <c r="AB1354" s="341"/>
      <c r="AC1354" s="340"/>
      <c r="AD1354" s="75"/>
      <c r="AE1354" s="75"/>
      <c r="AF1354" s="75"/>
      <c r="AG1354" s="344"/>
      <c r="AH1354" s="344"/>
      <c r="AI1354" s="344"/>
      <c r="AJ1354" s="97"/>
      <c r="AK1354" s="4"/>
    </row>
    <row r="1355" spans="2:37" s="113" customFormat="1" x14ac:dyDescent="0.4">
      <c r="B1355" s="80"/>
      <c r="C1355" s="563">
        <v>942</v>
      </c>
      <c r="D1355" s="907"/>
      <c r="E1355" s="906"/>
      <c r="F1355" s="921" t="str">
        <f t="shared" si="64"/>
        <v/>
      </c>
      <c r="G1355" s="882" t="str">
        <f t="shared" si="65"/>
        <v/>
      </c>
      <c r="H1355" s="925"/>
      <c r="I1355" s="919"/>
      <c r="J1355" s="919"/>
      <c r="K1355" s="919"/>
      <c r="L1355" s="919"/>
      <c r="O1355" s="339"/>
      <c r="T1355" s="75"/>
      <c r="U1355" s="75"/>
      <c r="V1355" s="75"/>
      <c r="W1355" s="75"/>
      <c r="X1355" s="75"/>
      <c r="Y1355" s="340"/>
      <c r="Z1355" s="341"/>
      <c r="AA1355" s="341"/>
      <c r="AB1355" s="341"/>
      <c r="AC1355" s="340"/>
      <c r="AD1355" s="75"/>
      <c r="AE1355" s="75"/>
      <c r="AF1355" s="75"/>
      <c r="AG1355" s="344"/>
      <c r="AH1355" s="344"/>
      <c r="AI1355" s="344"/>
      <c r="AJ1355" s="97"/>
      <c r="AK1355" s="4"/>
    </row>
    <row r="1356" spans="2:37" s="113" customFormat="1" x14ac:dyDescent="0.4">
      <c r="B1356" s="80"/>
      <c r="C1356" s="563">
        <v>943</v>
      </c>
      <c r="D1356" s="907"/>
      <c r="E1356" s="906"/>
      <c r="F1356" s="921" t="str">
        <f t="shared" si="64"/>
        <v/>
      </c>
      <c r="G1356" s="882" t="str">
        <f t="shared" si="65"/>
        <v/>
      </c>
      <c r="H1356" s="925"/>
      <c r="I1356" s="919"/>
      <c r="J1356" s="919"/>
      <c r="K1356" s="919"/>
      <c r="L1356" s="919"/>
      <c r="O1356" s="339"/>
      <c r="T1356" s="75"/>
      <c r="U1356" s="75"/>
      <c r="V1356" s="75"/>
      <c r="W1356" s="75"/>
      <c r="X1356" s="75"/>
      <c r="Y1356" s="340"/>
      <c r="Z1356" s="341"/>
      <c r="AA1356" s="341"/>
      <c r="AB1356" s="341"/>
      <c r="AC1356" s="340"/>
      <c r="AD1356" s="75"/>
      <c r="AE1356" s="75"/>
      <c r="AF1356" s="75"/>
      <c r="AG1356" s="344"/>
      <c r="AH1356" s="344"/>
      <c r="AI1356" s="344"/>
      <c r="AJ1356" s="97"/>
      <c r="AK1356" s="4"/>
    </row>
    <row r="1357" spans="2:37" s="113" customFormat="1" x14ac:dyDescent="0.4">
      <c r="B1357" s="80"/>
      <c r="C1357" s="563">
        <v>944</v>
      </c>
      <c r="D1357" s="907"/>
      <c r="E1357" s="906"/>
      <c r="F1357" s="921" t="str">
        <f t="shared" si="64"/>
        <v/>
      </c>
      <c r="G1357" s="882" t="str">
        <f t="shared" si="65"/>
        <v/>
      </c>
      <c r="H1357" s="925"/>
      <c r="I1357" s="919"/>
      <c r="J1357" s="919"/>
      <c r="K1357" s="919"/>
      <c r="L1357" s="919"/>
      <c r="O1357" s="339"/>
      <c r="T1357" s="75"/>
      <c r="U1357" s="75"/>
      <c r="V1357" s="75"/>
      <c r="W1357" s="75"/>
      <c r="X1357" s="75"/>
      <c r="Y1357" s="340"/>
      <c r="Z1357" s="341"/>
      <c r="AA1357" s="341"/>
      <c r="AB1357" s="341"/>
      <c r="AC1357" s="340"/>
      <c r="AD1357" s="75"/>
      <c r="AE1357" s="75"/>
      <c r="AF1357" s="75"/>
      <c r="AG1357" s="344"/>
      <c r="AH1357" s="344"/>
      <c r="AI1357" s="344"/>
      <c r="AJ1357" s="97"/>
      <c r="AK1357" s="4"/>
    </row>
    <row r="1358" spans="2:37" s="113" customFormat="1" x14ac:dyDescent="0.4">
      <c r="B1358" s="80"/>
      <c r="C1358" s="563">
        <v>945</v>
      </c>
      <c r="D1358" s="907"/>
      <c r="E1358" s="906"/>
      <c r="F1358" s="921" t="str">
        <f t="shared" si="64"/>
        <v/>
      </c>
      <c r="G1358" s="882" t="str">
        <f t="shared" si="65"/>
        <v/>
      </c>
      <c r="H1358" s="925"/>
      <c r="I1358" s="919"/>
      <c r="J1358" s="919"/>
      <c r="K1358" s="919"/>
      <c r="L1358" s="919"/>
      <c r="O1358" s="339"/>
      <c r="T1358" s="75"/>
      <c r="U1358" s="75"/>
      <c r="V1358" s="75"/>
      <c r="W1358" s="75"/>
      <c r="X1358" s="75"/>
      <c r="Y1358" s="340"/>
      <c r="Z1358" s="341"/>
      <c r="AA1358" s="341"/>
      <c r="AB1358" s="341"/>
      <c r="AC1358" s="340"/>
      <c r="AD1358" s="75"/>
      <c r="AE1358" s="75"/>
      <c r="AF1358" s="75"/>
      <c r="AG1358" s="344"/>
      <c r="AH1358" s="344"/>
      <c r="AI1358" s="344"/>
      <c r="AJ1358" s="97"/>
      <c r="AK1358" s="4"/>
    </row>
    <row r="1359" spans="2:37" s="113" customFormat="1" x14ac:dyDescent="0.4">
      <c r="B1359" s="80"/>
      <c r="C1359" s="563">
        <v>946</v>
      </c>
      <c r="D1359" s="907"/>
      <c r="E1359" s="906"/>
      <c r="F1359" s="921" t="str">
        <f t="shared" si="64"/>
        <v/>
      </c>
      <c r="G1359" s="882" t="str">
        <f t="shared" si="65"/>
        <v/>
      </c>
      <c r="H1359" s="925"/>
      <c r="I1359" s="919"/>
      <c r="J1359" s="919"/>
      <c r="K1359" s="919"/>
      <c r="L1359" s="919"/>
      <c r="O1359" s="339"/>
      <c r="T1359" s="75"/>
      <c r="U1359" s="75"/>
      <c r="V1359" s="75"/>
      <c r="W1359" s="75"/>
      <c r="X1359" s="75"/>
      <c r="Y1359" s="340"/>
      <c r="Z1359" s="341"/>
      <c r="AA1359" s="341"/>
      <c r="AB1359" s="341"/>
      <c r="AC1359" s="340"/>
      <c r="AD1359" s="75"/>
      <c r="AE1359" s="75"/>
      <c r="AF1359" s="75"/>
      <c r="AG1359" s="344"/>
      <c r="AH1359" s="344"/>
      <c r="AI1359" s="344"/>
      <c r="AJ1359" s="97"/>
      <c r="AK1359" s="4"/>
    </row>
    <row r="1360" spans="2:37" s="113" customFormat="1" x14ac:dyDescent="0.4">
      <c r="B1360" s="80"/>
      <c r="C1360" s="563">
        <v>947</v>
      </c>
      <c r="D1360" s="907"/>
      <c r="E1360" s="906"/>
      <c r="F1360" s="921" t="str">
        <f t="shared" si="64"/>
        <v/>
      </c>
      <c r="G1360" s="882" t="str">
        <f t="shared" si="65"/>
        <v/>
      </c>
      <c r="H1360" s="925"/>
      <c r="I1360" s="919"/>
      <c r="J1360" s="919"/>
      <c r="K1360" s="919"/>
      <c r="L1360" s="919"/>
      <c r="O1360" s="339"/>
      <c r="T1360" s="75"/>
      <c r="U1360" s="75"/>
      <c r="V1360" s="75"/>
      <c r="W1360" s="75"/>
      <c r="X1360" s="75"/>
      <c r="Y1360" s="340"/>
      <c r="Z1360" s="341"/>
      <c r="AA1360" s="341"/>
      <c r="AB1360" s="341"/>
      <c r="AC1360" s="340"/>
      <c r="AD1360" s="75"/>
      <c r="AE1360" s="75"/>
      <c r="AF1360" s="75"/>
      <c r="AG1360" s="344"/>
      <c r="AH1360" s="344"/>
      <c r="AI1360" s="344"/>
      <c r="AJ1360" s="97"/>
      <c r="AK1360" s="4"/>
    </row>
    <row r="1361" spans="2:37" s="113" customFormat="1" x14ac:dyDescent="0.4">
      <c r="B1361" s="80"/>
      <c r="C1361" s="563">
        <v>948</v>
      </c>
      <c r="D1361" s="907"/>
      <c r="E1361" s="906"/>
      <c r="F1361" s="921" t="str">
        <f t="shared" si="64"/>
        <v/>
      </c>
      <c r="G1361" s="882" t="str">
        <f t="shared" si="65"/>
        <v/>
      </c>
      <c r="H1361" s="925"/>
      <c r="I1361" s="919"/>
      <c r="J1361" s="919"/>
      <c r="K1361" s="919"/>
      <c r="L1361" s="919"/>
      <c r="O1361" s="339"/>
      <c r="T1361" s="75"/>
      <c r="U1361" s="75"/>
      <c r="V1361" s="75"/>
      <c r="W1361" s="75"/>
      <c r="X1361" s="75"/>
      <c r="Y1361" s="340"/>
      <c r="Z1361" s="341"/>
      <c r="AA1361" s="341"/>
      <c r="AB1361" s="341"/>
      <c r="AC1361" s="340"/>
      <c r="AD1361" s="75"/>
      <c r="AE1361" s="75"/>
      <c r="AF1361" s="75"/>
      <c r="AG1361" s="344"/>
      <c r="AH1361" s="344"/>
      <c r="AI1361" s="344"/>
      <c r="AJ1361" s="97"/>
      <c r="AK1361" s="4"/>
    </row>
    <row r="1362" spans="2:37" s="113" customFormat="1" x14ac:dyDescent="0.4">
      <c r="B1362" s="80"/>
      <c r="C1362" s="563">
        <v>949</v>
      </c>
      <c r="D1362" s="907"/>
      <c r="E1362" s="906"/>
      <c r="F1362" s="921" t="str">
        <f t="shared" si="64"/>
        <v/>
      </c>
      <c r="G1362" s="882" t="str">
        <f t="shared" si="65"/>
        <v/>
      </c>
      <c r="H1362" s="925"/>
      <c r="I1362" s="919"/>
      <c r="J1362" s="919"/>
      <c r="K1362" s="919"/>
      <c r="L1362" s="919"/>
      <c r="O1362" s="339"/>
      <c r="T1362" s="75"/>
      <c r="U1362" s="75"/>
      <c r="V1362" s="75"/>
      <c r="W1362" s="75"/>
      <c r="X1362" s="75"/>
      <c r="Y1362" s="340"/>
      <c r="Z1362" s="341"/>
      <c r="AA1362" s="341"/>
      <c r="AB1362" s="341"/>
      <c r="AC1362" s="340"/>
      <c r="AD1362" s="75"/>
      <c r="AE1362" s="75"/>
      <c r="AF1362" s="75"/>
      <c r="AG1362" s="344"/>
      <c r="AH1362" s="344"/>
      <c r="AI1362" s="344"/>
      <c r="AJ1362" s="97"/>
      <c r="AK1362" s="4"/>
    </row>
    <row r="1363" spans="2:37" s="113" customFormat="1" x14ac:dyDescent="0.4">
      <c r="B1363" s="80"/>
      <c r="C1363" s="563">
        <v>950</v>
      </c>
      <c r="D1363" s="907"/>
      <c r="E1363" s="906"/>
      <c r="F1363" s="921" t="str">
        <f t="shared" si="64"/>
        <v/>
      </c>
      <c r="G1363" s="882" t="str">
        <f t="shared" si="65"/>
        <v/>
      </c>
      <c r="H1363" s="925"/>
      <c r="I1363" s="919"/>
      <c r="J1363" s="919"/>
      <c r="K1363" s="919"/>
      <c r="L1363" s="919"/>
      <c r="O1363" s="339"/>
      <c r="T1363" s="75"/>
      <c r="U1363" s="75"/>
      <c r="V1363" s="75"/>
      <c r="W1363" s="75"/>
      <c r="X1363" s="75"/>
      <c r="Y1363" s="340"/>
      <c r="Z1363" s="341"/>
      <c r="AA1363" s="341"/>
      <c r="AB1363" s="341"/>
      <c r="AC1363" s="340"/>
      <c r="AD1363" s="75"/>
      <c r="AE1363" s="75"/>
      <c r="AF1363" s="75"/>
      <c r="AG1363" s="344"/>
      <c r="AH1363" s="344"/>
      <c r="AI1363" s="344"/>
      <c r="AJ1363" s="97"/>
      <c r="AK1363" s="4"/>
    </row>
    <row r="1364" spans="2:37" s="113" customFormat="1" x14ac:dyDescent="0.4">
      <c r="B1364" s="80"/>
      <c r="C1364" s="563">
        <v>951</v>
      </c>
      <c r="D1364" s="907"/>
      <c r="E1364" s="906"/>
      <c r="F1364" s="921" t="str">
        <f t="shared" si="64"/>
        <v/>
      </c>
      <c r="G1364" s="882" t="str">
        <f t="shared" si="65"/>
        <v/>
      </c>
      <c r="H1364" s="925"/>
      <c r="I1364" s="919"/>
      <c r="J1364" s="919"/>
      <c r="K1364" s="919"/>
      <c r="L1364" s="919"/>
      <c r="O1364" s="339"/>
      <c r="T1364" s="75"/>
      <c r="U1364" s="75"/>
      <c r="V1364" s="75"/>
      <c r="W1364" s="75"/>
      <c r="X1364" s="75"/>
      <c r="Y1364" s="340"/>
      <c r="Z1364" s="341"/>
      <c r="AA1364" s="341"/>
      <c r="AB1364" s="341"/>
      <c r="AC1364" s="340"/>
      <c r="AD1364" s="75"/>
      <c r="AE1364" s="75"/>
      <c r="AF1364" s="75"/>
      <c r="AG1364" s="344"/>
      <c r="AH1364" s="344"/>
      <c r="AI1364" s="344"/>
      <c r="AJ1364" s="97"/>
      <c r="AK1364" s="4"/>
    </row>
    <row r="1365" spans="2:37" s="113" customFormat="1" x14ac:dyDescent="0.4">
      <c r="B1365" s="80"/>
      <c r="C1365" s="563">
        <v>952</v>
      </c>
      <c r="D1365" s="907"/>
      <c r="E1365" s="906"/>
      <c r="F1365" s="921" t="str">
        <f t="shared" si="64"/>
        <v/>
      </c>
      <c r="G1365" s="882" t="str">
        <f t="shared" si="65"/>
        <v/>
      </c>
      <c r="H1365" s="925"/>
      <c r="I1365" s="919"/>
      <c r="J1365" s="919"/>
      <c r="K1365" s="919"/>
      <c r="L1365" s="919"/>
      <c r="O1365" s="339"/>
      <c r="T1365" s="75"/>
      <c r="U1365" s="75"/>
      <c r="V1365" s="75"/>
      <c r="W1365" s="75"/>
      <c r="X1365" s="75"/>
      <c r="Y1365" s="340"/>
      <c r="Z1365" s="341"/>
      <c r="AA1365" s="341"/>
      <c r="AB1365" s="341"/>
      <c r="AC1365" s="340"/>
      <c r="AD1365" s="75"/>
      <c r="AE1365" s="75"/>
      <c r="AF1365" s="75"/>
      <c r="AG1365" s="344"/>
      <c r="AH1365" s="344"/>
      <c r="AI1365" s="344"/>
      <c r="AJ1365" s="97"/>
      <c r="AK1365" s="4"/>
    </row>
    <row r="1366" spans="2:37" s="113" customFormat="1" x14ac:dyDescent="0.4">
      <c r="B1366" s="80"/>
      <c r="C1366" s="563">
        <v>953</v>
      </c>
      <c r="D1366" s="907"/>
      <c r="E1366" s="906"/>
      <c r="F1366" s="921" t="str">
        <f t="shared" si="64"/>
        <v/>
      </c>
      <c r="G1366" s="882" t="str">
        <f t="shared" si="65"/>
        <v/>
      </c>
      <c r="H1366" s="925"/>
      <c r="I1366" s="919"/>
      <c r="J1366" s="919"/>
      <c r="K1366" s="919"/>
      <c r="L1366" s="919"/>
      <c r="O1366" s="339"/>
      <c r="T1366" s="75"/>
      <c r="U1366" s="75"/>
      <c r="V1366" s="75"/>
      <c r="W1366" s="75"/>
      <c r="X1366" s="75"/>
      <c r="Y1366" s="340"/>
      <c r="Z1366" s="341"/>
      <c r="AA1366" s="341"/>
      <c r="AB1366" s="341"/>
      <c r="AC1366" s="340"/>
      <c r="AD1366" s="75"/>
      <c r="AE1366" s="75"/>
      <c r="AF1366" s="75"/>
      <c r="AG1366" s="344"/>
      <c r="AH1366" s="344"/>
      <c r="AI1366" s="344"/>
      <c r="AJ1366" s="97"/>
      <c r="AK1366" s="4"/>
    </row>
    <row r="1367" spans="2:37" s="113" customFormat="1" x14ac:dyDescent="0.4">
      <c r="B1367" s="80"/>
      <c r="C1367" s="563">
        <v>954</v>
      </c>
      <c r="D1367" s="907"/>
      <c r="E1367" s="906"/>
      <c r="F1367" s="921" t="str">
        <f t="shared" si="64"/>
        <v/>
      </c>
      <c r="G1367" s="882" t="str">
        <f t="shared" si="65"/>
        <v/>
      </c>
      <c r="H1367" s="925"/>
      <c r="I1367" s="919"/>
      <c r="J1367" s="919"/>
      <c r="K1367" s="919"/>
      <c r="L1367" s="919"/>
      <c r="O1367" s="339"/>
      <c r="T1367" s="75"/>
      <c r="U1367" s="75"/>
      <c r="V1367" s="75"/>
      <c r="W1367" s="75"/>
      <c r="X1367" s="75"/>
      <c r="Y1367" s="340"/>
      <c r="Z1367" s="341"/>
      <c r="AA1367" s="341"/>
      <c r="AB1367" s="341"/>
      <c r="AC1367" s="340"/>
      <c r="AD1367" s="75"/>
      <c r="AE1367" s="75"/>
      <c r="AF1367" s="75"/>
      <c r="AG1367" s="344"/>
      <c r="AH1367" s="344"/>
      <c r="AI1367" s="344"/>
      <c r="AJ1367" s="97"/>
      <c r="AK1367" s="4"/>
    </row>
    <row r="1368" spans="2:37" s="113" customFormat="1" x14ac:dyDescent="0.4">
      <c r="B1368" s="80"/>
      <c r="C1368" s="563">
        <v>955</v>
      </c>
      <c r="D1368" s="907"/>
      <c r="E1368" s="906"/>
      <c r="F1368" s="921" t="str">
        <f t="shared" si="64"/>
        <v/>
      </c>
      <c r="G1368" s="882" t="str">
        <f t="shared" si="65"/>
        <v/>
      </c>
      <c r="H1368" s="925"/>
      <c r="I1368" s="919"/>
      <c r="J1368" s="919"/>
      <c r="K1368" s="919"/>
      <c r="L1368" s="919"/>
      <c r="O1368" s="339"/>
      <c r="T1368" s="75"/>
      <c r="U1368" s="75"/>
      <c r="V1368" s="75"/>
      <c r="W1368" s="75"/>
      <c r="X1368" s="75"/>
      <c r="Y1368" s="340"/>
      <c r="Z1368" s="341"/>
      <c r="AA1368" s="341"/>
      <c r="AB1368" s="341"/>
      <c r="AC1368" s="340"/>
      <c r="AD1368" s="75"/>
      <c r="AE1368" s="75"/>
      <c r="AF1368" s="75"/>
      <c r="AG1368" s="344"/>
      <c r="AH1368" s="344"/>
      <c r="AI1368" s="344"/>
      <c r="AJ1368" s="97"/>
      <c r="AK1368" s="4"/>
    </row>
    <row r="1369" spans="2:37" s="113" customFormat="1" x14ac:dyDescent="0.4">
      <c r="B1369" s="80"/>
      <c r="C1369" s="563">
        <v>956</v>
      </c>
      <c r="D1369" s="907"/>
      <c r="E1369" s="906"/>
      <c r="F1369" s="921" t="str">
        <f t="shared" si="64"/>
        <v/>
      </c>
      <c r="G1369" s="882" t="str">
        <f t="shared" si="65"/>
        <v/>
      </c>
      <c r="H1369" s="925"/>
      <c r="I1369" s="919"/>
      <c r="J1369" s="919"/>
      <c r="K1369" s="919"/>
      <c r="L1369" s="919"/>
      <c r="O1369" s="339"/>
      <c r="T1369" s="75"/>
      <c r="U1369" s="75"/>
      <c r="V1369" s="75"/>
      <c r="W1369" s="75"/>
      <c r="X1369" s="75"/>
      <c r="Y1369" s="340"/>
      <c r="Z1369" s="341"/>
      <c r="AA1369" s="341"/>
      <c r="AB1369" s="341"/>
      <c r="AC1369" s="340"/>
      <c r="AD1369" s="75"/>
      <c r="AE1369" s="75"/>
      <c r="AF1369" s="75"/>
      <c r="AG1369" s="344"/>
      <c r="AH1369" s="344"/>
      <c r="AI1369" s="344"/>
      <c r="AJ1369" s="97"/>
      <c r="AK1369" s="4"/>
    </row>
    <row r="1370" spans="2:37" s="113" customFormat="1" x14ac:dyDescent="0.4">
      <c r="B1370" s="80"/>
      <c r="C1370" s="563">
        <v>957</v>
      </c>
      <c r="D1370" s="907"/>
      <c r="E1370" s="906"/>
      <c r="F1370" s="921" t="str">
        <f t="shared" si="64"/>
        <v/>
      </c>
      <c r="G1370" s="882" t="str">
        <f t="shared" si="65"/>
        <v/>
      </c>
      <c r="H1370" s="925"/>
      <c r="I1370" s="919"/>
      <c r="J1370" s="919"/>
      <c r="K1370" s="919"/>
      <c r="L1370" s="919"/>
      <c r="O1370" s="339"/>
      <c r="T1370" s="75"/>
      <c r="U1370" s="75"/>
      <c r="V1370" s="75"/>
      <c r="W1370" s="75"/>
      <c r="X1370" s="75"/>
      <c r="Y1370" s="340"/>
      <c r="Z1370" s="341"/>
      <c r="AA1370" s="341"/>
      <c r="AB1370" s="341"/>
      <c r="AC1370" s="340"/>
      <c r="AD1370" s="75"/>
      <c r="AE1370" s="75"/>
      <c r="AF1370" s="75"/>
      <c r="AG1370" s="344"/>
      <c r="AH1370" s="344"/>
      <c r="AI1370" s="344"/>
      <c r="AJ1370" s="97"/>
      <c r="AK1370" s="4"/>
    </row>
    <row r="1371" spans="2:37" s="113" customFormat="1" x14ac:dyDescent="0.4">
      <c r="B1371" s="80"/>
      <c r="C1371" s="563">
        <v>958</v>
      </c>
      <c r="D1371" s="907"/>
      <c r="E1371" s="906"/>
      <c r="F1371" s="921" t="str">
        <f t="shared" si="64"/>
        <v/>
      </c>
      <c r="G1371" s="882" t="str">
        <f t="shared" si="65"/>
        <v/>
      </c>
      <c r="H1371" s="925"/>
      <c r="I1371" s="919"/>
      <c r="J1371" s="919"/>
      <c r="K1371" s="919"/>
      <c r="L1371" s="919"/>
      <c r="O1371" s="339"/>
      <c r="T1371" s="75"/>
      <c r="U1371" s="75"/>
      <c r="V1371" s="75"/>
      <c r="W1371" s="75"/>
      <c r="X1371" s="75"/>
      <c r="Y1371" s="340"/>
      <c r="Z1371" s="341"/>
      <c r="AA1371" s="341"/>
      <c r="AB1371" s="341"/>
      <c r="AC1371" s="340"/>
      <c r="AD1371" s="75"/>
      <c r="AE1371" s="75"/>
      <c r="AF1371" s="75"/>
      <c r="AG1371" s="344"/>
      <c r="AH1371" s="344"/>
      <c r="AI1371" s="344"/>
      <c r="AJ1371" s="97"/>
      <c r="AK1371" s="4"/>
    </row>
    <row r="1372" spans="2:37" s="113" customFormat="1" x14ac:dyDescent="0.4">
      <c r="B1372" s="80"/>
      <c r="C1372" s="563">
        <v>959</v>
      </c>
      <c r="D1372" s="907"/>
      <c r="E1372" s="906"/>
      <c r="F1372" s="921" t="str">
        <f t="shared" si="64"/>
        <v/>
      </c>
      <c r="G1372" s="882" t="str">
        <f t="shared" si="65"/>
        <v/>
      </c>
      <c r="H1372" s="925"/>
      <c r="I1372" s="919"/>
      <c r="J1372" s="919"/>
      <c r="K1372" s="919"/>
      <c r="L1372" s="919"/>
      <c r="O1372" s="339"/>
      <c r="T1372" s="75"/>
      <c r="U1372" s="75"/>
      <c r="V1372" s="75"/>
      <c r="W1372" s="75"/>
      <c r="X1372" s="75"/>
      <c r="Y1372" s="340"/>
      <c r="Z1372" s="341"/>
      <c r="AA1372" s="341"/>
      <c r="AB1372" s="341"/>
      <c r="AC1372" s="340"/>
      <c r="AD1372" s="75"/>
      <c r="AE1372" s="75"/>
      <c r="AF1372" s="75"/>
      <c r="AG1372" s="344"/>
      <c r="AH1372" s="344"/>
      <c r="AI1372" s="344"/>
      <c r="AJ1372" s="97"/>
      <c r="AK1372" s="4"/>
    </row>
    <row r="1373" spans="2:37" s="113" customFormat="1" x14ac:dyDescent="0.4">
      <c r="B1373" s="80"/>
      <c r="C1373" s="563">
        <v>960</v>
      </c>
      <c r="D1373" s="907"/>
      <c r="E1373" s="906"/>
      <c r="F1373" s="921" t="str">
        <f t="shared" si="64"/>
        <v/>
      </c>
      <c r="G1373" s="882" t="str">
        <f t="shared" si="65"/>
        <v/>
      </c>
      <c r="H1373" s="925"/>
      <c r="I1373" s="919"/>
      <c r="J1373" s="919"/>
      <c r="K1373" s="919"/>
      <c r="L1373" s="919"/>
      <c r="O1373" s="339"/>
      <c r="T1373" s="75"/>
      <c r="U1373" s="75"/>
      <c r="V1373" s="75"/>
      <c r="W1373" s="75"/>
      <c r="X1373" s="75"/>
      <c r="Y1373" s="340"/>
      <c r="Z1373" s="341"/>
      <c r="AA1373" s="341"/>
      <c r="AB1373" s="341"/>
      <c r="AC1373" s="340"/>
      <c r="AD1373" s="75"/>
      <c r="AE1373" s="75"/>
      <c r="AF1373" s="75"/>
      <c r="AG1373" s="344"/>
      <c r="AH1373" s="344"/>
      <c r="AI1373" s="344"/>
      <c r="AJ1373" s="97"/>
      <c r="AK1373" s="4"/>
    </row>
    <row r="1374" spans="2:37" s="113" customFormat="1" x14ac:dyDescent="0.4">
      <c r="B1374" s="80"/>
      <c r="C1374" s="563">
        <v>961</v>
      </c>
      <c r="D1374" s="907"/>
      <c r="E1374" s="906"/>
      <c r="F1374" s="921" t="str">
        <f t="shared" ref="F1374:F1437" si="66">IF($D$30="","",IF(OR(
AND(C1374&gt;=0,C1374&lt;=$D$32),
AND(C1374&gt;=$E$30,C1374&lt;=$E$32),
AND(C1374&gt;=$F$30,C1374&lt;=$F$32),
AND(C1374&gt;=$G$30,C1374&lt;=$G$32),
AND(C1374&gt;=$H$30,C1374&lt;=$H$32),
AND(C1374&gt;=$I$30,C1374&lt;=$I$32),
AND(C1374&gt;=$J$30,C1374&lt;=$J$32),
AND(C1374&gt;=$K$30,C1374&lt;=$K$32),
AND(C1374&gt;=$L$30,C1374&lt;=$L$32),
AND(C1374&gt;=$M$30,C1374&lt;=$M$32,$M$32&lt;&gt;""),
AND(C1374&gt;=$N$30,C1374&lt;=$N$32,$N$32&lt;&gt;""),
AND(C1374&gt;=$O$30,C1374&lt;=$O$32,$O$32&lt;&gt;""),
AND(C1374&gt;=$P$30,C1374&lt;=$P$32,$P$32&lt;&gt;""),
AND(C1374&gt;=$Q$30,C1374&lt;=$Q$32,$Q$32&lt;&gt;"")
),"ON","OFF"))</f>
        <v/>
      </c>
      <c r="G1374" s="882" t="str">
        <f t="shared" si="65"/>
        <v/>
      </c>
      <c r="H1374" s="925"/>
      <c r="I1374" s="919"/>
      <c r="J1374" s="919"/>
      <c r="K1374" s="919"/>
      <c r="L1374" s="919"/>
      <c r="O1374" s="339"/>
      <c r="T1374" s="75"/>
      <c r="U1374" s="75"/>
      <c r="V1374" s="75"/>
      <c r="W1374" s="75"/>
      <c r="X1374" s="75"/>
      <c r="Y1374" s="340"/>
      <c r="Z1374" s="341"/>
      <c r="AA1374" s="341"/>
      <c r="AB1374" s="341"/>
      <c r="AC1374" s="340"/>
      <c r="AD1374" s="75"/>
      <c r="AE1374" s="75"/>
      <c r="AF1374" s="75"/>
      <c r="AG1374" s="344"/>
      <c r="AH1374" s="344"/>
      <c r="AI1374" s="344"/>
      <c r="AJ1374" s="97"/>
      <c r="AK1374" s="4"/>
    </row>
    <row r="1375" spans="2:37" s="113" customFormat="1" x14ac:dyDescent="0.4">
      <c r="B1375" s="80"/>
      <c r="C1375" s="563">
        <v>962</v>
      </c>
      <c r="D1375" s="907"/>
      <c r="E1375" s="906"/>
      <c r="F1375" s="921" t="str">
        <f t="shared" si="66"/>
        <v/>
      </c>
      <c r="G1375" s="882" t="str">
        <f t="shared" ref="G1375:G1438" si="67">IF(OR($D$47="",$D$48=""),"",IF(OR(
AND(C1375&gt;=$D$47,C1375&lt;=$D$48),
AND(C1375&gt;=$E$47,C1375&lt;=$E$48),
AND(C1375&gt;=$F$47,C1375&lt;=$F$48),
AND(C1375&gt;=$G$47,C1375&lt;=$G$48),
AND(C1375&gt;=$H$47,C1375&lt;=$H$48),
AND(C1375&gt;=$I$47,C1375&lt;=$I$48),
AND(C1375&gt;=$J$47,C1375&lt;=$J$48),
AND(C1375&gt;=$K$47,C1375&lt;=$K$48),
AND(C1375&gt;=$L$47,C1375&lt;=$L$48),
AND(C1375&gt;=$M$47,C1375&lt;=$M$48),
AND(C1375&gt;=$N$47,C1375&lt;=$N$48),
AND(C1375&gt;=$O$47,C1375&lt;=$O$48),
AND(C1375&gt;=$P$47,C1375&lt;=$P$48),
AND(C1375&gt;=$Q$47,C1375&lt;=$Q$48),
AND(C1375&gt;=$R$47,C1375&lt;=$R$48),
AND(C1375&gt;=$S$47,C1375&lt;=$S$48),
AND(C1375&gt;=$T$47,C1375&lt;=$T$48),
AND(C1375&gt;=$U$47,C1375&lt;=$U$48),
AND(C1375&gt;=$V$47,C1375&lt;=$V$48),
AND(C1375&gt;=$W$47,C1375&lt;=$W$48),
AND(C1375&gt;=$X$47,C1375&lt;=$X$48),
AND(C1375&gt;=$Y$47,C1375&lt;=$Y$48),
AND(C1375&gt;=$Z$47,C1375&lt;=$Z$48),
AND(C1375&gt;=$AA$47,C1375&lt;=$AA$48),
AND(C1375&gt;=$AB$47,C1375&lt;=$AB$48),
AND(C1375&gt;=$AC$47,C1375&lt;=$AC$48),
AND(C1375&gt;=$AD$47,C1375&lt;=$AD$48),
AND(C1375&gt;=$AE$47,C1375&lt;=$AE$48),
AND(C1375&gt;=$AF$47,C1375&lt;=$AF$48),
AND(C1375&gt;=$AG$47,C1375&lt;=$AG$48)
),"ON","OFF"))</f>
        <v/>
      </c>
      <c r="H1375" s="925"/>
      <c r="I1375" s="919"/>
      <c r="J1375" s="919"/>
      <c r="K1375" s="919"/>
      <c r="L1375" s="919"/>
      <c r="O1375" s="339"/>
      <c r="T1375" s="75"/>
      <c r="U1375" s="75"/>
      <c r="V1375" s="75"/>
      <c r="W1375" s="75"/>
      <c r="X1375" s="75"/>
      <c r="Y1375" s="340"/>
      <c r="Z1375" s="341"/>
      <c r="AA1375" s="341"/>
      <c r="AB1375" s="341"/>
      <c r="AC1375" s="340"/>
      <c r="AD1375" s="75"/>
      <c r="AE1375" s="75"/>
      <c r="AF1375" s="75"/>
      <c r="AG1375" s="344"/>
      <c r="AH1375" s="344"/>
      <c r="AI1375" s="344"/>
      <c r="AJ1375" s="97"/>
      <c r="AK1375" s="4"/>
    </row>
    <row r="1376" spans="2:37" s="113" customFormat="1" x14ac:dyDescent="0.4">
      <c r="B1376" s="80"/>
      <c r="C1376" s="563">
        <v>963</v>
      </c>
      <c r="D1376" s="907"/>
      <c r="E1376" s="906"/>
      <c r="F1376" s="921" t="str">
        <f t="shared" si="66"/>
        <v/>
      </c>
      <c r="G1376" s="882" t="str">
        <f t="shared" si="67"/>
        <v/>
      </c>
      <c r="H1376" s="925"/>
      <c r="I1376" s="919"/>
      <c r="J1376" s="919"/>
      <c r="K1376" s="919"/>
      <c r="L1376" s="919"/>
      <c r="O1376" s="339"/>
      <c r="T1376" s="75"/>
      <c r="U1376" s="75"/>
      <c r="V1376" s="75"/>
      <c r="W1376" s="75"/>
      <c r="X1376" s="75"/>
      <c r="Y1376" s="340"/>
      <c r="Z1376" s="341"/>
      <c r="AA1376" s="341"/>
      <c r="AB1376" s="341"/>
      <c r="AC1376" s="340"/>
      <c r="AD1376" s="75"/>
      <c r="AE1376" s="75"/>
      <c r="AF1376" s="75"/>
      <c r="AG1376" s="344"/>
      <c r="AH1376" s="344"/>
      <c r="AI1376" s="344"/>
      <c r="AJ1376" s="97"/>
      <c r="AK1376" s="4"/>
    </row>
    <row r="1377" spans="2:37" s="113" customFormat="1" x14ac:dyDescent="0.4">
      <c r="B1377" s="80"/>
      <c r="C1377" s="563">
        <v>964</v>
      </c>
      <c r="D1377" s="907"/>
      <c r="E1377" s="906"/>
      <c r="F1377" s="921" t="str">
        <f t="shared" si="66"/>
        <v/>
      </c>
      <c r="G1377" s="882" t="str">
        <f t="shared" si="67"/>
        <v/>
      </c>
      <c r="H1377" s="925"/>
      <c r="I1377" s="919"/>
      <c r="J1377" s="919"/>
      <c r="K1377" s="919"/>
      <c r="L1377" s="919"/>
      <c r="O1377" s="339"/>
      <c r="T1377" s="75"/>
      <c r="U1377" s="75"/>
      <c r="V1377" s="75"/>
      <c r="W1377" s="75"/>
      <c r="X1377" s="75"/>
      <c r="Y1377" s="340"/>
      <c r="Z1377" s="341"/>
      <c r="AA1377" s="341"/>
      <c r="AB1377" s="341"/>
      <c r="AC1377" s="340"/>
      <c r="AD1377" s="75"/>
      <c r="AE1377" s="75"/>
      <c r="AF1377" s="75"/>
      <c r="AG1377" s="344"/>
      <c r="AH1377" s="344"/>
      <c r="AI1377" s="344"/>
      <c r="AJ1377" s="97"/>
      <c r="AK1377" s="4"/>
    </row>
    <row r="1378" spans="2:37" s="113" customFormat="1" x14ac:dyDescent="0.4">
      <c r="B1378" s="80"/>
      <c r="C1378" s="563">
        <v>965</v>
      </c>
      <c r="D1378" s="907"/>
      <c r="E1378" s="906"/>
      <c r="F1378" s="921" t="str">
        <f t="shared" si="66"/>
        <v/>
      </c>
      <c r="G1378" s="882" t="str">
        <f t="shared" si="67"/>
        <v/>
      </c>
      <c r="H1378" s="925"/>
      <c r="I1378" s="919"/>
      <c r="J1378" s="919"/>
      <c r="K1378" s="919"/>
      <c r="L1378" s="919"/>
      <c r="O1378" s="339"/>
      <c r="T1378" s="75"/>
      <c r="U1378" s="75"/>
      <c r="V1378" s="75"/>
      <c r="W1378" s="75"/>
      <c r="X1378" s="75"/>
      <c r="Y1378" s="340"/>
      <c r="Z1378" s="341"/>
      <c r="AA1378" s="341"/>
      <c r="AB1378" s="341"/>
      <c r="AC1378" s="340"/>
      <c r="AD1378" s="75"/>
      <c r="AE1378" s="75"/>
      <c r="AF1378" s="75"/>
      <c r="AG1378" s="344"/>
      <c r="AH1378" s="344"/>
      <c r="AI1378" s="344"/>
      <c r="AJ1378" s="97"/>
      <c r="AK1378" s="4"/>
    </row>
    <row r="1379" spans="2:37" s="113" customFormat="1" x14ac:dyDescent="0.4">
      <c r="B1379" s="80"/>
      <c r="C1379" s="563">
        <v>966</v>
      </c>
      <c r="D1379" s="907"/>
      <c r="E1379" s="906"/>
      <c r="F1379" s="921" t="str">
        <f t="shared" si="66"/>
        <v/>
      </c>
      <c r="G1379" s="882" t="str">
        <f t="shared" si="67"/>
        <v/>
      </c>
      <c r="H1379" s="925"/>
      <c r="I1379" s="919"/>
      <c r="J1379" s="919"/>
      <c r="K1379" s="919"/>
      <c r="L1379" s="919"/>
      <c r="O1379" s="339"/>
      <c r="T1379" s="75"/>
      <c r="U1379" s="75"/>
      <c r="V1379" s="75"/>
      <c r="W1379" s="75"/>
      <c r="X1379" s="75"/>
      <c r="Y1379" s="340"/>
      <c r="Z1379" s="341"/>
      <c r="AA1379" s="341"/>
      <c r="AB1379" s="341"/>
      <c r="AC1379" s="340"/>
      <c r="AD1379" s="75"/>
      <c r="AE1379" s="75"/>
      <c r="AF1379" s="75"/>
      <c r="AG1379" s="344"/>
      <c r="AH1379" s="344"/>
      <c r="AI1379" s="344"/>
      <c r="AJ1379" s="97"/>
      <c r="AK1379" s="4"/>
    </row>
    <row r="1380" spans="2:37" s="113" customFormat="1" x14ac:dyDescent="0.4">
      <c r="B1380" s="80"/>
      <c r="C1380" s="563">
        <v>967</v>
      </c>
      <c r="D1380" s="907"/>
      <c r="E1380" s="906"/>
      <c r="F1380" s="921" t="str">
        <f t="shared" si="66"/>
        <v/>
      </c>
      <c r="G1380" s="882" t="str">
        <f t="shared" si="67"/>
        <v/>
      </c>
      <c r="H1380" s="925"/>
      <c r="I1380" s="919"/>
      <c r="J1380" s="919"/>
      <c r="K1380" s="919"/>
      <c r="L1380" s="919"/>
      <c r="O1380" s="339"/>
      <c r="T1380" s="75"/>
      <c r="U1380" s="75"/>
      <c r="V1380" s="75"/>
      <c r="W1380" s="75"/>
      <c r="X1380" s="75"/>
      <c r="Y1380" s="340"/>
      <c r="Z1380" s="341"/>
      <c r="AA1380" s="341"/>
      <c r="AB1380" s="341"/>
      <c r="AC1380" s="340"/>
      <c r="AD1380" s="75"/>
      <c r="AE1380" s="75"/>
      <c r="AF1380" s="75"/>
      <c r="AG1380" s="344"/>
      <c r="AH1380" s="344"/>
      <c r="AI1380" s="344"/>
      <c r="AJ1380" s="97"/>
      <c r="AK1380" s="4"/>
    </row>
    <row r="1381" spans="2:37" s="113" customFormat="1" x14ac:dyDescent="0.4">
      <c r="B1381" s="80"/>
      <c r="C1381" s="563">
        <v>968</v>
      </c>
      <c r="D1381" s="907"/>
      <c r="E1381" s="906"/>
      <c r="F1381" s="921" t="str">
        <f t="shared" si="66"/>
        <v/>
      </c>
      <c r="G1381" s="882" t="str">
        <f t="shared" si="67"/>
        <v/>
      </c>
      <c r="H1381" s="925"/>
      <c r="I1381" s="919"/>
      <c r="J1381" s="919"/>
      <c r="K1381" s="919"/>
      <c r="L1381" s="919"/>
      <c r="O1381" s="339"/>
      <c r="T1381" s="75"/>
      <c r="U1381" s="75"/>
      <c r="V1381" s="75"/>
      <c r="W1381" s="75"/>
      <c r="X1381" s="75"/>
      <c r="Y1381" s="340"/>
      <c r="Z1381" s="341"/>
      <c r="AA1381" s="341"/>
      <c r="AB1381" s="341"/>
      <c r="AC1381" s="340"/>
      <c r="AD1381" s="75"/>
      <c r="AE1381" s="75"/>
      <c r="AF1381" s="75"/>
      <c r="AG1381" s="344"/>
      <c r="AH1381" s="344"/>
      <c r="AI1381" s="344"/>
      <c r="AJ1381" s="97"/>
      <c r="AK1381" s="4"/>
    </row>
    <row r="1382" spans="2:37" s="113" customFormat="1" x14ac:dyDescent="0.4">
      <c r="B1382" s="80"/>
      <c r="C1382" s="563">
        <v>969</v>
      </c>
      <c r="D1382" s="907"/>
      <c r="E1382" s="906"/>
      <c r="F1382" s="921" t="str">
        <f t="shared" si="66"/>
        <v/>
      </c>
      <c r="G1382" s="882" t="str">
        <f t="shared" si="67"/>
        <v/>
      </c>
      <c r="H1382" s="925"/>
      <c r="I1382" s="919"/>
      <c r="J1382" s="919"/>
      <c r="K1382" s="919"/>
      <c r="L1382" s="919"/>
      <c r="O1382" s="339"/>
      <c r="T1382" s="75"/>
      <c r="U1382" s="75"/>
      <c r="V1382" s="75"/>
      <c r="W1382" s="75"/>
      <c r="X1382" s="75"/>
      <c r="Y1382" s="340"/>
      <c r="Z1382" s="341"/>
      <c r="AA1382" s="341"/>
      <c r="AB1382" s="341"/>
      <c r="AC1382" s="340"/>
      <c r="AD1382" s="75"/>
      <c r="AE1382" s="75"/>
      <c r="AF1382" s="75"/>
      <c r="AG1382" s="344"/>
      <c r="AH1382" s="344"/>
      <c r="AI1382" s="344"/>
      <c r="AJ1382" s="97"/>
      <c r="AK1382" s="4"/>
    </row>
    <row r="1383" spans="2:37" s="113" customFormat="1" x14ac:dyDescent="0.4">
      <c r="B1383" s="80"/>
      <c r="C1383" s="563">
        <v>970</v>
      </c>
      <c r="D1383" s="907"/>
      <c r="E1383" s="906"/>
      <c r="F1383" s="921" t="str">
        <f t="shared" si="66"/>
        <v/>
      </c>
      <c r="G1383" s="882" t="str">
        <f t="shared" si="67"/>
        <v/>
      </c>
      <c r="H1383" s="925"/>
      <c r="I1383" s="919"/>
      <c r="J1383" s="919"/>
      <c r="K1383" s="919"/>
      <c r="L1383" s="919"/>
      <c r="O1383" s="339"/>
      <c r="T1383" s="75"/>
      <c r="U1383" s="75"/>
      <c r="V1383" s="75"/>
      <c r="W1383" s="75"/>
      <c r="X1383" s="75"/>
      <c r="Y1383" s="340"/>
      <c r="Z1383" s="341"/>
      <c r="AA1383" s="341"/>
      <c r="AB1383" s="341"/>
      <c r="AC1383" s="340"/>
      <c r="AD1383" s="75"/>
      <c r="AE1383" s="75"/>
      <c r="AF1383" s="75"/>
      <c r="AG1383" s="344"/>
      <c r="AH1383" s="344"/>
      <c r="AI1383" s="344"/>
      <c r="AJ1383" s="97"/>
      <c r="AK1383" s="4"/>
    </row>
    <row r="1384" spans="2:37" s="113" customFormat="1" x14ac:dyDescent="0.4">
      <c r="B1384" s="80"/>
      <c r="C1384" s="563">
        <v>971</v>
      </c>
      <c r="D1384" s="907"/>
      <c r="E1384" s="906"/>
      <c r="F1384" s="921" t="str">
        <f t="shared" si="66"/>
        <v/>
      </c>
      <c r="G1384" s="882" t="str">
        <f t="shared" si="67"/>
        <v/>
      </c>
      <c r="H1384" s="925"/>
      <c r="I1384" s="919"/>
      <c r="J1384" s="919"/>
      <c r="K1384" s="919"/>
      <c r="L1384" s="919"/>
      <c r="O1384" s="339"/>
      <c r="T1384" s="75"/>
      <c r="U1384" s="75"/>
      <c r="V1384" s="75"/>
      <c r="W1384" s="75"/>
      <c r="X1384" s="75"/>
      <c r="Y1384" s="340"/>
      <c r="Z1384" s="341"/>
      <c r="AA1384" s="341"/>
      <c r="AB1384" s="341"/>
      <c r="AC1384" s="340"/>
      <c r="AD1384" s="75"/>
      <c r="AE1384" s="75"/>
      <c r="AF1384" s="75"/>
      <c r="AG1384" s="344"/>
      <c r="AH1384" s="344"/>
      <c r="AI1384" s="344"/>
      <c r="AJ1384" s="97"/>
      <c r="AK1384" s="4"/>
    </row>
    <row r="1385" spans="2:37" s="113" customFormat="1" x14ac:dyDescent="0.4">
      <c r="B1385" s="80"/>
      <c r="C1385" s="563">
        <v>972</v>
      </c>
      <c r="D1385" s="907"/>
      <c r="E1385" s="906"/>
      <c r="F1385" s="921" t="str">
        <f t="shared" si="66"/>
        <v/>
      </c>
      <c r="G1385" s="882" t="str">
        <f t="shared" si="67"/>
        <v/>
      </c>
      <c r="H1385" s="925"/>
      <c r="I1385" s="919"/>
      <c r="J1385" s="919"/>
      <c r="K1385" s="919"/>
      <c r="L1385" s="919"/>
      <c r="O1385" s="339"/>
      <c r="T1385" s="75"/>
      <c r="U1385" s="75"/>
      <c r="V1385" s="75"/>
      <c r="W1385" s="75"/>
      <c r="X1385" s="75"/>
      <c r="Y1385" s="340"/>
      <c r="Z1385" s="341"/>
      <c r="AA1385" s="341"/>
      <c r="AB1385" s="341"/>
      <c r="AC1385" s="340"/>
      <c r="AD1385" s="75"/>
      <c r="AE1385" s="75"/>
      <c r="AF1385" s="75"/>
      <c r="AG1385" s="344"/>
      <c r="AH1385" s="344"/>
      <c r="AI1385" s="344"/>
      <c r="AJ1385" s="97"/>
      <c r="AK1385" s="4"/>
    </row>
    <row r="1386" spans="2:37" s="113" customFormat="1" x14ac:dyDescent="0.4">
      <c r="B1386" s="80"/>
      <c r="C1386" s="563">
        <v>973</v>
      </c>
      <c r="D1386" s="907"/>
      <c r="E1386" s="906"/>
      <c r="F1386" s="921" t="str">
        <f t="shared" si="66"/>
        <v/>
      </c>
      <c r="G1386" s="882" t="str">
        <f t="shared" si="67"/>
        <v/>
      </c>
      <c r="H1386" s="925"/>
      <c r="I1386" s="919"/>
      <c r="J1386" s="919"/>
      <c r="K1386" s="919"/>
      <c r="L1386" s="919"/>
      <c r="O1386" s="339"/>
      <c r="T1386" s="75"/>
      <c r="U1386" s="75"/>
      <c r="V1386" s="75"/>
      <c r="W1386" s="75"/>
      <c r="X1386" s="75"/>
      <c r="Y1386" s="340"/>
      <c r="Z1386" s="341"/>
      <c r="AA1386" s="341"/>
      <c r="AB1386" s="341"/>
      <c r="AC1386" s="340"/>
      <c r="AD1386" s="75"/>
      <c r="AE1386" s="75"/>
      <c r="AF1386" s="75"/>
      <c r="AG1386" s="344"/>
      <c r="AH1386" s="344"/>
      <c r="AI1386" s="344"/>
      <c r="AJ1386" s="97"/>
      <c r="AK1386" s="4"/>
    </row>
    <row r="1387" spans="2:37" s="113" customFormat="1" x14ac:dyDescent="0.4">
      <c r="B1387" s="80"/>
      <c r="C1387" s="563">
        <v>974</v>
      </c>
      <c r="D1387" s="907"/>
      <c r="E1387" s="906"/>
      <c r="F1387" s="921" t="str">
        <f t="shared" si="66"/>
        <v/>
      </c>
      <c r="G1387" s="882" t="str">
        <f t="shared" si="67"/>
        <v/>
      </c>
      <c r="H1387" s="925"/>
      <c r="I1387" s="919"/>
      <c r="J1387" s="919"/>
      <c r="K1387" s="919"/>
      <c r="L1387" s="919"/>
      <c r="O1387" s="339"/>
      <c r="T1387" s="75"/>
      <c r="U1387" s="75"/>
      <c r="V1387" s="75"/>
      <c r="W1387" s="75"/>
      <c r="X1387" s="75"/>
      <c r="Y1387" s="340"/>
      <c r="Z1387" s="341"/>
      <c r="AA1387" s="341"/>
      <c r="AB1387" s="341"/>
      <c r="AC1387" s="340"/>
      <c r="AD1387" s="75"/>
      <c r="AE1387" s="75"/>
      <c r="AF1387" s="75"/>
      <c r="AG1387" s="344"/>
      <c r="AH1387" s="344"/>
      <c r="AI1387" s="344"/>
      <c r="AJ1387" s="97"/>
      <c r="AK1387" s="4"/>
    </row>
    <row r="1388" spans="2:37" s="113" customFormat="1" x14ac:dyDescent="0.4">
      <c r="B1388" s="80"/>
      <c r="C1388" s="563">
        <v>975</v>
      </c>
      <c r="D1388" s="907"/>
      <c r="E1388" s="906"/>
      <c r="F1388" s="921" t="str">
        <f t="shared" si="66"/>
        <v/>
      </c>
      <c r="G1388" s="882" t="str">
        <f t="shared" si="67"/>
        <v/>
      </c>
      <c r="H1388" s="925"/>
      <c r="I1388" s="919"/>
      <c r="J1388" s="919"/>
      <c r="K1388" s="919"/>
      <c r="L1388" s="919"/>
      <c r="O1388" s="339"/>
      <c r="T1388" s="75"/>
      <c r="U1388" s="75"/>
      <c r="V1388" s="75"/>
      <c r="W1388" s="75"/>
      <c r="X1388" s="75"/>
      <c r="Y1388" s="340"/>
      <c r="Z1388" s="341"/>
      <c r="AA1388" s="341"/>
      <c r="AB1388" s="341"/>
      <c r="AC1388" s="340"/>
      <c r="AD1388" s="75"/>
      <c r="AE1388" s="75"/>
      <c r="AF1388" s="75"/>
      <c r="AG1388" s="344"/>
      <c r="AH1388" s="344"/>
      <c r="AI1388" s="344"/>
      <c r="AJ1388" s="97"/>
      <c r="AK1388" s="4"/>
    </row>
    <row r="1389" spans="2:37" s="113" customFormat="1" x14ac:dyDescent="0.4">
      <c r="B1389" s="80"/>
      <c r="C1389" s="563">
        <v>976</v>
      </c>
      <c r="D1389" s="907"/>
      <c r="E1389" s="906"/>
      <c r="F1389" s="921" t="str">
        <f t="shared" si="66"/>
        <v/>
      </c>
      <c r="G1389" s="882" t="str">
        <f t="shared" si="67"/>
        <v/>
      </c>
      <c r="H1389" s="925"/>
      <c r="I1389" s="919"/>
      <c r="J1389" s="919"/>
      <c r="K1389" s="919"/>
      <c r="L1389" s="919"/>
      <c r="O1389" s="339"/>
      <c r="T1389" s="75"/>
      <c r="U1389" s="75"/>
      <c r="V1389" s="75"/>
      <c r="W1389" s="75"/>
      <c r="X1389" s="75"/>
      <c r="Y1389" s="340"/>
      <c r="Z1389" s="341"/>
      <c r="AA1389" s="341"/>
      <c r="AB1389" s="341"/>
      <c r="AC1389" s="340"/>
      <c r="AD1389" s="75"/>
      <c r="AE1389" s="75"/>
      <c r="AF1389" s="75"/>
      <c r="AG1389" s="344"/>
      <c r="AH1389" s="344"/>
      <c r="AI1389" s="344"/>
      <c r="AJ1389" s="97"/>
      <c r="AK1389" s="4"/>
    </row>
    <row r="1390" spans="2:37" s="113" customFormat="1" x14ac:dyDescent="0.4">
      <c r="B1390" s="80"/>
      <c r="C1390" s="563">
        <v>977</v>
      </c>
      <c r="D1390" s="907"/>
      <c r="E1390" s="906"/>
      <c r="F1390" s="921" t="str">
        <f t="shared" si="66"/>
        <v/>
      </c>
      <c r="G1390" s="882" t="str">
        <f t="shared" si="67"/>
        <v/>
      </c>
      <c r="H1390" s="925"/>
      <c r="I1390" s="919"/>
      <c r="J1390" s="919"/>
      <c r="K1390" s="919"/>
      <c r="L1390" s="919"/>
      <c r="O1390" s="339"/>
      <c r="T1390" s="75"/>
      <c r="U1390" s="75"/>
      <c r="V1390" s="75"/>
      <c r="W1390" s="75"/>
      <c r="X1390" s="75"/>
      <c r="Y1390" s="340"/>
      <c r="Z1390" s="341"/>
      <c r="AA1390" s="341"/>
      <c r="AB1390" s="341"/>
      <c r="AC1390" s="340"/>
      <c r="AD1390" s="75"/>
      <c r="AE1390" s="75"/>
      <c r="AF1390" s="75"/>
      <c r="AG1390" s="344"/>
      <c r="AH1390" s="344"/>
      <c r="AI1390" s="344"/>
      <c r="AJ1390" s="97"/>
      <c r="AK1390" s="4"/>
    </row>
    <row r="1391" spans="2:37" s="113" customFormat="1" x14ac:dyDescent="0.4">
      <c r="B1391" s="80"/>
      <c r="C1391" s="563">
        <v>978</v>
      </c>
      <c r="D1391" s="907"/>
      <c r="E1391" s="906"/>
      <c r="F1391" s="921" t="str">
        <f t="shared" si="66"/>
        <v/>
      </c>
      <c r="G1391" s="882" t="str">
        <f t="shared" si="67"/>
        <v/>
      </c>
      <c r="H1391" s="925"/>
      <c r="I1391" s="919"/>
      <c r="J1391" s="919"/>
      <c r="K1391" s="919"/>
      <c r="L1391" s="919"/>
      <c r="O1391" s="339"/>
      <c r="T1391" s="75"/>
      <c r="U1391" s="75"/>
      <c r="V1391" s="75"/>
      <c r="W1391" s="75"/>
      <c r="X1391" s="75"/>
      <c r="Y1391" s="340"/>
      <c r="Z1391" s="341"/>
      <c r="AA1391" s="341"/>
      <c r="AB1391" s="341"/>
      <c r="AC1391" s="340"/>
      <c r="AD1391" s="75"/>
      <c r="AE1391" s="75"/>
      <c r="AF1391" s="75"/>
      <c r="AG1391" s="344"/>
      <c r="AH1391" s="344"/>
      <c r="AI1391" s="344"/>
      <c r="AJ1391" s="97"/>
      <c r="AK1391" s="4"/>
    </row>
    <row r="1392" spans="2:37" s="113" customFormat="1" x14ac:dyDescent="0.4">
      <c r="B1392" s="80"/>
      <c r="C1392" s="563">
        <v>979</v>
      </c>
      <c r="D1392" s="907"/>
      <c r="E1392" s="906"/>
      <c r="F1392" s="921" t="str">
        <f t="shared" si="66"/>
        <v/>
      </c>
      <c r="G1392" s="882" t="str">
        <f t="shared" si="67"/>
        <v/>
      </c>
      <c r="H1392" s="925"/>
      <c r="I1392" s="919"/>
      <c r="J1392" s="919"/>
      <c r="K1392" s="919"/>
      <c r="L1392" s="919"/>
      <c r="O1392" s="339"/>
      <c r="T1392" s="75"/>
      <c r="U1392" s="75"/>
      <c r="V1392" s="75"/>
      <c r="W1392" s="75"/>
      <c r="X1392" s="75"/>
      <c r="Y1392" s="340"/>
      <c r="Z1392" s="341"/>
      <c r="AA1392" s="341"/>
      <c r="AB1392" s="341"/>
      <c r="AC1392" s="340"/>
      <c r="AD1392" s="75"/>
      <c r="AE1392" s="75"/>
      <c r="AF1392" s="75"/>
      <c r="AG1392" s="344"/>
      <c r="AH1392" s="344"/>
      <c r="AI1392" s="344"/>
      <c r="AJ1392" s="97"/>
      <c r="AK1392" s="4"/>
    </row>
    <row r="1393" spans="2:37" s="113" customFormat="1" x14ac:dyDescent="0.4">
      <c r="B1393" s="80"/>
      <c r="C1393" s="563">
        <v>980</v>
      </c>
      <c r="D1393" s="907"/>
      <c r="E1393" s="906"/>
      <c r="F1393" s="921" t="str">
        <f t="shared" si="66"/>
        <v/>
      </c>
      <c r="G1393" s="882" t="str">
        <f t="shared" si="67"/>
        <v/>
      </c>
      <c r="H1393" s="925"/>
      <c r="I1393" s="919"/>
      <c r="J1393" s="919"/>
      <c r="K1393" s="919"/>
      <c r="L1393" s="919"/>
      <c r="O1393" s="339"/>
      <c r="T1393" s="75"/>
      <c r="U1393" s="75"/>
      <c r="V1393" s="75"/>
      <c r="W1393" s="75"/>
      <c r="X1393" s="75"/>
      <c r="Y1393" s="340"/>
      <c r="Z1393" s="341"/>
      <c r="AA1393" s="341"/>
      <c r="AB1393" s="341"/>
      <c r="AC1393" s="340"/>
      <c r="AD1393" s="75"/>
      <c r="AE1393" s="75"/>
      <c r="AF1393" s="75"/>
      <c r="AG1393" s="344"/>
      <c r="AH1393" s="344"/>
      <c r="AI1393" s="344"/>
      <c r="AJ1393" s="97"/>
      <c r="AK1393" s="4"/>
    </row>
    <row r="1394" spans="2:37" s="113" customFormat="1" x14ac:dyDescent="0.4">
      <c r="B1394" s="80"/>
      <c r="C1394" s="563">
        <v>981</v>
      </c>
      <c r="D1394" s="907"/>
      <c r="E1394" s="906"/>
      <c r="F1394" s="921" t="str">
        <f t="shared" si="66"/>
        <v/>
      </c>
      <c r="G1394" s="882" t="str">
        <f t="shared" si="67"/>
        <v/>
      </c>
      <c r="H1394" s="925"/>
      <c r="I1394" s="919"/>
      <c r="J1394" s="919"/>
      <c r="K1394" s="919"/>
      <c r="L1394" s="919"/>
      <c r="O1394" s="339"/>
      <c r="T1394" s="75"/>
      <c r="U1394" s="75"/>
      <c r="V1394" s="75"/>
      <c r="W1394" s="75"/>
      <c r="X1394" s="75"/>
      <c r="Y1394" s="340"/>
      <c r="Z1394" s="341"/>
      <c r="AA1394" s="341"/>
      <c r="AB1394" s="341"/>
      <c r="AC1394" s="340"/>
      <c r="AD1394" s="75"/>
      <c r="AE1394" s="75"/>
      <c r="AF1394" s="75"/>
      <c r="AG1394" s="344"/>
      <c r="AH1394" s="344"/>
      <c r="AI1394" s="344"/>
      <c r="AJ1394" s="97"/>
      <c r="AK1394" s="4"/>
    </row>
    <row r="1395" spans="2:37" s="113" customFormat="1" x14ac:dyDescent="0.4">
      <c r="B1395" s="80"/>
      <c r="C1395" s="563">
        <v>982</v>
      </c>
      <c r="D1395" s="907"/>
      <c r="E1395" s="906"/>
      <c r="F1395" s="921" t="str">
        <f t="shared" si="66"/>
        <v/>
      </c>
      <c r="G1395" s="882" t="str">
        <f t="shared" si="67"/>
        <v/>
      </c>
      <c r="H1395" s="925"/>
      <c r="I1395" s="919"/>
      <c r="J1395" s="919"/>
      <c r="K1395" s="919"/>
      <c r="L1395" s="919"/>
      <c r="O1395" s="339"/>
      <c r="T1395" s="75"/>
      <c r="U1395" s="75"/>
      <c r="V1395" s="75"/>
      <c r="W1395" s="75"/>
      <c r="X1395" s="75"/>
      <c r="Y1395" s="340"/>
      <c r="Z1395" s="341"/>
      <c r="AA1395" s="341"/>
      <c r="AB1395" s="341"/>
      <c r="AC1395" s="340"/>
      <c r="AD1395" s="75"/>
      <c r="AE1395" s="75"/>
      <c r="AF1395" s="75"/>
      <c r="AG1395" s="344"/>
      <c r="AH1395" s="344"/>
      <c r="AI1395" s="344"/>
      <c r="AJ1395" s="97"/>
      <c r="AK1395" s="4"/>
    </row>
    <row r="1396" spans="2:37" s="113" customFormat="1" x14ac:dyDescent="0.4">
      <c r="B1396" s="80"/>
      <c r="C1396" s="563">
        <v>983</v>
      </c>
      <c r="D1396" s="907"/>
      <c r="E1396" s="906"/>
      <c r="F1396" s="921" t="str">
        <f t="shared" si="66"/>
        <v/>
      </c>
      <c r="G1396" s="882" t="str">
        <f t="shared" si="67"/>
        <v/>
      </c>
      <c r="H1396" s="925"/>
      <c r="I1396" s="919"/>
      <c r="J1396" s="919"/>
      <c r="K1396" s="919"/>
      <c r="L1396" s="919"/>
      <c r="O1396" s="339"/>
      <c r="T1396" s="75"/>
      <c r="U1396" s="75"/>
      <c r="V1396" s="75"/>
      <c r="W1396" s="75"/>
      <c r="X1396" s="75"/>
      <c r="Y1396" s="340"/>
      <c r="Z1396" s="341"/>
      <c r="AA1396" s="341"/>
      <c r="AB1396" s="341"/>
      <c r="AC1396" s="340"/>
      <c r="AD1396" s="75"/>
      <c r="AE1396" s="75"/>
      <c r="AF1396" s="75"/>
      <c r="AG1396" s="344"/>
      <c r="AH1396" s="344"/>
      <c r="AI1396" s="344"/>
      <c r="AJ1396" s="97"/>
      <c r="AK1396" s="4"/>
    </row>
    <row r="1397" spans="2:37" s="113" customFormat="1" x14ac:dyDescent="0.4">
      <c r="B1397" s="80"/>
      <c r="C1397" s="563">
        <v>984</v>
      </c>
      <c r="D1397" s="907"/>
      <c r="E1397" s="906"/>
      <c r="F1397" s="921" t="str">
        <f t="shared" si="66"/>
        <v/>
      </c>
      <c r="G1397" s="882" t="str">
        <f t="shared" si="67"/>
        <v/>
      </c>
      <c r="H1397" s="925"/>
      <c r="I1397" s="919"/>
      <c r="J1397" s="919"/>
      <c r="K1397" s="919"/>
      <c r="L1397" s="919"/>
      <c r="O1397" s="339"/>
      <c r="T1397" s="75"/>
      <c r="U1397" s="75"/>
      <c r="V1397" s="75"/>
      <c r="W1397" s="75"/>
      <c r="X1397" s="75"/>
      <c r="Y1397" s="340"/>
      <c r="Z1397" s="341"/>
      <c r="AA1397" s="341"/>
      <c r="AB1397" s="341"/>
      <c r="AC1397" s="340"/>
      <c r="AD1397" s="75"/>
      <c r="AE1397" s="75"/>
      <c r="AF1397" s="75"/>
      <c r="AG1397" s="344"/>
      <c r="AH1397" s="344"/>
      <c r="AI1397" s="344"/>
      <c r="AJ1397" s="97"/>
      <c r="AK1397" s="4"/>
    </row>
    <row r="1398" spans="2:37" s="113" customFormat="1" x14ac:dyDescent="0.4">
      <c r="B1398" s="80"/>
      <c r="C1398" s="563">
        <v>985</v>
      </c>
      <c r="D1398" s="907"/>
      <c r="E1398" s="906"/>
      <c r="F1398" s="921" t="str">
        <f t="shared" si="66"/>
        <v/>
      </c>
      <c r="G1398" s="882" t="str">
        <f t="shared" si="67"/>
        <v/>
      </c>
      <c r="H1398" s="925"/>
      <c r="I1398" s="919"/>
      <c r="J1398" s="919"/>
      <c r="K1398" s="919"/>
      <c r="L1398" s="919"/>
      <c r="O1398" s="339"/>
      <c r="T1398" s="75"/>
      <c r="U1398" s="75"/>
      <c r="V1398" s="75"/>
      <c r="W1398" s="75"/>
      <c r="X1398" s="75"/>
      <c r="Y1398" s="340"/>
      <c r="Z1398" s="341"/>
      <c r="AA1398" s="341"/>
      <c r="AB1398" s="341"/>
      <c r="AC1398" s="340"/>
      <c r="AD1398" s="75"/>
      <c r="AE1398" s="75"/>
      <c r="AF1398" s="75"/>
      <c r="AG1398" s="344"/>
      <c r="AH1398" s="344"/>
      <c r="AI1398" s="344"/>
      <c r="AJ1398" s="97"/>
      <c r="AK1398" s="4"/>
    </row>
    <row r="1399" spans="2:37" s="113" customFormat="1" x14ac:dyDescent="0.4">
      <c r="B1399" s="80"/>
      <c r="C1399" s="563">
        <v>986</v>
      </c>
      <c r="D1399" s="907"/>
      <c r="E1399" s="906"/>
      <c r="F1399" s="921" t="str">
        <f t="shared" si="66"/>
        <v/>
      </c>
      <c r="G1399" s="882" t="str">
        <f t="shared" si="67"/>
        <v/>
      </c>
      <c r="H1399" s="925"/>
      <c r="I1399" s="919"/>
      <c r="J1399" s="919"/>
      <c r="K1399" s="919"/>
      <c r="L1399" s="919"/>
      <c r="O1399" s="339"/>
      <c r="T1399" s="75"/>
      <c r="U1399" s="75"/>
      <c r="V1399" s="75"/>
      <c r="W1399" s="75"/>
      <c r="X1399" s="75"/>
      <c r="Y1399" s="340"/>
      <c r="Z1399" s="341"/>
      <c r="AA1399" s="341"/>
      <c r="AB1399" s="341"/>
      <c r="AC1399" s="340"/>
      <c r="AD1399" s="75"/>
      <c r="AE1399" s="75"/>
      <c r="AF1399" s="75"/>
      <c r="AG1399" s="344"/>
      <c r="AH1399" s="344"/>
      <c r="AI1399" s="344"/>
      <c r="AJ1399" s="97"/>
      <c r="AK1399" s="4"/>
    </row>
    <row r="1400" spans="2:37" s="113" customFormat="1" x14ac:dyDescent="0.4">
      <c r="B1400" s="80"/>
      <c r="C1400" s="563">
        <v>987</v>
      </c>
      <c r="D1400" s="907"/>
      <c r="E1400" s="906"/>
      <c r="F1400" s="921" t="str">
        <f t="shared" si="66"/>
        <v/>
      </c>
      <c r="G1400" s="882" t="str">
        <f t="shared" si="67"/>
        <v/>
      </c>
      <c r="H1400" s="925"/>
      <c r="I1400" s="919"/>
      <c r="J1400" s="919"/>
      <c r="K1400" s="919"/>
      <c r="L1400" s="919"/>
      <c r="O1400" s="339"/>
      <c r="T1400" s="75"/>
      <c r="U1400" s="75"/>
      <c r="V1400" s="75"/>
      <c r="W1400" s="75"/>
      <c r="X1400" s="75"/>
      <c r="Y1400" s="340"/>
      <c r="Z1400" s="341"/>
      <c r="AA1400" s="341"/>
      <c r="AB1400" s="341"/>
      <c r="AC1400" s="340"/>
      <c r="AD1400" s="75"/>
      <c r="AE1400" s="75"/>
      <c r="AF1400" s="75"/>
      <c r="AG1400" s="344"/>
      <c r="AH1400" s="344"/>
      <c r="AI1400" s="344"/>
      <c r="AJ1400" s="97"/>
      <c r="AK1400" s="4"/>
    </row>
    <row r="1401" spans="2:37" s="113" customFormat="1" x14ac:dyDescent="0.4">
      <c r="B1401" s="80"/>
      <c r="C1401" s="563">
        <v>988</v>
      </c>
      <c r="D1401" s="907"/>
      <c r="E1401" s="906"/>
      <c r="F1401" s="921" t="str">
        <f t="shared" si="66"/>
        <v/>
      </c>
      <c r="G1401" s="882" t="str">
        <f t="shared" si="67"/>
        <v/>
      </c>
      <c r="H1401" s="925"/>
      <c r="I1401" s="919"/>
      <c r="J1401" s="919"/>
      <c r="K1401" s="919"/>
      <c r="L1401" s="919"/>
      <c r="O1401" s="339"/>
      <c r="T1401" s="75"/>
      <c r="U1401" s="75"/>
      <c r="V1401" s="75"/>
      <c r="W1401" s="75"/>
      <c r="X1401" s="75"/>
      <c r="Y1401" s="340"/>
      <c r="Z1401" s="341"/>
      <c r="AA1401" s="341"/>
      <c r="AB1401" s="341"/>
      <c r="AC1401" s="340"/>
      <c r="AD1401" s="75"/>
      <c r="AE1401" s="75"/>
      <c r="AF1401" s="75"/>
      <c r="AG1401" s="344"/>
      <c r="AH1401" s="344"/>
      <c r="AI1401" s="344"/>
      <c r="AJ1401" s="97"/>
      <c r="AK1401" s="4"/>
    </row>
    <row r="1402" spans="2:37" s="113" customFormat="1" x14ac:dyDescent="0.4">
      <c r="B1402" s="80"/>
      <c r="C1402" s="563">
        <v>989</v>
      </c>
      <c r="D1402" s="907"/>
      <c r="E1402" s="906"/>
      <c r="F1402" s="921" t="str">
        <f t="shared" si="66"/>
        <v/>
      </c>
      <c r="G1402" s="882" t="str">
        <f t="shared" si="67"/>
        <v/>
      </c>
      <c r="H1402" s="925"/>
      <c r="I1402" s="919"/>
      <c r="J1402" s="919"/>
      <c r="K1402" s="919"/>
      <c r="L1402" s="919"/>
      <c r="O1402" s="339"/>
      <c r="T1402" s="75"/>
      <c r="U1402" s="75"/>
      <c r="V1402" s="75"/>
      <c r="W1402" s="75"/>
      <c r="X1402" s="75"/>
      <c r="Y1402" s="340"/>
      <c r="Z1402" s="341"/>
      <c r="AA1402" s="341"/>
      <c r="AB1402" s="341"/>
      <c r="AC1402" s="340"/>
      <c r="AD1402" s="75"/>
      <c r="AE1402" s="75"/>
      <c r="AF1402" s="75"/>
      <c r="AG1402" s="344"/>
      <c r="AH1402" s="344"/>
      <c r="AI1402" s="344"/>
      <c r="AJ1402" s="97"/>
      <c r="AK1402" s="4"/>
    </row>
    <row r="1403" spans="2:37" s="113" customFormat="1" x14ac:dyDescent="0.4">
      <c r="B1403" s="80"/>
      <c r="C1403" s="563">
        <v>990</v>
      </c>
      <c r="D1403" s="907"/>
      <c r="E1403" s="906"/>
      <c r="F1403" s="921" t="str">
        <f t="shared" si="66"/>
        <v/>
      </c>
      <c r="G1403" s="882" t="str">
        <f t="shared" si="67"/>
        <v/>
      </c>
      <c r="H1403" s="925"/>
      <c r="I1403" s="919"/>
      <c r="J1403" s="919"/>
      <c r="K1403" s="919"/>
      <c r="L1403" s="919"/>
      <c r="O1403" s="339"/>
      <c r="T1403" s="75"/>
      <c r="U1403" s="75"/>
      <c r="V1403" s="75"/>
      <c r="W1403" s="75"/>
      <c r="X1403" s="75"/>
      <c r="Y1403" s="340"/>
      <c r="Z1403" s="341"/>
      <c r="AA1403" s="341"/>
      <c r="AB1403" s="341"/>
      <c r="AC1403" s="340"/>
      <c r="AD1403" s="75"/>
      <c r="AE1403" s="75"/>
      <c r="AF1403" s="75"/>
      <c r="AG1403" s="344"/>
      <c r="AH1403" s="344"/>
      <c r="AI1403" s="344"/>
      <c r="AJ1403" s="97"/>
      <c r="AK1403" s="4"/>
    </row>
    <row r="1404" spans="2:37" s="113" customFormat="1" x14ac:dyDescent="0.4">
      <c r="B1404" s="80"/>
      <c r="C1404" s="563">
        <v>991</v>
      </c>
      <c r="D1404" s="907"/>
      <c r="E1404" s="906"/>
      <c r="F1404" s="921" t="str">
        <f t="shared" si="66"/>
        <v/>
      </c>
      <c r="G1404" s="882" t="str">
        <f t="shared" si="67"/>
        <v/>
      </c>
      <c r="H1404" s="925"/>
      <c r="I1404" s="919"/>
      <c r="J1404" s="919"/>
      <c r="K1404" s="919"/>
      <c r="L1404" s="919"/>
      <c r="O1404" s="339"/>
      <c r="T1404" s="75"/>
      <c r="U1404" s="75"/>
      <c r="V1404" s="75"/>
      <c r="W1404" s="75"/>
      <c r="X1404" s="75"/>
      <c r="Y1404" s="340"/>
      <c r="Z1404" s="341"/>
      <c r="AA1404" s="341"/>
      <c r="AB1404" s="341"/>
      <c r="AC1404" s="340"/>
      <c r="AD1404" s="75"/>
      <c r="AE1404" s="75"/>
      <c r="AF1404" s="75"/>
      <c r="AG1404" s="344"/>
      <c r="AH1404" s="344"/>
      <c r="AI1404" s="344"/>
      <c r="AJ1404" s="97"/>
      <c r="AK1404" s="4"/>
    </row>
    <row r="1405" spans="2:37" s="113" customFormat="1" x14ac:dyDescent="0.4">
      <c r="B1405" s="80"/>
      <c r="C1405" s="563">
        <v>992</v>
      </c>
      <c r="D1405" s="907"/>
      <c r="E1405" s="906"/>
      <c r="F1405" s="921" t="str">
        <f t="shared" si="66"/>
        <v/>
      </c>
      <c r="G1405" s="882" t="str">
        <f t="shared" si="67"/>
        <v/>
      </c>
      <c r="H1405" s="925"/>
      <c r="I1405" s="919"/>
      <c r="J1405" s="919"/>
      <c r="K1405" s="919"/>
      <c r="L1405" s="919"/>
      <c r="O1405" s="339"/>
      <c r="T1405" s="75"/>
      <c r="U1405" s="75"/>
      <c r="V1405" s="75"/>
      <c r="W1405" s="75"/>
      <c r="X1405" s="75"/>
      <c r="Y1405" s="340"/>
      <c r="Z1405" s="341"/>
      <c r="AA1405" s="341"/>
      <c r="AB1405" s="341"/>
      <c r="AC1405" s="340"/>
      <c r="AD1405" s="75"/>
      <c r="AE1405" s="75"/>
      <c r="AF1405" s="75"/>
      <c r="AG1405" s="344"/>
      <c r="AH1405" s="344"/>
      <c r="AI1405" s="344"/>
      <c r="AJ1405" s="97"/>
      <c r="AK1405" s="4"/>
    </row>
    <row r="1406" spans="2:37" s="113" customFormat="1" x14ac:dyDescent="0.4">
      <c r="B1406" s="80"/>
      <c r="C1406" s="563">
        <v>993</v>
      </c>
      <c r="D1406" s="907"/>
      <c r="E1406" s="906"/>
      <c r="F1406" s="921" t="str">
        <f t="shared" si="66"/>
        <v/>
      </c>
      <c r="G1406" s="882" t="str">
        <f t="shared" si="67"/>
        <v/>
      </c>
      <c r="H1406" s="925"/>
      <c r="I1406" s="919"/>
      <c r="J1406" s="919"/>
      <c r="K1406" s="919"/>
      <c r="L1406" s="919"/>
      <c r="O1406" s="339"/>
      <c r="T1406" s="75"/>
      <c r="U1406" s="75"/>
      <c r="V1406" s="75"/>
      <c r="W1406" s="75"/>
      <c r="X1406" s="75"/>
      <c r="Y1406" s="340"/>
      <c r="Z1406" s="341"/>
      <c r="AA1406" s="341"/>
      <c r="AB1406" s="341"/>
      <c r="AC1406" s="340"/>
      <c r="AD1406" s="75"/>
      <c r="AE1406" s="75"/>
      <c r="AF1406" s="75"/>
      <c r="AG1406" s="344"/>
      <c r="AH1406" s="344"/>
      <c r="AI1406" s="344"/>
      <c r="AJ1406" s="97"/>
      <c r="AK1406" s="4"/>
    </row>
    <row r="1407" spans="2:37" s="113" customFormat="1" x14ac:dyDescent="0.4">
      <c r="B1407" s="80"/>
      <c r="C1407" s="563">
        <v>994</v>
      </c>
      <c r="D1407" s="907"/>
      <c r="E1407" s="906"/>
      <c r="F1407" s="921" t="str">
        <f t="shared" si="66"/>
        <v/>
      </c>
      <c r="G1407" s="882" t="str">
        <f t="shared" si="67"/>
        <v/>
      </c>
      <c r="H1407" s="925"/>
      <c r="I1407" s="919"/>
      <c r="J1407" s="919"/>
      <c r="K1407" s="919"/>
      <c r="L1407" s="919"/>
      <c r="O1407" s="339"/>
      <c r="T1407" s="75"/>
      <c r="U1407" s="75"/>
      <c r="V1407" s="75"/>
      <c r="W1407" s="75"/>
      <c r="X1407" s="75"/>
      <c r="Y1407" s="340"/>
      <c r="Z1407" s="341"/>
      <c r="AA1407" s="341"/>
      <c r="AB1407" s="341"/>
      <c r="AC1407" s="340"/>
      <c r="AD1407" s="75"/>
      <c r="AE1407" s="75"/>
      <c r="AF1407" s="75"/>
      <c r="AG1407" s="344"/>
      <c r="AH1407" s="344"/>
      <c r="AI1407" s="344"/>
      <c r="AJ1407" s="97"/>
      <c r="AK1407" s="4"/>
    </row>
    <row r="1408" spans="2:37" s="113" customFormat="1" x14ac:dyDescent="0.4">
      <c r="B1408" s="80"/>
      <c r="C1408" s="563">
        <v>995</v>
      </c>
      <c r="D1408" s="907"/>
      <c r="E1408" s="906"/>
      <c r="F1408" s="921" t="str">
        <f t="shared" si="66"/>
        <v/>
      </c>
      <c r="G1408" s="882" t="str">
        <f t="shared" si="67"/>
        <v/>
      </c>
      <c r="H1408" s="925"/>
      <c r="I1408" s="919"/>
      <c r="J1408" s="919"/>
      <c r="K1408" s="919"/>
      <c r="L1408" s="919"/>
      <c r="O1408" s="339"/>
      <c r="T1408" s="75"/>
      <c r="U1408" s="75"/>
      <c r="V1408" s="75"/>
      <c r="W1408" s="75"/>
      <c r="X1408" s="75"/>
      <c r="Y1408" s="340"/>
      <c r="Z1408" s="341"/>
      <c r="AA1408" s="341"/>
      <c r="AB1408" s="341"/>
      <c r="AC1408" s="340"/>
      <c r="AD1408" s="75"/>
      <c r="AE1408" s="75"/>
      <c r="AF1408" s="75"/>
      <c r="AG1408" s="344"/>
      <c r="AH1408" s="344"/>
      <c r="AI1408" s="344"/>
      <c r="AJ1408" s="97"/>
      <c r="AK1408" s="4"/>
    </row>
    <row r="1409" spans="2:37" s="113" customFormat="1" x14ac:dyDescent="0.4">
      <c r="B1409" s="80"/>
      <c r="C1409" s="563">
        <v>996</v>
      </c>
      <c r="D1409" s="907"/>
      <c r="E1409" s="906"/>
      <c r="F1409" s="921" t="str">
        <f t="shared" si="66"/>
        <v/>
      </c>
      <c r="G1409" s="882" t="str">
        <f t="shared" si="67"/>
        <v/>
      </c>
      <c r="H1409" s="925"/>
      <c r="I1409" s="919"/>
      <c r="J1409" s="919"/>
      <c r="K1409" s="919"/>
      <c r="L1409" s="919"/>
      <c r="O1409" s="339"/>
      <c r="T1409" s="75"/>
      <c r="U1409" s="75"/>
      <c r="V1409" s="75"/>
      <c r="W1409" s="75"/>
      <c r="X1409" s="75"/>
      <c r="Y1409" s="340"/>
      <c r="Z1409" s="341"/>
      <c r="AA1409" s="341"/>
      <c r="AB1409" s="341"/>
      <c r="AC1409" s="340"/>
      <c r="AD1409" s="75"/>
      <c r="AE1409" s="75"/>
      <c r="AF1409" s="75"/>
      <c r="AG1409" s="344"/>
      <c r="AH1409" s="344"/>
      <c r="AI1409" s="344"/>
      <c r="AJ1409" s="97"/>
      <c r="AK1409" s="4"/>
    </row>
    <row r="1410" spans="2:37" s="113" customFormat="1" x14ac:dyDescent="0.4">
      <c r="B1410" s="80"/>
      <c r="C1410" s="563">
        <v>997</v>
      </c>
      <c r="D1410" s="907"/>
      <c r="E1410" s="906"/>
      <c r="F1410" s="921" t="str">
        <f t="shared" si="66"/>
        <v/>
      </c>
      <c r="G1410" s="882" t="str">
        <f t="shared" si="67"/>
        <v/>
      </c>
      <c r="H1410" s="925"/>
      <c r="I1410" s="919"/>
      <c r="J1410" s="919"/>
      <c r="K1410" s="919"/>
      <c r="L1410" s="919"/>
      <c r="O1410" s="339"/>
      <c r="T1410" s="75"/>
      <c r="U1410" s="75"/>
      <c r="V1410" s="75"/>
      <c r="W1410" s="75"/>
      <c r="X1410" s="75"/>
      <c r="Y1410" s="340"/>
      <c r="Z1410" s="341"/>
      <c r="AA1410" s="341"/>
      <c r="AB1410" s="341"/>
      <c r="AC1410" s="340"/>
      <c r="AD1410" s="75"/>
      <c r="AE1410" s="75"/>
      <c r="AF1410" s="75"/>
      <c r="AG1410" s="344"/>
      <c r="AH1410" s="344"/>
      <c r="AI1410" s="344"/>
      <c r="AJ1410" s="97"/>
      <c r="AK1410" s="4"/>
    </row>
    <row r="1411" spans="2:37" s="113" customFormat="1" x14ac:dyDescent="0.4">
      <c r="B1411" s="80"/>
      <c r="C1411" s="563">
        <v>998</v>
      </c>
      <c r="D1411" s="907"/>
      <c r="E1411" s="906"/>
      <c r="F1411" s="921" t="str">
        <f t="shared" si="66"/>
        <v/>
      </c>
      <c r="G1411" s="882" t="str">
        <f t="shared" si="67"/>
        <v/>
      </c>
      <c r="H1411" s="925"/>
      <c r="I1411" s="919"/>
      <c r="J1411" s="919"/>
      <c r="K1411" s="919"/>
      <c r="L1411" s="919"/>
      <c r="O1411" s="339"/>
      <c r="T1411" s="75"/>
      <c r="U1411" s="75"/>
      <c r="V1411" s="75"/>
      <c r="W1411" s="75"/>
      <c r="X1411" s="75"/>
      <c r="Y1411" s="340"/>
      <c r="Z1411" s="341"/>
      <c r="AA1411" s="341"/>
      <c r="AB1411" s="341"/>
      <c r="AC1411" s="340"/>
      <c r="AD1411" s="75"/>
      <c r="AE1411" s="75"/>
      <c r="AF1411" s="75"/>
      <c r="AG1411" s="344"/>
      <c r="AH1411" s="344"/>
      <c r="AI1411" s="344"/>
      <c r="AJ1411" s="97"/>
      <c r="AK1411" s="4"/>
    </row>
    <row r="1412" spans="2:37" s="113" customFormat="1" x14ac:dyDescent="0.4">
      <c r="B1412" s="80"/>
      <c r="C1412" s="563">
        <v>999</v>
      </c>
      <c r="D1412" s="907"/>
      <c r="E1412" s="906"/>
      <c r="F1412" s="921" t="str">
        <f t="shared" si="66"/>
        <v/>
      </c>
      <c r="G1412" s="882" t="str">
        <f t="shared" si="67"/>
        <v/>
      </c>
      <c r="H1412" s="925"/>
      <c r="I1412" s="919"/>
      <c r="J1412" s="919"/>
      <c r="K1412" s="919"/>
      <c r="L1412" s="919"/>
      <c r="O1412" s="339"/>
      <c r="T1412" s="75"/>
      <c r="U1412" s="75"/>
      <c r="V1412" s="75"/>
      <c r="W1412" s="75"/>
      <c r="X1412" s="75"/>
      <c r="Y1412" s="340"/>
      <c r="Z1412" s="341"/>
      <c r="AA1412" s="341"/>
      <c r="AB1412" s="341"/>
      <c r="AC1412" s="340"/>
      <c r="AD1412" s="75"/>
      <c r="AE1412" s="75"/>
      <c r="AF1412" s="75"/>
      <c r="AG1412" s="344"/>
      <c r="AH1412" s="344"/>
      <c r="AI1412" s="344"/>
      <c r="AJ1412" s="97"/>
      <c r="AK1412" s="4"/>
    </row>
    <row r="1413" spans="2:37" s="113" customFormat="1" x14ac:dyDescent="0.4">
      <c r="B1413" s="80"/>
      <c r="C1413" s="563">
        <v>1000</v>
      </c>
      <c r="D1413" s="907"/>
      <c r="E1413" s="906"/>
      <c r="F1413" s="921" t="str">
        <f t="shared" si="66"/>
        <v/>
      </c>
      <c r="G1413" s="882" t="str">
        <f t="shared" si="67"/>
        <v/>
      </c>
      <c r="H1413" s="925"/>
      <c r="I1413" s="919"/>
      <c r="J1413" s="919"/>
      <c r="K1413" s="919"/>
      <c r="L1413" s="919"/>
      <c r="O1413" s="339"/>
      <c r="T1413" s="75"/>
      <c r="U1413" s="75"/>
      <c r="V1413" s="75"/>
      <c r="W1413" s="75"/>
      <c r="X1413" s="75"/>
      <c r="Y1413" s="340"/>
      <c r="Z1413" s="341"/>
      <c r="AA1413" s="341"/>
      <c r="AB1413" s="341"/>
      <c r="AC1413" s="340"/>
      <c r="AD1413" s="75"/>
      <c r="AE1413" s="75"/>
      <c r="AF1413" s="75"/>
      <c r="AG1413" s="344"/>
      <c r="AH1413" s="344"/>
      <c r="AI1413" s="344"/>
      <c r="AJ1413" s="97"/>
      <c r="AK1413" s="4"/>
    </row>
    <row r="1414" spans="2:37" s="113" customFormat="1" x14ac:dyDescent="0.4">
      <c r="B1414" s="80"/>
      <c r="C1414" s="563">
        <v>1001</v>
      </c>
      <c r="D1414" s="907"/>
      <c r="E1414" s="906"/>
      <c r="F1414" s="921" t="str">
        <f t="shared" si="66"/>
        <v/>
      </c>
      <c r="G1414" s="882" t="str">
        <f t="shared" si="67"/>
        <v/>
      </c>
      <c r="H1414" s="925"/>
      <c r="I1414" s="919"/>
      <c r="J1414" s="919"/>
      <c r="K1414" s="919"/>
      <c r="L1414" s="919"/>
      <c r="O1414" s="339"/>
      <c r="T1414" s="75"/>
      <c r="U1414" s="75"/>
      <c r="V1414" s="75"/>
      <c r="W1414" s="75"/>
      <c r="X1414" s="75"/>
      <c r="Y1414" s="340"/>
      <c r="Z1414" s="341"/>
      <c r="AA1414" s="341"/>
      <c r="AB1414" s="341"/>
      <c r="AC1414" s="340"/>
      <c r="AD1414" s="75"/>
      <c r="AE1414" s="75"/>
      <c r="AF1414" s="75"/>
      <c r="AG1414" s="344"/>
      <c r="AH1414" s="344"/>
      <c r="AI1414" s="344"/>
      <c r="AJ1414" s="97"/>
      <c r="AK1414" s="4"/>
    </row>
    <row r="1415" spans="2:37" s="113" customFormat="1" x14ac:dyDescent="0.4">
      <c r="B1415" s="80"/>
      <c r="C1415" s="563">
        <v>1002</v>
      </c>
      <c r="D1415" s="907"/>
      <c r="E1415" s="906"/>
      <c r="F1415" s="921" t="str">
        <f t="shared" si="66"/>
        <v/>
      </c>
      <c r="G1415" s="882" t="str">
        <f t="shared" si="67"/>
        <v/>
      </c>
      <c r="H1415" s="925"/>
      <c r="I1415" s="919"/>
      <c r="J1415" s="919"/>
      <c r="K1415" s="919"/>
      <c r="L1415" s="919"/>
      <c r="O1415" s="339"/>
      <c r="T1415" s="75"/>
      <c r="U1415" s="75"/>
      <c r="V1415" s="75"/>
      <c r="W1415" s="75"/>
      <c r="X1415" s="75"/>
      <c r="Y1415" s="340"/>
      <c r="Z1415" s="341"/>
      <c r="AA1415" s="341"/>
      <c r="AB1415" s="341"/>
      <c r="AC1415" s="340"/>
      <c r="AD1415" s="75"/>
      <c r="AE1415" s="75"/>
      <c r="AF1415" s="75"/>
      <c r="AG1415" s="344"/>
      <c r="AH1415" s="344"/>
      <c r="AI1415" s="344"/>
      <c r="AJ1415" s="97"/>
      <c r="AK1415" s="4"/>
    </row>
    <row r="1416" spans="2:37" s="113" customFormat="1" x14ac:dyDescent="0.4">
      <c r="B1416" s="80"/>
      <c r="C1416" s="563">
        <v>1003</v>
      </c>
      <c r="D1416" s="907"/>
      <c r="E1416" s="906"/>
      <c r="F1416" s="921" t="str">
        <f t="shared" si="66"/>
        <v/>
      </c>
      <c r="G1416" s="882" t="str">
        <f t="shared" si="67"/>
        <v/>
      </c>
      <c r="H1416" s="925"/>
      <c r="I1416" s="919"/>
      <c r="J1416" s="919"/>
      <c r="K1416" s="919"/>
      <c r="L1416" s="919"/>
      <c r="O1416" s="339"/>
      <c r="T1416" s="75"/>
      <c r="U1416" s="75"/>
      <c r="V1416" s="75"/>
      <c r="W1416" s="75"/>
      <c r="X1416" s="75"/>
      <c r="Y1416" s="340"/>
      <c r="Z1416" s="341"/>
      <c r="AA1416" s="341"/>
      <c r="AB1416" s="341"/>
      <c r="AC1416" s="340"/>
      <c r="AD1416" s="75"/>
      <c r="AE1416" s="75"/>
      <c r="AF1416" s="75"/>
      <c r="AG1416" s="344"/>
      <c r="AH1416" s="344"/>
      <c r="AI1416" s="344"/>
      <c r="AJ1416" s="97"/>
      <c r="AK1416" s="4"/>
    </row>
    <row r="1417" spans="2:37" s="113" customFormat="1" x14ac:dyDescent="0.4">
      <c r="B1417" s="80"/>
      <c r="C1417" s="563">
        <v>1004</v>
      </c>
      <c r="D1417" s="907"/>
      <c r="E1417" s="906"/>
      <c r="F1417" s="921" t="str">
        <f t="shared" si="66"/>
        <v/>
      </c>
      <c r="G1417" s="882" t="str">
        <f t="shared" si="67"/>
        <v/>
      </c>
      <c r="H1417" s="925"/>
      <c r="I1417" s="919"/>
      <c r="J1417" s="919"/>
      <c r="K1417" s="919"/>
      <c r="L1417" s="919"/>
      <c r="O1417" s="339"/>
      <c r="T1417" s="75"/>
      <c r="U1417" s="75"/>
      <c r="V1417" s="75"/>
      <c r="W1417" s="75"/>
      <c r="X1417" s="75"/>
      <c r="Y1417" s="340"/>
      <c r="Z1417" s="341"/>
      <c r="AA1417" s="341"/>
      <c r="AB1417" s="341"/>
      <c r="AC1417" s="340"/>
      <c r="AD1417" s="75"/>
      <c r="AE1417" s="75"/>
      <c r="AF1417" s="75"/>
      <c r="AG1417" s="344"/>
      <c r="AH1417" s="344"/>
      <c r="AI1417" s="344"/>
      <c r="AJ1417" s="97"/>
      <c r="AK1417" s="4"/>
    </row>
    <row r="1418" spans="2:37" s="113" customFormat="1" x14ac:dyDescent="0.4">
      <c r="B1418" s="80"/>
      <c r="C1418" s="563">
        <v>1005</v>
      </c>
      <c r="D1418" s="907"/>
      <c r="E1418" s="906"/>
      <c r="F1418" s="921" t="str">
        <f t="shared" si="66"/>
        <v/>
      </c>
      <c r="G1418" s="882" t="str">
        <f t="shared" si="67"/>
        <v/>
      </c>
      <c r="H1418" s="925"/>
      <c r="I1418" s="919"/>
      <c r="J1418" s="919"/>
      <c r="K1418" s="919"/>
      <c r="L1418" s="919"/>
      <c r="O1418" s="339"/>
      <c r="T1418" s="75"/>
      <c r="U1418" s="75"/>
      <c r="V1418" s="75"/>
      <c r="W1418" s="75"/>
      <c r="X1418" s="75"/>
      <c r="Y1418" s="340"/>
      <c r="Z1418" s="341"/>
      <c r="AA1418" s="341"/>
      <c r="AB1418" s="341"/>
      <c r="AC1418" s="340"/>
      <c r="AD1418" s="75"/>
      <c r="AE1418" s="75"/>
      <c r="AF1418" s="75"/>
      <c r="AG1418" s="344"/>
      <c r="AH1418" s="344"/>
      <c r="AI1418" s="344"/>
      <c r="AJ1418" s="97"/>
      <c r="AK1418" s="4"/>
    </row>
    <row r="1419" spans="2:37" s="113" customFormat="1" x14ac:dyDescent="0.4">
      <c r="B1419" s="80"/>
      <c r="C1419" s="563">
        <v>1006</v>
      </c>
      <c r="D1419" s="907"/>
      <c r="E1419" s="906"/>
      <c r="F1419" s="921" t="str">
        <f t="shared" si="66"/>
        <v/>
      </c>
      <c r="G1419" s="882" t="str">
        <f t="shared" si="67"/>
        <v/>
      </c>
      <c r="H1419" s="925"/>
      <c r="I1419" s="919"/>
      <c r="J1419" s="919"/>
      <c r="K1419" s="919"/>
      <c r="L1419" s="919"/>
      <c r="O1419" s="339"/>
      <c r="T1419" s="75"/>
      <c r="U1419" s="75"/>
      <c r="V1419" s="75"/>
      <c r="W1419" s="75"/>
      <c r="X1419" s="75"/>
      <c r="Y1419" s="340"/>
      <c r="Z1419" s="341"/>
      <c r="AA1419" s="341"/>
      <c r="AB1419" s="341"/>
      <c r="AC1419" s="340"/>
      <c r="AD1419" s="75"/>
      <c r="AE1419" s="75"/>
      <c r="AF1419" s="75"/>
      <c r="AG1419" s="344"/>
      <c r="AH1419" s="344"/>
      <c r="AI1419" s="344"/>
      <c r="AJ1419" s="97"/>
      <c r="AK1419" s="4"/>
    </row>
    <row r="1420" spans="2:37" s="113" customFormat="1" x14ac:dyDescent="0.4">
      <c r="B1420" s="80"/>
      <c r="C1420" s="563">
        <v>1007</v>
      </c>
      <c r="D1420" s="907"/>
      <c r="E1420" s="906"/>
      <c r="F1420" s="921" t="str">
        <f t="shared" si="66"/>
        <v/>
      </c>
      <c r="G1420" s="882" t="str">
        <f t="shared" si="67"/>
        <v/>
      </c>
      <c r="H1420" s="925"/>
      <c r="I1420" s="919"/>
      <c r="J1420" s="919"/>
      <c r="K1420" s="919"/>
      <c r="L1420" s="919"/>
      <c r="O1420" s="339"/>
      <c r="T1420" s="75"/>
      <c r="U1420" s="75"/>
      <c r="V1420" s="75"/>
      <c r="W1420" s="75"/>
      <c r="X1420" s="75"/>
      <c r="Y1420" s="340"/>
      <c r="Z1420" s="341"/>
      <c r="AA1420" s="341"/>
      <c r="AB1420" s="341"/>
      <c r="AC1420" s="340"/>
      <c r="AD1420" s="75"/>
      <c r="AE1420" s="75"/>
      <c r="AF1420" s="75"/>
      <c r="AG1420" s="344"/>
      <c r="AH1420" s="344"/>
      <c r="AI1420" s="344"/>
      <c r="AJ1420" s="97"/>
      <c r="AK1420" s="4"/>
    </row>
    <row r="1421" spans="2:37" s="113" customFormat="1" x14ac:dyDescent="0.4">
      <c r="B1421" s="80"/>
      <c r="C1421" s="563">
        <v>1008</v>
      </c>
      <c r="D1421" s="907"/>
      <c r="E1421" s="906"/>
      <c r="F1421" s="921" t="str">
        <f t="shared" si="66"/>
        <v/>
      </c>
      <c r="G1421" s="882" t="str">
        <f t="shared" si="67"/>
        <v/>
      </c>
      <c r="H1421" s="925"/>
      <c r="I1421" s="919"/>
      <c r="J1421" s="919"/>
      <c r="K1421" s="919"/>
      <c r="L1421" s="919"/>
      <c r="O1421" s="339"/>
      <c r="T1421" s="75"/>
      <c r="U1421" s="75"/>
      <c r="V1421" s="75"/>
      <c r="W1421" s="75"/>
      <c r="X1421" s="75"/>
      <c r="Y1421" s="340"/>
      <c r="Z1421" s="341"/>
      <c r="AA1421" s="341"/>
      <c r="AB1421" s="341"/>
      <c r="AC1421" s="340"/>
      <c r="AD1421" s="75"/>
      <c r="AE1421" s="75"/>
      <c r="AF1421" s="75"/>
      <c r="AG1421" s="344"/>
      <c r="AH1421" s="344"/>
      <c r="AI1421" s="344"/>
      <c r="AJ1421" s="97"/>
      <c r="AK1421" s="4"/>
    </row>
    <row r="1422" spans="2:37" s="113" customFormat="1" x14ac:dyDescent="0.4">
      <c r="B1422" s="80"/>
      <c r="C1422" s="563">
        <v>1009</v>
      </c>
      <c r="D1422" s="907"/>
      <c r="E1422" s="906"/>
      <c r="F1422" s="921" t="str">
        <f t="shared" si="66"/>
        <v/>
      </c>
      <c r="G1422" s="882" t="str">
        <f t="shared" si="67"/>
        <v/>
      </c>
      <c r="H1422" s="925"/>
      <c r="I1422" s="919"/>
      <c r="J1422" s="919"/>
      <c r="K1422" s="919"/>
      <c r="L1422" s="919"/>
      <c r="O1422" s="339"/>
      <c r="T1422" s="75"/>
      <c r="U1422" s="75"/>
      <c r="V1422" s="75"/>
      <c r="W1422" s="75"/>
      <c r="X1422" s="75"/>
      <c r="Y1422" s="340"/>
      <c r="Z1422" s="341"/>
      <c r="AA1422" s="341"/>
      <c r="AB1422" s="341"/>
      <c r="AC1422" s="340"/>
      <c r="AD1422" s="75"/>
      <c r="AE1422" s="75"/>
      <c r="AF1422" s="75"/>
      <c r="AG1422" s="344"/>
      <c r="AH1422" s="344"/>
      <c r="AI1422" s="344"/>
      <c r="AJ1422" s="97"/>
      <c r="AK1422" s="4"/>
    </row>
    <row r="1423" spans="2:37" s="113" customFormat="1" x14ac:dyDescent="0.4">
      <c r="B1423" s="80"/>
      <c r="C1423" s="563">
        <v>1010</v>
      </c>
      <c r="D1423" s="907"/>
      <c r="E1423" s="906"/>
      <c r="F1423" s="921" t="str">
        <f t="shared" si="66"/>
        <v/>
      </c>
      <c r="G1423" s="882" t="str">
        <f t="shared" si="67"/>
        <v/>
      </c>
      <c r="H1423" s="925"/>
      <c r="I1423" s="919"/>
      <c r="J1423" s="919"/>
      <c r="K1423" s="919"/>
      <c r="L1423" s="919"/>
      <c r="O1423" s="339"/>
      <c r="T1423" s="75"/>
      <c r="U1423" s="75"/>
      <c r="V1423" s="75"/>
      <c r="W1423" s="75"/>
      <c r="X1423" s="75"/>
      <c r="Y1423" s="340"/>
      <c r="Z1423" s="341"/>
      <c r="AA1423" s="341"/>
      <c r="AB1423" s="341"/>
      <c r="AC1423" s="340"/>
      <c r="AD1423" s="75"/>
      <c r="AE1423" s="75"/>
      <c r="AF1423" s="75"/>
      <c r="AG1423" s="344"/>
      <c r="AH1423" s="344"/>
      <c r="AI1423" s="344"/>
      <c r="AJ1423" s="97"/>
      <c r="AK1423" s="4"/>
    </row>
    <row r="1424" spans="2:37" s="113" customFormat="1" x14ac:dyDescent="0.4">
      <c r="B1424" s="80"/>
      <c r="C1424" s="563">
        <v>1011</v>
      </c>
      <c r="D1424" s="907"/>
      <c r="E1424" s="906"/>
      <c r="F1424" s="921" t="str">
        <f t="shared" si="66"/>
        <v/>
      </c>
      <c r="G1424" s="882" t="str">
        <f t="shared" si="67"/>
        <v/>
      </c>
      <c r="H1424" s="925"/>
      <c r="I1424" s="919"/>
      <c r="J1424" s="919"/>
      <c r="K1424" s="919"/>
      <c r="L1424" s="919"/>
      <c r="O1424" s="339"/>
      <c r="T1424" s="75"/>
      <c r="U1424" s="75"/>
      <c r="V1424" s="75"/>
      <c r="W1424" s="75"/>
      <c r="X1424" s="75"/>
      <c r="Y1424" s="340"/>
      <c r="Z1424" s="341"/>
      <c r="AA1424" s="341"/>
      <c r="AB1424" s="341"/>
      <c r="AC1424" s="340"/>
      <c r="AD1424" s="75"/>
      <c r="AE1424" s="75"/>
      <c r="AF1424" s="75"/>
      <c r="AG1424" s="344"/>
      <c r="AH1424" s="344"/>
      <c r="AI1424" s="344"/>
      <c r="AJ1424" s="97"/>
      <c r="AK1424" s="4"/>
    </row>
    <row r="1425" spans="2:37" s="113" customFormat="1" x14ac:dyDescent="0.4">
      <c r="B1425" s="80"/>
      <c r="C1425" s="563">
        <v>1012</v>
      </c>
      <c r="D1425" s="907"/>
      <c r="E1425" s="906"/>
      <c r="F1425" s="921" t="str">
        <f t="shared" si="66"/>
        <v/>
      </c>
      <c r="G1425" s="882" t="str">
        <f t="shared" si="67"/>
        <v/>
      </c>
      <c r="H1425" s="925"/>
      <c r="I1425" s="919"/>
      <c r="J1425" s="919"/>
      <c r="K1425" s="919"/>
      <c r="L1425" s="919"/>
      <c r="O1425" s="339"/>
      <c r="T1425" s="75"/>
      <c r="U1425" s="75"/>
      <c r="V1425" s="75"/>
      <c r="W1425" s="75"/>
      <c r="X1425" s="75"/>
      <c r="Y1425" s="340"/>
      <c r="Z1425" s="341"/>
      <c r="AA1425" s="341"/>
      <c r="AB1425" s="341"/>
      <c r="AC1425" s="340"/>
      <c r="AD1425" s="75"/>
      <c r="AE1425" s="75"/>
      <c r="AF1425" s="75"/>
      <c r="AG1425" s="344"/>
      <c r="AH1425" s="344"/>
      <c r="AI1425" s="344"/>
      <c r="AJ1425" s="97"/>
      <c r="AK1425" s="4"/>
    </row>
    <row r="1426" spans="2:37" s="113" customFormat="1" x14ac:dyDescent="0.4">
      <c r="B1426" s="80"/>
      <c r="C1426" s="563">
        <v>1013</v>
      </c>
      <c r="D1426" s="907"/>
      <c r="E1426" s="906"/>
      <c r="F1426" s="921" t="str">
        <f t="shared" si="66"/>
        <v/>
      </c>
      <c r="G1426" s="882" t="str">
        <f t="shared" si="67"/>
        <v/>
      </c>
      <c r="H1426" s="925"/>
      <c r="I1426" s="919"/>
      <c r="J1426" s="919"/>
      <c r="K1426" s="919"/>
      <c r="L1426" s="919"/>
      <c r="O1426" s="339"/>
      <c r="T1426" s="75"/>
      <c r="U1426" s="75"/>
      <c r="V1426" s="75"/>
      <c r="W1426" s="75"/>
      <c r="X1426" s="75"/>
      <c r="Y1426" s="340"/>
      <c r="Z1426" s="341"/>
      <c r="AA1426" s="341"/>
      <c r="AB1426" s="341"/>
      <c r="AC1426" s="340"/>
      <c r="AD1426" s="75"/>
      <c r="AE1426" s="75"/>
      <c r="AF1426" s="75"/>
      <c r="AG1426" s="344"/>
      <c r="AH1426" s="344"/>
      <c r="AI1426" s="344"/>
      <c r="AJ1426" s="97"/>
      <c r="AK1426" s="4"/>
    </row>
    <row r="1427" spans="2:37" s="113" customFormat="1" x14ac:dyDescent="0.4">
      <c r="B1427" s="80"/>
      <c r="C1427" s="563">
        <v>1014</v>
      </c>
      <c r="D1427" s="907"/>
      <c r="E1427" s="906"/>
      <c r="F1427" s="921" t="str">
        <f t="shared" si="66"/>
        <v/>
      </c>
      <c r="G1427" s="882" t="str">
        <f t="shared" si="67"/>
        <v/>
      </c>
      <c r="H1427" s="925"/>
      <c r="I1427" s="919"/>
      <c r="J1427" s="919"/>
      <c r="K1427" s="919"/>
      <c r="L1427" s="919"/>
      <c r="O1427" s="339"/>
      <c r="T1427" s="75"/>
      <c r="U1427" s="75"/>
      <c r="V1427" s="75"/>
      <c r="W1427" s="75"/>
      <c r="X1427" s="75"/>
      <c r="Y1427" s="340"/>
      <c r="Z1427" s="341"/>
      <c r="AA1427" s="341"/>
      <c r="AB1427" s="341"/>
      <c r="AC1427" s="340"/>
      <c r="AD1427" s="75"/>
      <c r="AE1427" s="75"/>
      <c r="AF1427" s="75"/>
      <c r="AG1427" s="344"/>
      <c r="AH1427" s="344"/>
      <c r="AI1427" s="344"/>
      <c r="AJ1427" s="97"/>
      <c r="AK1427" s="4"/>
    </row>
    <row r="1428" spans="2:37" s="113" customFormat="1" x14ac:dyDescent="0.4">
      <c r="B1428" s="80"/>
      <c r="C1428" s="563">
        <v>1015</v>
      </c>
      <c r="D1428" s="907"/>
      <c r="E1428" s="906"/>
      <c r="F1428" s="921" t="str">
        <f t="shared" si="66"/>
        <v/>
      </c>
      <c r="G1428" s="882" t="str">
        <f t="shared" si="67"/>
        <v/>
      </c>
      <c r="H1428" s="925"/>
      <c r="I1428" s="919"/>
      <c r="J1428" s="919"/>
      <c r="K1428" s="919"/>
      <c r="L1428" s="919"/>
      <c r="O1428" s="339"/>
      <c r="T1428" s="75"/>
      <c r="U1428" s="75"/>
      <c r="V1428" s="75"/>
      <c r="W1428" s="75"/>
      <c r="X1428" s="75"/>
      <c r="Y1428" s="340"/>
      <c r="Z1428" s="341"/>
      <c r="AA1428" s="341"/>
      <c r="AB1428" s="341"/>
      <c r="AC1428" s="340"/>
      <c r="AD1428" s="75"/>
      <c r="AE1428" s="75"/>
      <c r="AF1428" s="75"/>
      <c r="AG1428" s="344"/>
      <c r="AH1428" s="344"/>
      <c r="AI1428" s="344"/>
      <c r="AJ1428" s="97"/>
      <c r="AK1428" s="4"/>
    </row>
    <row r="1429" spans="2:37" s="113" customFormat="1" x14ac:dyDescent="0.4">
      <c r="B1429" s="80"/>
      <c r="C1429" s="563">
        <v>1016</v>
      </c>
      <c r="D1429" s="907"/>
      <c r="E1429" s="906"/>
      <c r="F1429" s="921" t="str">
        <f t="shared" si="66"/>
        <v/>
      </c>
      <c r="G1429" s="882" t="str">
        <f t="shared" si="67"/>
        <v/>
      </c>
      <c r="H1429" s="925"/>
      <c r="I1429" s="919"/>
      <c r="J1429" s="919"/>
      <c r="K1429" s="919"/>
      <c r="L1429" s="919"/>
      <c r="O1429" s="339"/>
      <c r="T1429" s="75"/>
      <c r="U1429" s="75"/>
      <c r="V1429" s="75"/>
      <c r="W1429" s="75"/>
      <c r="X1429" s="75"/>
      <c r="Y1429" s="340"/>
      <c r="Z1429" s="341"/>
      <c r="AA1429" s="341"/>
      <c r="AB1429" s="341"/>
      <c r="AC1429" s="340"/>
      <c r="AD1429" s="75"/>
      <c r="AE1429" s="75"/>
      <c r="AF1429" s="75"/>
      <c r="AG1429" s="344"/>
      <c r="AH1429" s="344"/>
      <c r="AI1429" s="344"/>
      <c r="AJ1429" s="97"/>
      <c r="AK1429" s="4"/>
    </row>
    <row r="1430" spans="2:37" s="113" customFormat="1" x14ac:dyDescent="0.4">
      <c r="B1430" s="80"/>
      <c r="C1430" s="563">
        <v>1017</v>
      </c>
      <c r="D1430" s="907"/>
      <c r="E1430" s="906"/>
      <c r="F1430" s="921" t="str">
        <f t="shared" si="66"/>
        <v/>
      </c>
      <c r="G1430" s="882" t="str">
        <f t="shared" si="67"/>
        <v/>
      </c>
      <c r="H1430" s="925"/>
      <c r="I1430" s="919"/>
      <c r="J1430" s="919"/>
      <c r="K1430" s="919"/>
      <c r="L1430" s="919"/>
      <c r="O1430" s="339"/>
      <c r="T1430" s="75"/>
      <c r="U1430" s="75"/>
      <c r="V1430" s="75"/>
      <c r="W1430" s="75"/>
      <c r="X1430" s="75"/>
      <c r="Y1430" s="340"/>
      <c r="Z1430" s="341"/>
      <c r="AA1430" s="341"/>
      <c r="AB1430" s="341"/>
      <c r="AC1430" s="340"/>
      <c r="AD1430" s="75"/>
      <c r="AE1430" s="75"/>
      <c r="AF1430" s="75"/>
      <c r="AG1430" s="344"/>
      <c r="AH1430" s="344"/>
      <c r="AI1430" s="344"/>
      <c r="AJ1430" s="97"/>
      <c r="AK1430" s="4"/>
    </row>
    <row r="1431" spans="2:37" s="113" customFormat="1" x14ac:dyDescent="0.4">
      <c r="B1431" s="80"/>
      <c r="C1431" s="563">
        <v>1018</v>
      </c>
      <c r="D1431" s="907"/>
      <c r="E1431" s="906"/>
      <c r="F1431" s="921" t="str">
        <f t="shared" si="66"/>
        <v/>
      </c>
      <c r="G1431" s="882" t="str">
        <f t="shared" si="67"/>
        <v/>
      </c>
      <c r="H1431" s="925"/>
      <c r="I1431" s="919"/>
      <c r="J1431" s="919"/>
      <c r="K1431" s="919"/>
      <c r="L1431" s="919"/>
      <c r="O1431" s="339"/>
      <c r="T1431" s="75"/>
      <c r="U1431" s="75"/>
      <c r="V1431" s="75"/>
      <c r="W1431" s="75"/>
      <c r="X1431" s="75"/>
      <c r="Y1431" s="340"/>
      <c r="Z1431" s="341"/>
      <c r="AA1431" s="341"/>
      <c r="AB1431" s="341"/>
      <c r="AC1431" s="340"/>
      <c r="AD1431" s="75"/>
      <c r="AE1431" s="75"/>
      <c r="AF1431" s="75"/>
      <c r="AG1431" s="344"/>
      <c r="AH1431" s="344"/>
      <c r="AI1431" s="344"/>
      <c r="AJ1431" s="97"/>
      <c r="AK1431" s="4"/>
    </row>
    <row r="1432" spans="2:37" s="113" customFormat="1" x14ac:dyDescent="0.4">
      <c r="B1432" s="80"/>
      <c r="C1432" s="563">
        <v>1019</v>
      </c>
      <c r="D1432" s="907"/>
      <c r="E1432" s="906"/>
      <c r="F1432" s="921" t="str">
        <f t="shared" si="66"/>
        <v/>
      </c>
      <c r="G1432" s="882" t="str">
        <f t="shared" si="67"/>
        <v/>
      </c>
      <c r="H1432" s="925"/>
      <c r="I1432" s="919"/>
      <c r="J1432" s="919"/>
      <c r="K1432" s="919"/>
      <c r="L1432" s="919"/>
      <c r="O1432" s="339"/>
      <c r="T1432" s="75"/>
      <c r="U1432" s="75"/>
      <c r="V1432" s="75"/>
      <c r="W1432" s="75"/>
      <c r="X1432" s="75"/>
      <c r="Y1432" s="340"/>
      <c r="Z1432" s="341"/>
      <c r="AA1432" s="341"/>
      <c r="AB1432" s="341"/>
      <c r="AC1432" s="340"/>
      <c r="AD1432" s="75"/>
      <c r="AE1432" s="75"/>
      <c r="AF1432" s="75"/>
      <c r="AG1432" s="344"/>
      <c r="AH1432" s="344"/>
      <c r="AI1432" s="344"/>
      <c r="AJ1432" s="97"/>
      <c r="AK1432" s="4"/>
    </row>
    <row r="1433" spans="2:37" s="113" customFormat="1" x14ac:dyDescent="0.4">
      <c r="B1433" s="80"/>
      <c r="C1433" s="563">
        <v>1020</v>
      </c>
      <c r="D1433" s="907"/>
      <c r="E1433" s="906"/>
      <c r="F1433" s="921" t="str">
        <f t="shared" si="66"/>
        <v/>
      </c>
      <c r="G1433" s="882" t="str">
        <f t="shared" si="67"/>
        <v/>
      </c>
      <c r="H1433" s="925"/>
      <c r="I1433" s="919"/>
      <c r="J1433" s="919"/>
      <c r="K1433" s="919"/>
      <c r="L1433" s="919"/>
      <c r="O1433" s="339"/>
      <c r="T1433" s="75"/>
      <c r="U1433" s="75"/>
      <c r="V1433" s="75"/>
      <c r="W1433" s="75"/>
      <c r="X1433" s="75"/>
      <c r="Y1433" s="340"/>
      <c r="Z1433" s="341"/>
      <c r="AA1433" s="341"/>
      <c r="AB1433" s="341"/>
      <c r="AC1433" s="340"/>
      <c r="AD1433" s="75"/>
      <c r="AE1433" s="75"/>
      <c r="AF1433" s="75"/>
      <c r="AG1433" s="344"/>
      <c r="AH1433" s="344"/>
      <c r="AI1433" s="344"/>
      <c r="AJ1433" s="97"/>
      <c r="AK1433" s="4"/>
    </row>
    <row r="1434" spans="2:37" s="113" customFormat="1" x14ac:dyDescent="0.4">
      <c r="B1434" s="80"/>
      <c r="C1434" s="563">
        <v>1021</v>
      </c>
      <c r="D1434" s="907"/>
      <c r="E1434" s="906"/>
      <c r="F1434" s="921" t="str">
        <f t="shared" si="66"/>
        <v/>
      </c>
      <c r="G1434" s="882" t="str">
        <f t="shared" si="67"/>
        <v/>
      </c>
      <c r="H1434" s="925"/>
      <c r="I1434" s="919"/>
      <c r="J1434" s="919"/>
      <c r="K1434" s="919"/>
      <c r="L1434" s="919"/>
      <c r="O1434" s="339"/>
      <c r="T1434" s="75"/>
      <c r="U1434" s="75"/>
      <c r="V1434" s="75"/>
      <c r="W1434" s="75"/>
      <c r="X1434" s="75"/>
      <c r="Y1434" s="340"/>
      <c r="Z1434" s="341"/>
      <c r="AA1434" s="341"/>
      <c r="AB1434" s="341"/>
      <c r="AC1434" s="340"/>
      <c r="AD1434" s="75"/>
      <c r="AE1434" s="75"/>
      <c r="AF1434" s="75"/>
      <c r="AG1434" s="344"/>
      <c r="AH1434" s="344"/>
      <c r="AI1434" s="344"/>
      <c r="AJ1434" s="97"/>
      <c r="AK1434" s="4"/>
    </row>
    <row r="1435" spans="2:37" s="113" customFormat="1" x14ac:dyDescent="0.4">
      <c r="B1435" s="80"/>
      <c r="C1435" s="563">
        <v>1022</v>
      </c>
      <c r="D1435" s="907"/>
      <c r="E1435" s="906"/>
      <c r="F1435" s="921" t="str">
        <f t="shared" si="66"/>
        <v/>
      </c>
      <c r="G1435" s="882" t="str">
        <f t="shared" si="67"/>
        <v/>
      </c>
      <c r="H1435" s="925"/>
      <c r="I1435" s="919"/>
      <c r="J1435" s="919"/>
      <c r="K1435" s="919"/>
      <c r="L1435" s="919"/>
      <c r="O1435" s="339"/>
      <c r="T1435" s="75"/>
      <c r="U1435" s="75"/>
      <c r="V1435" s="75"/>
      <c r="W1435" s="75"/>
      <c r="X1435" s="75"/>
      <c r="Y1435" s="340"/>
      <c r="Z1435" s="341"/>
      <c r="AA1435" s="341"/>
      <c r="AB1435" s="341"/>
      <c r="AC1435" s="340"/>
      <c r="AD1435" s="75"/>
      <c r="AE1435" s="75"/>
      <c r="AF1435" s="75"/>
      <c r="AG1435" s="344"/>
      <c r="AH1435" s="344"/>
      <c r="AI1435" s="344"/>
      <c r="AJ1435" s="97"/>
      <c r="AK1435" s="4"/>
    </row>
    <row r="1436" spans="2:37" s="113" customFormat="1" x14ac:dyDescent="0.4">
      <c r="B1436" s="80"/>
      <c r="C1436" s="563">
        <v>1023</v>
      </c>
      <c r="D1436" s="907"/>
      <c r="E1436" s="906"/>
      <c r="F1436" s="921" t="str">
        <f t="shared" si="66"/>
        <v/>
      </c>
      <c r="G1436" s="882" t="str">
        <f t="shared" si="67"/>
        <v/>
      </c>
      <c r="H1436" s="925"/>
      <c r="I1436" s="919"/>
      <c r="J1436" s="919"/>
      <c r="K1436" s="919"/>
      <c r="L1436" s="919"/>
      <c r="O1436" s="339"/>
      <c r="T1436" s="75"/>
      <c r="U1436" s="75"/>
      <c r="V1436" s="75"/>
      <c r="W1436" s="75"/>
      <c r="X1436" s="75"/>
      <c r="Y1436" s="340"/>
      <c r="Z1436" s="341"/>
      <c r="AA1436" s="341"/>
      <c r="AB1436" s="341"/>
      <c r="AC1436" s="340"/>
      <c r="AD1436" s="75"/>
      <c r="AE1436" s="75"/>
      <c r="AF1436" s="75"/>
      <c r="AG1436" s="344"/>
      <c r="AH1436" s="344"/>
      <c r="AI1436" s="344"/>
      <c r="AJ1436" s="97"/>
      <c r="AK1436" s="4"/>
    </row>
    <row r="1437" spans="2:37" s="113" customFormat="1" x14ac:dyDescent="0.4">
      <c r="B1437" s="80"/>
      <c r="C1437" s="563">
        <v>1024</v>
      </c>
      <c r="D1437" s="907"/>
      <c r="E1437" s="906"/>
      <c r="F1437" s="921" t="str">
        <f t="shared" si="66"/>
        <v/>
      </c>
      <c r="G1437" s="882" t="str">
        <f t="shared" si="67"/>
        <v/>
      </c>
      <c r="H1437" s="925"/>
      <c r="I1437" s="919"/>
      <c r="J1437" s="919"/>
      <c r="K1437" s="919"/>
      <c r="L1437" s="919"/>
      <c r="O1437" s="339"/>
      <c r="T1437" s="75"/>
      <c r="U1437" s="75"/>
      <c r="V1437" s="75"/>
      <c r="W1437" s="75"/>
      <c r="X1437" s="75"/>
      <c r="Y1437" s="340"/>
      <c r="Z1437" s="341"/>
      <c r="AA1437" s="341"/>
      <c r="AB1437" s="341"/>
      <c r="AC1437" s="340"/>
      <c r="AD1437" s="75"/>
      <c r="AE1437" s="75"/>
      <c r="AF1437" s="75"/>
      <c r="AG1437" s="344"/>
      <c r="AH1437" s="344"/>
      <c r="AI1437" s="344"/>
      <c r="AJ1437" s="97"/>
      <c r="AK1437" s="4"/>
    </row>
    <row r="1438" spans="2:37" s="113" customFormat="1" x14ac:dyDescent="0.4">
      <c r="B1438" s="80"/>
      <c r="C1438" s="563">
        <v>1025</v>
      </c>
      <c r="D1438" s="907"/>
      <c r="E1438" s="906"/>
      <c r="F1438" s="921" t="str">
        <f t="shared" ref="F1438:F1501" si="68">IF($D$30="","",IF(OR(
AND(C1438&gt;=0,C1438&lt;=$D$32),
AND(C1438&gt;=$E$30,C1438&lt;=$E$32),
AND(C1438&gt;=$F$30,C1438&lt;=$F$32),
AND(C1438&gt;=$G$30,C1438&lt;=$G$32),
AND(C1438&gt;=$H$30,C1438&lt;=$H$32),
AND(C1438&gt;=$I$30,C1438&lt;=$I$32),
AND(C1438&gt;=$J$30,C1438&lt;=$J$32),
AND(C1438&gt;=$K$30,C1438&lt;=$K$32),
AND(C1438&gt;=$L$30,C1438&lt;=$L$32),
AND(C1438&gt;=$M$30,C1438&lt;=$M$32,$M$32&lt;&gt;""),
AND(C1438&gt;=$N$30,C1438&lt;=$N$32,$N$32&lt;&gt;""),
AND(C1438&gt;=$O$30,C1438&lt;=$O$32,$O$32&lt;&gt;""),
AND(C1438&gt;=$P$30,C1438&lt;=$P$32,$P$32&lt;&gt;""),
AND(C1438&gt;=$Q$30,C1438&lt;=$Q$32,$Q$32&lt;&gt;"")
),"ON","OFF"))</f>
        <v/>
      </c>
      <c r="G1438" s="882" t="str">
        <f t="shared" si="67"/>
        <v/>
      </c>
      <c r="H1438" s="925"/>
      <c r="I1438" s="919"/>
      <c r="J1438" s="919"/>
      <c r="K1438" s="919"/>
      <c r="L1438" s="919"/>
      <c r="O1438" s="339"/>
      <c r="T1438" s="75"/>
      <c r="U1438" s="75"/>
      <c r="V1438" s="75"/>
      <c r="W1438" s="75"/>
      <c r="X1438" s="75"/>
      <c r="Y1438" s="340"/>
      <c r="Z1438" s="341"/>
      <c r="AA1438" s="341"/>
      <c r="AB1438" s="341"/>
      <c r="AC1438" s="340"/>
      <c r="AD1438" s="75"/>
      <c r="AE1438" s="75"/>
      <c r="AF1438" s="75"/>
      <c r="AG1438" s="344"/>
      <c r="AH1438" s="344"/>
      <c r="AI1438" s="344"/>
      <c r="AJ1438" s="97"/>
      <c r="AK1438" s="4"/>
    </row>
    <row r="1439" spans="2:37" s="113" customFormat="1" x14ac:dyDescent="0.4">
      <c r="B1439" s="80"/>
      <c r="C1439" s="563">
        <v>1026</v>
      </c>
      <c r="D1439" s="907"/>
      <c r="E1439" s="906"/>
      <c r="F1439" s="921" t="str">
        <f t="shared" si="68"/>
        <v/>
      </c>
      <c r="G1439" s="882" t="str">
        <f t="shared" ref="G1439:G1502" si="69">IF(OR($D$47="",$D$48=""),"",IF(OR(
AND(C1439&gt;=$D$47,C1439&lt;=$D$48),
AND(C1439&gt;=$E$47,C1439&lt;=$E$48),
AND(C1439&gt;=$F$47,C1439&lt;=$F$48),
AND(C1439&gt;=$G$47,C1439&lt;=$G$48),
AND(C1439&gt;=$H$47,C1439&lt;=$H$48),
AND(C1439&gt;=$I$47,C1439&lt;=$I$48),
AND(C1439&gt;=$J$47,C1439&lt;=$J$48),
AND(C1439&gt;=$K$47,C1439&lt;=$K$48),
AND(C1439&gt;=$L$47,C1439&lt;=$L$48),
AND(C1439&gt;=$M$47,C1439&lt;=$M$48),
AND(C1439&gt;=$N$47,C1439&lt;=$N$48),
AND(C1439&gt;=$O$47,C1439&lt;=$O$48),
AND(C1439&gt;=$P$47,C1439&lt;=$P$48),
AND(C1439&gt;=$Q$47,C1439&lt;=$Q$48),
AND(C1439&gt;=$R$47,C1439&lt;=$R$48),
AND(C1439&gt;=$S$47,C1439&lt;=$S$48),
AND(C1439&gt;=$T$47,C1439&lt;=$T$48),
AND(C1439&gt;=$U$47,C1439&lt;=$U$48),
AND(C1439&gt;=$V$47,C1439&lt;=$V$48),
AND(C1439&gt;=$W$47,C1439&lt;=$W$48),
AND(C1439&gt;=$X$47,C1439&lt;=$X$48),
AND(C1439&gt;=$Y$47,C1439&lt;=$Y$48),
AND(C1439&gt;=$Z$47,C1439&lt;=$Z$48),
AND(C1439&gt;=$AA$47,C1439&lt;=$AA$48),
AND(C1439&gt;=$AB$47,C1439&lt;=$AB$48),
AND(C1439&gt;=$AC$47,C1439&lt;=$AC$48),
AND(C1439&gt;=$AD$47,C1439&lt;=$AD$48),
AND(C1439&gt;=$AE$47,C1439&lt;=$AE$48),
AND(C1439&gt;=$AF$47,C1439&lt;=$AF$48),
AND(C1439&gt;=$AG$47,C1439&lt;=$AG$48)
),"ON","OFF"))</f>
        <v/>
      </c>
      <c r="H1439" s="925"/>
      <c r="I1439" s="919"/>
      <c r="J1439" s="919"/>
      <c r="K1439" s="919"/>
      <c r="L1439" s="919"/>
      <c r="O1439" s="339"/>
      <c r="T1439" s="75"/>
      <c r="U1439" s="75"/>
      <c r="V1439" s="75"/>
      <c r="W1439" s="75"/>
      <c r="X1439" s="75"/>
      <c r="Y1439" s="340"/>
      <c r="Z1439" s="341"/>
      <c r="AA1439" s="341"/>
      <c r="AB1439" s="341"/>
      <c r="AC1439" s="340"/>
      <c r="AD1439" s="75"/>
      <c r="AE1439" s="75"/>
      <c r="AF1439" s="75"/>
      <c r="AG1439" s="344"/>
      <c r="AH1439" s="344"/>
      <c r="AI1439" s="344"/>
      <c r="AJ1439" s="97"/>
      <c r="AK1439" s="4"/>
    </row>
    <row r="1440" spans="2:37" s="113" customFormat="1" x14ac:dyDescent="0.4">
      <c r="B1440" s="80"/>
      <c r="C1440" s="563">
        <v>1027</v>
      </c>
      <c r="D1440" s="907"/>
      <c r="E1440" s="906"/>
      <c r="F1440" s="921" t="str">
        <f t="shared" si="68"/>
        <v/>
      </c>
      <c r="G1440" s="882" t="str">
        <f t="shared" si="69"/>
        <v/>
      </c>
      <c r="H1440" s="925"/>
      <c r="I1440" s="919"/>
      <c r="J1440" s="919"/>
      <c r="K1440" s="919"/>
      <c r="L1440" s="919"/>
      <c r="O1440" s="339"/>
      <c r="T1440" s="75"/>
      <c r="U1440" s="75"/>
      <c r="V1440" s="75"/>
      <c r="W1440" s="75"/>
      <c r="X1440" s="75"/>
      <c r="Y1440" s="340"/>
      <c r="Z1440" s="341"/>
      <c r="AA1440" s="341"/>
      <c r="AB1440" s="341"/>
      <c r="AC1440" s="340"/>
      <c r="AD1440" s="75"/>
      <c r="AE1440" s="75"/>
      <c r="AF1440" s="75"/>
      <c r="AG1440" s="344"/>
      <c r="AH1440" s="344"/>
      <c r="AI1440" s="344"/>
      <c r="AJ1440" s="97"/>
      <c r="AK1440" s="4"/>
    </row>
    <row r="1441" spans="2:37" s="113" customFormat="1" x14ac:dyDescent="0.4">
      <c r="B1441" s="80"/>
      <c r="C1441" s="563">
        <v>1028</v>
      </c>
      <c r="D1441" s="907"/>
      <c r="E1441" s="906"/>
      <c r="F1441" s="921" t="str">
        <f t="shared" si="68"/>
        <v/>
      </c>
      <c r="G1441" s="882" t="str">
        <f t="shared" si="69"/>
        <v/>
      </c>
      <c r="H1441" s="925"/>
      <c r="I1441" s="919"/>
      <c r="J1441" s="919"/>
      <c r="K1441" s="919"/>
      <c r="L1441" s="919"/>
      <c r="O1441" s="339"/>
      <c r="T1441" s="75"/>
      <c r="U1441" s="75"/>
      <c r="V1441" s="75"/>
      <c r="W1441" s="75"/>
      <c r="X1441" s="75"/>
      <c r="Y1441" s="340"/>
      <c r="Z1441" s="341"/>
      <c r="AA1441" s="341"/>
      <c r="AB1441" s="341"/>
      <c r="AC1441" s="340"/>
      <c r="AD1441" s="75"/>
      <c r="AE1441" s="75"/>
      <c r="AF1441" s="75"/>
      <c r="AG1441" s="344"/>
      <c r="AH1441" s="344"/>
      <c r="AI1441" s="344"/>
      <c r="AJ1441" s="97"/>
      <c r="AK1441" s="4"/>
    </row>
    <row r="1442" spans="2:37" s="113" customFormat="1" x14ac:dyDescent="0.4">
      <c r="B1442" s="80"/>
      <c r="C1442" s="563">
        <v>1029</v>
      </c>
      <c r="D1442" s="907"/>
      <c r="E1442" s="906"/>
      <c r="F1442" s="921" t="str">
        <f t="shared" si="68"/>
        <v/>
      </c>
      <c r="G1442" s="882" t="str">
        <f t="shared" si="69"/>
        <v/>
      </c>
      <c r="H1442" s="925"/>
      <c r="I1442" s="919"/>
      <c r="J1442" s="919"/>
      <c r="K1442" s="919"/>
      <c r="L1442" s="919"/>
      <c r="O1442" s="339"/>
      <c r="T1442" s="75"/>
      <c r="U1442" s="75"/>
      <c r="V1442" s="75"/>
      <c r="W1442" s="75"/>
      <c r="X1442" s="75"/>
      <c r="Y1442" s="340"/>
      <c r="Z1442" s="341"/>
      <c r="AA1442" s="341"/>
      <c r="AB1442" s="341"/>
      <c r="AC1442" s="340"/>
      <c r="AD1442" s="75"/>
      <c r="AE1442" s="75"/>
      <c r="AF1442" s="75"/>
      <c r="AG1442" s="344"/>
      <c r="AH1442" s="344"/>
      <c r="AI1442" s="344"/>
      <c r="AJ1442" s="97"/>
      <c r="AK1442" s="4"/>
    </row>
    <row r="1443" spans="2:37" s="113" customFormat="1" x14ac:dyDescent="0.4">
      <c r="B1443" s="80"/>
      <c r="C1443" s="563">
        <v>1030</v>
      </c>
      <c r="D1443" s="907"/>
      <c r="E1443" s="906"/>
      <c r="F1443" s="921" t="str">
        <f t="shared" si="68"/>
        <v/>
      </c>
      <c r="G1443" s="882" t="str">
        <f t="shared" si="69"/>
        <v/>
      </c>
      <c r="H1443" s="925"/>
      <c r="I1443" s="919"/>
      <c r="J1443" s="919"/>
      <c r="K1443" s="919"/>
      <c r="L1443" s="919"/>
      <c r="O1443" s="339"/>
      <c r="T1443" s="75"/>
      <c r="U1443" s="75"/>
      <c r="V1443" s="75"/>
      <c r="W1443" s="75"/>
      <c r="X1443" s="75"/>
      <c r="Y1443" s="340"/>
      <c r="Z1443" s="341"/>
      <c r="AA1443" s="341"/>
      <c r="AB1443" s="341"/>
      <c r="AC1443" s="340"/>
      <c r="AD1443" s="75"/>
      <c r="AE1443" s="75"/>
      <c r="AF1443" s="75"/>
      <c r="AG1443" s="344"/>
      <c r="AH1443" s="344"/>
      <c r="AI1443" s="344"/>
      <c r="AJ1443" s="97"/>
      <c r="AK1443" s="4"/>
    </row>
    <row r="1444" spans="2:37" s="113" customFormat="1" x14ac:dyDescent="0.4">
      <c r="B1444" s="80"/>
      <c r="C1444" s="563">
        <v>1031</v>
      </c>
      <c r="D1444" s="907"/>
      <c r="E1444" s="906"/>
      <c r="F1444" s="921" t="str">
        <f t="shared" si="68"/>
        <v/>
      </c>
      <c r="G1444" s="882" t="str">
        <f t="shared" si="69"/>
        <v/>
      </c>
      <c r="H1444" s="925"/>
      <c r="I1444" s="919"/>
      <c r="J1444" s="919"/>
      <c r="K1444" s="919"/>
      <c r="L1444" s="919"/>
      <c r="O1444" s="339"/>
      <c r="T1444" s="75"/>
      <c r="U1444" s="75"/>
      <c r="V1444" s="75"/>
      <c r="W1444" s="75"/>
      <c r="X1444" s="75"/>
      <c r="Y1444" s="340"/>
      <c r="Z1444" s="341"/>
      <c r="AA1444" s="341"/>
      <c r="AB1444" s="341"/>
      <c r="AC1444" s="340"/>
      <c r="AD1444" s="75"/>
      <c r="AE1444" s="75"/>
      <c r="AF1444" s="75"/>
      <c r="AG1444" s="344"/>
      <c r="AH1444" s="344"/>
      <c r="AI1444" s="344"/>
      <c r="AJ1444" s="97"/>
      <c r="AK1444" s="4"/>
    </row>
    <row r="1445" spans="2:37" s="113" customFormat="1" x14ac:dyDescent="0.4">
      <c r="B1445" s="80"/>
      <c r="C1445" s="563">
        <v>1032</v>
      </c>
      <c r="D1445" s="907"/>
      <c r="E1445" s="906"/>
      <c r="F1445" s="921" t="str">
        <f t="shared" si="68"/>
        <v/>
      </c>
      <c r="G1445" s="882" t="str">
        <f t="shared" si="69"/>
        <v/>
      </c>
      <c r="H1445" s="925"/>
      <c r="I1445" s="919"/>
      <c r="J1445" s="919"/>
      <c r="K1445" s="919"/>
      <c r="L1445" s="919"/>
      <c r="O1445" s="339"/>
      <c r="T1445" s="75"/>
      <c r="U1445" s="75"/>
      <c r="V1445" s="75"/>
      <c r="W1445" s="75"/>
      <c r="X1445" s="75"/>
      <c r="Y1445" s="340"/>
      <c r="Z1445" s="341"/>
      <c r="AA1445" s="341"/>
      <c r="AB1445" s="341"/>
      <c r="AC1445" s="340"/>
      <c r="AD1445" s="75"/>
      <c r="AE1445" s="75"/>
      <c r="AF1445" s="75"/>
      <c r="AG1445" s="344"/>
      <c r="AH1445" s="344"/>
      <c r="AI1445" s="344"/>
      <c r="AJ1445" s="97"/>
      <c r="AK1445" s="4"/>
    </row>
    <row r="1446" spans="2:37" s="113" customFormat="1" x14ac:dyDescent="0.4">
      <c r="B1446" s="80"/>
      <c r="C1446" s="563">
        <v>1033</v>
      </c>
      <c r="D1446" s="907"/>
      <c r="E1446" s="906"/>
      <c r="F1446" s="921" t="str">
        <f t="shared" si="68"/>
        <v/>
      </c>
      <c r="G1446" s="882" t="str">
        <f t="shared" si="69"/>
        <v/>
      </c>
      <c r="H1446" s="925"/>
      <c r="I1446" s="919"/>
      <c r="J1446" s="919"/>
      <c r="K1446" s="919"/>
      <c r="L1446" s="919"/>
      <c r="O1446" s="339"/>
      <c r="T1446" s="75"/>
      <c r="U1446" s="75"/>
      <c r="V1446" s="75"/>
      <c r="W1446" s="75"/>
      <c r="X1446" s="75"/>
      <c r="Y1446" s="340"/>
      <c r="Z1446" s="341"/>
      <c r="AA1446" s="341"/>
      <c r="AB1446" s="341"/>
      <c r="AC1446" s="340"/>
      <c r="AD1446" s="75"/>
      <c r="AE1446" s="75"/>
      <c r="AF1446" s="75"/>
      <c r="AG1446" s="344"/>
      <c r="AH1446" s="344"/>
      <c r="AI1446" s="344"/>
      <c r="AJ1446" s="97"/>
      <c r="AK1446" s="4"/>
    </row>
    <row r="1447" spans="2:37" s="113" customFormat="1" x14ac:dyDescent="0.4">
      <c r="B1447" s="80"/>
      <c r="C1447" s="563">
        <v>1034</v>
      </c>
      <c r="D1447" s="907"/>
      <c r="E1447" s="906"/>
      <c r="F1447" s="921" t="str">
        <f t="shared" si="68"/>
        <v/>
      </c>
      <c r="G1447" s="882" t="str">
        <f t="shared" si="69"/>
        <v/>
      </c>
      <c r="H1447" s="925"/>
      <c r="I1447" s="919"/>
      <c r="J1447" s="919"/>
      <c r="K1447" s="919"/>
      <c r="L1447" s="919"/>
      <c r="O1447" s="339"/>
      <c r="T1447" s="75"/>
      <c r="U1447" s="75"/>
      <c r="V1447" s="75"/>
      <c r="W1447" s="75"/>
      <c r="X1447" s="75"/>
      <c r="Y1447" s="340"/>
      <c r="Z1447" s="341"/>
      <c r="AA1447" s="341"/>
      <c r="AB1447" s="341"/>
      <c r="AC1447" s="340"/>
      <c r="AD1447" s="75"/>
      <c r="AE1447" s="75"/>
      <c r="AF1447" s="75"/>
      <c r="AG1447" s="344"/>
      <c r="AH1447" s="344"/>
      <c r="AI1447" s="344"/>
      <c r="AJ1447" s="97"/>
      <c r="AK1447" s="4"/>
    </row>
    <row r="1448" spans="2:37" s="113" customFormat="1" x14ac:dyDescent="0.4">
      <c r="B1448" s="80"/>
      <c r="C1448" s="563">
        <v>1035</v>
      </c>
      <c r="D1448" s="907"/>
      <c r="E1448" s="906"/>
      <c r="F1448" s="921" t="str">
        <f t="shared" si="68"/>
        <v/>
      </c>
      <c r="G1448" s="882" t="str">
        <f t="shared" si="69"/>
        <v/>
      </c>
      <c r="H1448" s="925"/>
      <c r="I1448" s="919"/>
      <c r="J1448" s="919"/>
      <c r="K1448" s="919"/>
      <c r="L1448" s="919"/>
      <c r="O1448" s="339"/>
      <c r="T1448" s="75"/>
      <c r="U1448" s="75"/>
      <c r="V1448" s="75"/>
      <c r="W1448" s="75"/>
      <c r="X1448" s="75"/>
      <c r="Y1448" s="340"/>
      <c r="Z1448" s="341"/>
      <c r="AA1448" s="341"/>
      <c r="AB1448" s="341"/>
      <c r="AC1448" s="340"/>
      <c r="AD1448" s="75"/>
      <c r="AE1448" s="75"/>
      <c r="AF1448" s="75"/>
      <c r="AG1448" s="344"/>
      <c r="AH1448" s="344"/>
      <c r="AI1448" s="344"/>
      <c r="AJ1448" s="97"/>
      <c r="AK1448" s="4"/>
    </row>
    <row r="1449" spans="2:37" s="113" customFormat="1" x14ac:dyDescent="0.4">
      <c r="B1449" s="80"/>
      <c r="C1449" s="563">
        <v>1036</v>
      </c>
      <c r="D1449" s="907"/>
      <c r="E1449" s="906"/>
      <c r="F1449" s="921" t="str">
        <f t="shared" si="68"/>
        <v/>
      </c>
      <c r="G1449" s="882" t="str">
        <f t="shared" si="69"/>
        <v/>
      </c>
      <c r="H1449" s="925"/>
      <c r="I1449" s="919"/>
      <c r="J1449" s="919"/>
      <c r="K1449" s="919"/>
      <c r="L1449" s="919"/>
      <c r="O1449" s="339"/>
      <c r="T1449" s="75"/>
      <c r="U1449" s="75"/>
      <c r="V1449" s="75"/>
      <c r="W1449" s="75"/>
      <c r="X1449" s="75"/>
      <c r="Y1449" s="340"/>
      <c r="Z1449" s="341"/>
      <c r="AA1449" s="341"/>
      <c r="AB1449" s="341"/>
      <c r="AC1449" s="340"/>
      <c r="AD1449" s="75"/>
      <c r="AE1449" s="75"/>
      <c r="AF1449" s="75"/>
      <c r="AG1449" s="344"/>
      <c r="AH1449" s="344"/>
      <c r="AI1449" s="344"/>
      <c r="AJ1449" s="97"/>
      <c r="AK1449" s="4"/>
    </row>
    <row r="1450" spans="2:37" s="113" customFormat="1" x14ac:dyDescent="0.4">
      <c r="B1450" s="80"/>
      <c r="C1450" s="563">
        <v>1037</v>
      </c>
      <c r="D1450" s="907"/>
      <c r="E1450" s="906"/>
      <c r="F1450" s="921" t="str">
        <f t="shared" si="68"/>
        <v/>
      </c>
      <c r="G1450" s="882" t="str">
        <f t="shared" si="69"/>
        <v/>
      </c>
      <c r="H1450" s="925"/>
      <c r="I1450" s="919"/>
      <c r="J1450" s="919"/>
      <c r="K1450" s="919"/>
      <c r="L1450" s="919"/>
      <c r="O1450" s="339"/>
      <c r="T1450" s="75"/>
      <c r="U1450" s="75"/>
      <c r="V1450" s="75"/>
      <c r="W1450" s="75"/>
      <c r="X1450" s="75"/>
      <c r="Y1450" s="340"/>
      <c r="Z1450" s="341"/>
      <c r="AA1450" s="341"/>
      <c r="AB1450" s="341"/>
      <c r="AC1450" s="340"/>
      <c r="AD1450" s="75"/>
      <c r="AE1450" s="75"/>
      <c r="AF1450" s="75"/>
      <c r="AG1450" s="344"/>
      <c r="AH1450" s="344"/>
      <c r="AI1450" s="344"/>
      <c r="AJ1450" s="97"/>
      <c r="AK1450" s="4"/>
    </row>
    <row r="1451" spans="2:37" s="113" customFormat="1" x14ac:dyDescent="0.4">
      <c r="B1451" s="80"/>
      <c r="C1451" s="563">
        <v>1038</v>
      </c>
      <c r="D1451" s="907"/>
      <c r="E1451" s="906"/>
      <c r="F1451" s="921" t="str">
        <f t="shared" si="68"/>
        <v/>
      </c>
      <c r="G1451" s="882" t="str">
        <f t="shared" si="69"/>
        <v/>
      </c>
      <c r="H1451" s="925"/>
      <c r="I1451" s="919"/>
      <c r="J1451" s="919"/>
      <c r="K1451" s="919"/>
      <c r="L1451" s="919"/>
      <c r="O1451" s="339"/>
      <c r="T1451" s="75"/>
      <c r="U1451" s="75"/>
      <c r="V1451" s="75"/>
      <c r="W1451" s="75"/>
      <c r="X1451" s="75"/>
      <c r="Y1451" s="340"/>
      <c r="Z1451" s="341"/>
      <c r="AA1451" s="341"/>
      <c r="AB1451" s="341"/>
      <c r="AC1451" s="340"/>
      <c r="AD1451" s="75"/>
      <c r="AE1451" s="75"/>
      <c r="AF1451" s="75"/>
      <c r="AG1451" s="344"/>
      <c r="AH1451" s="344"/>
      <c r="AI1451" s="344"/>
      <c r="AJ1451" s="97"/>
      <c r="AK1451" s="4"/>
    </row>
    <row r="1452" spans="2:37" s="113" customFormat="1" x14ac:dyDescent="0.4">
      <c r="B1452" s="80"/>
      <c r="C1452" s="563">
        <v>1039</v>
      </c>
      <c r="D1452" s="907"/>
      <c r="E1452" s="906"/>
      <c r="F1452" s="921" t="str">
        <f t="shared" si="68"/>
        <v/>
      </c>
      <c r="G1452" s="882" t="str">
        <f t="shared" si="69"/>
        <v/>
      </c>
      <c r="H1452" s="925"/>
      <c r="I1452" s="919"/>
      <c r="J1452" s="919"/>
      <c r="K1452" s="919"/>
      <c r="L1452" s="919"/>
      <c r="O1452" s="339"/>
      <c r="T1452" s="75"/>
      <c r="U1452" s="75"/>
      <c r="V1452" s="75"/>
      <c r="W1452" s="75"/>
      <c r="X1452" s="75"/>
      <c r="Y1452" s="340"/>
      <c r="Z1452" s="341"/>
      <c r="AA1452" s="341"/>
      <c r="AB1452" s="341"/>
      <c r="AC1452" s="340"/>
      <c r="AD1452" s="75"/>
      <c r="AE1452" s="75"/>
      <c r="AF1452" s="75"/>
      <c r="AG1452" s="344"/>
      <c r="AH1452" s="344"/>
      <c r="AI1452" s="344"/>
      <c r="AJ1452" s="97"/>
      <c r="AK1452" s="4"/>
    </row>
    <row r="1453" spans="2:37" s="113" customFormat="1" x14ac:dyDescent="0.4">
      <c r="B1453" s="80"/>
      <c r="C1453" s="563">
        <v>1040</v>
      </c>
      <c r="D1453" s="907"/>
      <c r="E1453" s="906"/>
      <c r="F1453" s="921" t="str">
        <f t="shared" si="68"/>
        <v/>
      </c>
      <c r="G1453" s="882" t="str">
        <f t="shared" si="69"/>
        <v/>
      </c>
      <c r="H1453" s="925"/>
      <c r="I1453" s="919"/>
      <c r="J1453" s="919"/>
      <c r="K1453" s="919"/>
      <c r="L1453" s="919"/>
      <c r="O1453" s="339"/>
      <c r="T1453" s="75"/>
      <c r="U1453" s="75"/>
      <c r="V1453" s="75"/>
      <c r="W1453" s="75"/>
      <c r="X1453" s="75"/>
      <c r="Y1453" s="340"/>
      <c r="Z1453" s="341"/>
      <c r="AA1453" s="341"/>
      <c r="AB1453" s="341"/>
      <c r="AC1453" s="340"/>
      <c r="AD1453" s="75"/>
      <c r="AE1453" s="75"/>
      <c r="AF1453" s="75"/>
      <c r="AG1453" s="344"/>
      <c r="AH1453" s="344"/>
      <c r="AI1453" s="344"/>
      <c r="AJ1453" s="97"/>
      <c r="AK1453" s="4"/>
    </row>
    <row r="1454" spans="2:37" s="113" customFormat="1" x14ac:dyDescent="0.4">
      <c r="B1454" s="80"/>
      <c r="C1454" s="563">
        <v>1041</v>
      </c>
      <c r="D1454" s="907"/>
      <c r="E1454" s="906"/>
      <c r="F1454" s="921" t="str">
        <f t="shared" si="68"/>
        <v/>
      </c>
      <c r="G1454" s="882" t="str">
        <f t="shared" si="69"/>
        <v/>
      </c>
      <c r="H1454" s="925"/>
      <c r="I1454" s="919"/>
      <c r="J1454" s="919"/>
      <c r="K1454" s="919"/>
      <c r="L1454" s="919"/>
      <c r="O1454" s="339"/>
      <c r="T1454" s="75"/>
      <c r="U1454" s="75"/>
      <c r="V1454" s="75"/>
      <c r="W1454" s="75"/>
      <c r="X1454" s="75"/>
      <c r="Y1454" s="340"/>
      <c r="Z1454" s="341"/>
      <c r="AA1454" s="341"/>
      <c r="AB1454" s="341"/>
      <c r="AC1454" s="340"/>
      <c r="AD1454" s="75"/>
      <c r="AE1454" s="75"/>
      <c r="AF1454" s="75"/>
      <c r="AG1454" s="344"/>
      <c r="AH1454" s="344"/>
      <c r="AI1454" s="344"/>
      <c r="AJ1454" s="97"/>
      <c r="AK1454" s="4"/>
    </row>
    <row r="1455" spans="2:37" s="113" customFormat="1" x14ac:dyDescent="0.4">
      <c r="B1455" s="80"/>
      <c r="C1455" s="563">
        <v>1042</v>
      </c>
      <c r="D1455" s="907"/>
      <c r="E1455" s="906"/>
      <c r="F1455" s="921" t="str">
        <f t="shared" si="68"/>
        <v/>
      </c>
      <c r="G1455" s="882" t="str">
        <f t="shared" si="69"/>
        <v/>
      </c>
      <c r="H1455" s="925"/>
      <c r="I1455" s="919"/>
      <c r="J1455" s="919"/>
      <c r="K1455" s="919"/>
      <c r="L1455" s="919"/>
      <c r="O1455" s="339"/>
      <c r="T1455" s="75"/>
      <c r="U1455" s="75"/>
      <c r="V1455" s="75"/>
      <c r="W1455" s="75"/>
      <c r="X1455" s="75"/>
      <c r="Y1455" s="340"/>
      <c r="Z1455" s="341"/>
      <c r="AA1455" s="341"/>
      <c r="AB1455" s="341"/>
      <c r="AC1455" s="340"/>
      <c r="AD1455" s="75"/>
      <c r="AE1455" s="75"/>
      <c r="AF1455" s="75"/>
      <c r="AG1455" s="344"/>
      <c r="AH1455" s="344"/>
      <c r="AI1455" s="344"/>
      <c r="AJ1455" s="97"/>
      <c r="AK1455" s="4"/>
    </row>
    <row r="1456" spans="2:37" s="113" customFormat="1" x14ac:dyDescent="0.4">
      <c r="B1456" s="80"/>
      <c r="C1456" s="563">
        <v>1043</v>
      </c>
      <c r="D1456" s="907"/>
      <c r="E1456" s="906"/>
      <c r="F1456" s="921" t="str">
        <f t="shared" si="68"/>
        <v/>
      </c>
      <c r="G1456" s="882" t="str">
        <f t="shared" si="69"/>
        <v/>
      </c>
      <c r="H1456" s="925"/>
      <c r="I1456" s="919"/>
      <c r="J1456" s="919"/>
      <c r="K1456" s="919"/>
      <c r="L1456" s="919"/>
      <c r="O1456" s="339"/>
      <c r="T1456" s="75"/>
      <c r="U1456" s="75"/>
      <c r="V1456" s="75"/>
      <c r="W1456" s="75"/>
      <c r="X1456" s="75"/>
      <c r="Y1456" s="340"/>
      <c r="Z1456" s="341"/>
      <c r="AA1456" s="341"/>
      <c r="AB1456" s="341"/>
      <c r="AC1456" s="340"/>
      <c r="AD1456" s="75"/>
      <c r="AE1456" s="75"/>
      <c r="AF1456" s="75"/>
      <c r="AG1456" s="344"/>
      <c r="AH1456" s="344"/>
      <c r="AI1456" s="344"/>
      <c r="AJ1456" s="97"/>
      <c r="AK1456" s="4"/>
    </row>
    <row r="1457" spans="2:37" s="113" customFormat="1" x14ac:dyDescent="0.4">
      <c r="B1457" s="80"/>
      <c r="C1457" s="563">
        <v>1044</v>
      </c>
      <c r="D1457" s="907"/>
      <c r="E1457" s="906"/>
      <c r="F1457" s="921" t="str">
        <f t="shared" si="68"/>
        <v/>
      </c>
      <c r="G1457" s="882" t="str">
        <f t="shared" si="69"/>
        <v/>
      </c>
      <c r="H1457" s="925"/>
      <c r="I1457" s="919"/>
      <c r="J1457" s="919"/>
      <c r="K1457" s="919"/>
      <c r="L1457" s="919"/>
      <c r="O1457" s="339"/>
      <c r="T1457" s="75"/>
      <c r="U1457" s="75"/>
      <c r="V1457" s="75"/>
      <c r="W1457" s="75"/>
      <c r="X1457" s="75"/>
      <c r="Y1457" s="340"/>
      <c r="Z1457" s="341"/>
      <c r="AA1457" s="341"/>
      <c r="AB1457" s="341"/>
      <c r="AC1457" s="340"/>
      <c r="AD1457" s="75"/>
      <c r="AE1457" s="75"/>
      <c r="AF1457" s="75"/>
      <c r="AG1457" s="344"/>
      <c r="AH1457" s="344"/>
      <c r="AI1457" s="344"/>
      <c r="AJ1457" s="97"/>
      <c r="AK1457" s="4"/>
    </row>
    <row r="1458" spans="2:37" s="113" customFormat="1" x14ac:dyDescent="0.4">
      <c r="B1458" s="80"/>
      <c r="C1458" s="563">
        <v>1045</v>
      </c>
      <c r="D1458" s="907"/>
      <c r="E1458" s="906"/>
      <c r="F1458" s="921" t="str">
        <f t="shared" si="68"/>
        <v/>
      </c>
      <c r="G1458" s="882" t="str">
        <f t="shared" si="69"/>
        <v/>
      </c>
      <c r="H1458" s="925"/>
      <c r="I1458" s="919"/>
      <c r="J1458" s="919"/>
      <c r="K1458" s="919"/>
      <c r="L1458" s="919"/>
      <c r="O1458" s="339"/>
      <c r="T1458" s="75"/>
      <c r="U1458" s="75"/>
      <c r="V1458" s="75"/>
      <c r="W1458" s="75"/>
      <c r="X1458" s="75"/>
      <c r="Y1458" s="340"/>
      <c r="Z1458" s="341"/>
      <c r="AA1458" s="341"/>
      <c r="AB1458" s="341"/>
      <c r="AC1458" s="340"/>
      <c r="AD1458" s="75"/>
      <c r="AE1458" s="75"/>
      <c r="AF1458" s="75"/>
      <c r="AG1458" s="344"/>
      <c r="AH1458" s="344"/>
      <c r="AI1458" s="344"/>
      <c r="AJ1458" s="97"/>
      <c r="AK1458" s="4"/>
    </row>
    <row r="1459" spans="2:37" s="113" customFormat="1" x14ac:dyDescent="0.4">
      <c r="B1459" s="80"/>
      <c r="C1459" s="563">
        <v>1046</v>
      </c>
      <c r="D1459" s="907"/>
      <c r="E1459" s="906"/>
      <c r="F1459" s="921" t="str">
        <f t="shared" si="68"/>
        <v/>
      </c>
      <c r="G1459" s="882" t="str">
        <f t="shared" si="69"/>
        <v/>
      </c>
      <c r="H1459" s="925"/>
      <c r="I1459" s="919"/>
      <c r="J1459" s="919"/>
      <c r="K1459" s="919"/>
      <c r="L1459" s="919"/>
      <c r="O1459" s="339"/>
      <c r="T1459" s="75"/>
      <c r="U1459" s="75"/>
      <c r="V1459" s="75"/>
      <c r="W1459" s="75"/>
      <c r="X1459" s="75"/>
      <c r="Y1459" s="340"/>
      <c r="Z1459" s="341"/>
      <c r="AA1459" s="341"/>
      <c r="AB1459" s="341"/>
      <c r="AC1459" s="340"/>
      <c r="AD1459" s="75"/>
      <c r="AE1459" s="75"/>
      <c r="AF1459" s="75"/>
      <c r="AG1459" s="344"/>
      <c r="AH1459" s="344"/>
      <c r="AI1459" s="344"/>
      <c r="AJ1459" s="97"/>
      <c r="AK1459" s="4"/>
    </row>
    <row r="1460" spans="2:37" s="113" customFormat="1" x14ac:dyDescent="0.4">
      <c r="B1460" s="80"/>
      <c r="C1460" s="563">
        <v>1047</v>
      </c>
      <c r="D1460" s="907"/>
      <c r="E1460" s="906"/>
      <c r="F1460" s="921" t="str">
        <f t="shared" si="68"/>
        <v/>
      </c>
      <c r="G1460" s="882" t="str">
        <f t="shared" si="69"/>
        <v/>
      </c>
      <c r="H1460" s="925"/>
      <c r="I1460" s="919"/>
      <c r="J1460" s="919"/>
      <c r="K1460" s="919"/>
      <c r="L1460" s="919"/>
      <c r="O1460" s="339"/>
      <c r="T1460" s="75"/>
      <c r="U1460" s="75"/>
      <c r="V1460" s="75"/>
      <c r="W1460" s="75"/>
      <c r="X1460" s="75"/>
      <c r="Y1460" s="340"/>
      <c r="Z1460" s="341"/>
      <c r="AA1460" s="341"/>
      <c r="AB1460" s="341"/>
      <c r="AC1460" s="340"/>
      <c r="AD1460" s="75"/>
      <c r="AE1460" s="75"/>
      <c r="AF1460" s="75"/>
      <c r="AG1460" s="344"/>
      <c r="AH1460" s="344"/>
      <c r="AI1460" s="344"/>
      <c r="AJ1460" s="97"/>
      <c r="AK1460" s="4"/>
    </row>
    <row r="1461" spans="2:37" s="113" customFormat="1" x14ac:dyDescent="0.4">
      <c r="B1461" s="80"/>
      <c r="C1461" s="563">
        <v>1048</v>
      </c>
      <c r="D1461" s="907"/>
      <c r="E1461" s="906"/>
      <c r="F1461" s="921" t="str">
        <f t="shared" si="68"/>
        <v/>
      </c>
      <c r="G1461" s="882" t="str">
        <f t="shared" si="69"/>
        <v/>
      </c>
      <c r="H1461" s="925"/>
      <c r="I1461" s="919"/>
      <c r="J1461" s="919"/>
      <c r="K1461" s="919"/>
      <c r="L1461" s="919"/>
      <c r="O1461" s="339"/>
      <c r="T1461" s="75"/>
      <c r="U1461" s="75"/>
      <c r="V1461" s="75"/>
      <c r="W1461" s="75"/>
      <c r="X1461" s="75"/>
      <c r="Y1461" s="340"/>
      <c r="Z1461" s="341"/>
      <c r="AA1461" s="341"/>
      <c r="AB1461" s="341"/>
      <c r="AC1461" s="340"/>
      <c r="AD1461" s="75"/>
      <c r="AE1461" s="75"/>
      <c r="AF1461" s="75"/>
      <c r="AG1461" s="344"/>
      <c r="AH1461" s="344"/>
      <c r="AI1461" s="344"/>
      <c r="AJ1461" s="97"/>
      <c r="AK1461" s="4"/>
    </row>
    <row r="1462" spans="2:37" s="113" customFormat="1" x14ac:dyDescent="0.4">
      <c r="B1462" s="80"/>
      <c r="C1462" s="563">
        <v>1049</v>
      </c>
      <c r="D1462" s="907"/>
      <c r="E1462" s="906"/>
      <c r="F1462" s="921" t="str">
        <f t="shared" si="68"/>
        <v/>
      </c>
      <c r="G1462" s="882" t="str">
        <f t="shared" si="69"/>
        <v/>
      </c>
      <c r="H1462" s="925"/>
      <c r="I1462" s="919"/>
      <c r="J1462" s="919"/>
      <c r="K1462" s="919"/>
      <c r="L1462" s="919"/>
      <c r="O1462" s="339"/>
      <c r="T1462" s="75"/>
      <c r="U1462" s="75"/>
      <c r="V1462" s="75"/>
      <c r="W1462" s="75"/>
      <c r="X1462" s="75"/>
      <c r="Y1462" s="340"/>
      <c r="Z1462" s="341"/>
      <c r="AA1462" s="341"/>
      <c r="AB1462" s="341"/>
      <c r="AC1462" s="340"/>
      <c r="AD1462" s="75"/>
      <c r="AE1462" s="75"/>
      <c r="AF1462" s="75"/>
      <c r="AG1462" s="344"/>
      <c r="AH1462" s="344"/>
      <c r="AI1462" s="344"/>
      <c r="AJ1462" s="97"/>
      <c r="AK1462" s="4"/>
    </row>
    <row r="1463" spans="2:37" s="113" customFormat="1" x14ac:dyDescent="0.4">
      <c r="B1463" s="80"/>
      <c r="C1463" s="563">
        <v>1050</v>
      </c>
      <c r="D1463" s="907"/>
      <c r="E1463" s="906"/>
      <c r="F1463" s="921" t="str">
        <f t="shared" si="68"/>
        <v/>
      </c>
      <c r="G1463" s="882" t="str">
        <f t="shared" si="69"/>
        <v/>
      </c>
      <c r="H1463" s="925"/>
      <c r="I1463" s="919"/>
      <c r="J1463" s="919"/>
      <c r="K1463" s="919"/>
      <c r="L1463" s="919"/>
      <c r="O1463" s="339"/>
      <c r="T1463" s="75"/>
      <c r="U1463" s="75"/>
      <c r="V1463" s="75"/>
      <c r="W1463" s="75"/>
      <c r="X1463" s="75"/>
      <c r="Y1463" s="340"/>
      <c r="Z1463" s="341"/>
      <c r="AA1463" s="341"/>
      <c r="AB1463" s="341"/>
      <c r="AC1463" s="340"/>
      <c r="AD1463" s="75"/>
      <c r="AE1463" s="75"/>
      <c r="AF1463" s="75"/>
      <c r="AG1463" s="344"/>
      <c r="AH1463" s="344"/>
      <c r="AI1463" s="344"/>
      <c r="AJ1463" s="97"/>
      <c r="AK1463" s="4"/>
    </row>
    <row r="1464" spans="2:37" s="113" customFormat="1" x14ac:dyDescent="0.4">
      <c r="B1464" s="80"/>
      <c r="C1464" s="563">
        <v>1051</v>
      </c>
      <c r="D1464" s="907"/>
      <c r="E1464" s="906"/>
      <c r="F1464" s="921" t="str">
        <f t="shared" si="68"/>
        <v/>
      </c>
      <c r="G1464" s="882" t="str">
        <f t="shared" si="69"/>
        <v/>
      </c>
      <c r="H1464" s="925"/>
      <c r="I1464" s="919"/>
      <c r="J1464" s="919"/>
      <c r="K1464" s="919"/>
      <c r="L1464" s="919"/>
      <c r="O1464" s="339"/>
      <c r="T1464" s="75"/>
      <c r="U1464" s="75"/>
      <c r="V1464" s="75"/>
      <c r="W1464" s="75"/>
      <c r="X1464" s="75"/>
      <c r="Y1464" s="340"/>
      <c r="Z1464" s="341"/>
      <c r="AA1464" s="341"/>
      <c r="AB1464" s="341"/>
      <c r="AC1464" s="340"/>
      <c r="AD1464" s="75"/>
      <c r="AE1464" s="75"/>
      <c r="AF1464" s="75"/>
      <c r="AG1464" s="344"/>
      <c r="AH1464" s="344"/>
      <c r="AI1464" s="344"/>
      <c r="AJ1464" s="97"/>
      <c r="AK1464" s="4"/>
    </row>
    <row r="1465" spans="2:37" s="113" customFormat="1" x14ac:dyDescent="0.4">
      <c r="B1465" s="80"/>
      <c r="C1465" s="563">
        <v>1052</v>
      </c>
      <c r="D1465" s="907"/>
      <c r="E1465" s="906"/>
      <c r="F1465" s="921" t="str">
        <f t="shared" si="68"/>
        <v/>
      </c>
      <c r="G1465" s="882" t="str">
        <f t="shared" si="69"/>
        <v/>
      </c>
      <c r="H1465" s="925"/>
      <c r="I1465" s="919"/>
      <c r="J1465" s="919"/>
      <c r="K1465" s="919"/>
      <c r="L1465" s="919"/>
      <c r="O1465" s="339"/>
      <c r="T1465" s="75"/>
      <c r="U1465" s="75"/>
      <c r="V1465" s="75"/>
      <c r="W1465" s="75"/>
      <c r="X1465" s="75"/>
      <c r="Y1465" s="340"/>
      <c r="Z1465" s="341"/>
      <c r="AA1465" s="341"/>
      <c r="AB1465" s="341"/>
      <c r="AC1465" s="340"/>
      <c r="AD1465" s="75"/>
      <c r="AE1465" s="75"/>
      <c r="AF1465" s="75"/>
      <c r="AG1465" s="344"/>
      <c r="AH1465" s="344"/>
      <c r="AI1465" s="344"/>
      <c r="AJ1465" s="97"/>
      <c r="AK1465" s="4"/>
    </row>
    <row r="1466" spans="2:37" s="113" customFormat="1" x14ac:dyDescent="0.4">
      <c r="B1466" s="80"/>
      <c r="C1466" s="563">
        <v>1053</v>
      </c>
      <c r="D1466" s="907"/>
      <c r="E1466" s="906"/>
      <c r="F1466" s="921" t="str">
        <f t="shared" si="68"/>
        <v/>
      </c>
      <c r="G1466" s="882" t="str">
        <f t="shared" si="69"/>
        <v/>
      </c>
      <c r="H1466" s="925"/>
      <c r="I1466" s="919"/>
      <c r="J1466" s="919"/>
      <c r="K1466" s="919"/>
      <c r="L1466" s="919"/>
      <c r="O1466" s="339"/>
      <c r="T1466" s="75"/>
      <c r="U1466" s="75"/>
      <c r="V1466" s="75"/>
      <c r="W1466" s="75"/>
      <c r="X1466" s="75"/>
      <c r="Y1466" s="340"/>
      <c r="Z1466" s="341"/>
      <c r="AA1466" s="341"/>
      <c r="AB1466" s="341"/>
      <c r="AC1466" s="340"/>
      <c r="AD1466" s="75"/>
      <c r="AE1466" s="75"/>
      <c r="AF1466" s="75"/>
      <c r="AG1466" s="344"/>
      <c r="AH1466" s="344"/>
      <c r="AI1466" s="344"/>
      <c r="AJ1466" s="97"/>
      <c r="AK1466" s="4"/>
    </row>
    <row r="1467" spans="2:37" s="113" customFormat="1" x14ac:dyDescent="0.4">
      <c r="B1467" s="80"/>
      <c r="C1467" s="563">
        <v>1054</v>
      </c>
      <c r="D1467" s="907"/>
      <c r="E1467" s="906"/>
      <c r="F1467" s="921" t="str">
        <f t="shared" si="68"/>
        <v/>
      </c>
      <c r="G1467" s="882" t="str">
        <f t="shared" si="69"/>
        <v/>
      </c>
      <c r="H1467" s="925"/>
      <c r="I1467" s="919"/>
      <c r="J1467" s="919"/>
      <c r="K1467" s="919"/>
      <c r="L1467" s="919"/>
      <c r="O1467" s="339"/>
      <c r="T1467" s="75"/>
      <c r="U1467" s="75"/>
      <c r="V1467" s="75"/>
      <c r="W1467" s="75"/>
      <c r="X1467" s="75"/>
      <c r="Y1467" s="340"/>
      <c r="Z1467" s="341"/>
      <c r="AA1467" s="341"/>
      <c r="AB1467" s="341"/>
      <c r="AC1467" s="340"/>
      <c r="AD1467" s="75"/>
      <c r="AE1467" s="75"/>
      <c r="AF1467" s="75"/>
      <c r="AG1467" s="344"/>
      <c r="AH1467" s="344"/>
      <c r="AI1467" s="344"/>
      <c r="AJ1467" s="97"/>
      <c r="AK1467" s="4"/>
    </row>
    <row r="1468" spans="2:37" s="113" customFormat="1" x14ac:dyDescent="0.4">
      <c r="B1468" s="80"/>
      <c r="C1468" s="563">
        <v>1055</v>
      </c>
      <c r="D1468" s="907"/>
      <c r="E1468" s="906"/>
      <c r="F1468" s="921" t="str">
        <f t="shared" si="68"/>
        <v/>
      </c>
      <c r="G1468" s="882" t="str">
        <f t="shared" si="69"/>
        <v/>
      </c>
      <c r="H1468" s="925"/>
      <c r="I1468" s="919"/>
      <c r="J1468" s="919"/>
      <c r="K1468" s="919"/>
      <c r="L1468" s="919"/>
      <c r="O1468" s="339"/>
      <c r="T1468" s="75"/>
      <c r="U1468" s="75"/>
      <c r="V1468" s="75"/>
      <c r="W1468" s="75"/>
      <c r="X1468" s="75"/>
      <c r="Y1468" s="340"/>
      <c r="Z1468" s="341"/>
      <c r="AA1468" s="341"/>
      <c r="AB1468" s="341"/>
      <c r="AC1468" s="340"/>
      <c r="AD1468" s="75"/>
      <c r="AE1468" s="75"/>
      <c r="AF1468" s="75"/>
      <c r="AG1468" s="344"/>
      <c r="AH1468" s="344"/>
      <c r="AI1468" s="344"/>
      <c r="AJ1468" s="97"/>
      <c r="AK1468" s="4"/>
    </row>
    <row r="1469" spans="2:37" s="113" customFormat="1" x14ac:dyDescent="0.4">
      <c r="B1469" s="80"/>
      <c r="C1469" s="563">
        <v>1056</v>
      </c>
      <c r="D1469" s="907"/>
      <c r="E1469" s="906"/>
      <c r="F1469" s="921" t="str">
        <f t="shared" si="68"/>
        <v/>
      </c>
      <c r="G1469" s="882" t="str">
        <f t="shared" si="69"/>
        <v/>
      </c>
      <c r="H1469" s="925"/>
      <c r="I1469" s="919"/>
      <c r="J1469" s="919"/>
      <c r="K1469" s="919"/>
      <c r="L1469" s="919"/>
      <c r="O1469" s="339"/>
      <c r="T1469" s="75"/>
      <c r="U1469" s="75"/>
      <c r="V1469" s="75"/>
      <c r="W1469" s="75"/>
      <c r="X1469" s="75"/>
      <c r="Y1469" s="340"/>
      <c r="Z1469" s="341"/>
      <c r="AA1469" s="341"/>
      <c r="AB1469" s="341"/>
      <c r="AC1469" s="340"/>
      <c r="AD1469" s="75"/>
      <c r="AE1469" s="75"/>
      <c r="AF1469" s="75"/>
      <c r="AG1469" s="344"/>
      <c r="AH1469" s="344"/>
      <c r="AI1469" s="344"/>
      <c r="AJ1469" s="97"/>
      <c r="AK1469" s="4"/>
    </row>
    <row r="1470" spans="2:37" s="113" customFormat="1" x14ac:dyDescent="0.4">
      <c r="B1470" s="80"/>
      <c r="C1470" s="563">
        <v>1057</v>
      </c>
      <c r="D1470" s="907"/>
      <c r="E1470" s="906"/>
      <c r="F1470" s="921" t="str">
        <f t="shared" si="68"/>
        <v/>
      </c>
      <c r="G1470" s="882" t="str">
        <f t="shared" si="69"/>
        <v/>
      </c>
      <c r="H1470" s="925"/>
      <c r="I1470" s="919"/>
      <c r="J1470" s="919"/>
      <c r="K1470" s="919"/>
      <c r="L1470" s="919"/>
      <c r="O1470" s="339"/>
      <c r="T1470" s="75"/>
      <c r="U1470" s="75"/>
      <c r="V1470" s="75"/>
      <c r="W1470" s="75"/>
      <c r="X1470" s="75"/>
      <c r="Y1470" s="340"/>
      <c r="Z1470" s="341"/>
      <c r="AA1470" s="341"/>
      <c r="AB1470" s="341"/>
      <c r="AC1470" s="340"/>
      <c r="AD1470" s="75"/>
      <c r="AE1470" s="75"/>
      <c r="AF1470" s="75"/>
      <c r="AG1470" s="344"/>
      <c r="AH1470" s="344"/>
      <c r="AI1470" s="344"/>
      <c r="AJ1470" s="97"/>
      <c r="AK1470" s="4"/>
    </row>
    <row r="1471" spans="2:37" s="113" customFormat="1" x14ac:dyDescent="0.4">
      <c r="B1471" s="80"/>
      <c r="C1471" s="563">
        <v>1058</v>
      </c>
      <c r="D1471" s="907"/>
      <c r="E1471" s="906"/>
      <c r="F1471" s="921" t="str">
        <f t="shared" si="68"/>
        <v/>
      </c>
      <c r="G1471" s="882" t="str">
        <f t="shared" si="69"/>
        <v/>
      </c>
      <c r="H1471" s="925"/>
      <c r="I1471" s="919"/>
      <c r="J1471" s="919"/>
      <c r="K1471" s="919"/>
      <c r="L1471" s="919"/>
      <c r="O1471" s="339"/>
      <c r="T1471" s="75"/>
      <c r="U1471" s="75"/>
      <c r="V1471" s="75"/>
      <c r="W1471" s="75"/>
      <c r="X1471" s="75"/>
      <c r="Y1471" s="340"/>
      <c r="Z1471" s="341"/>
      <c r="AA1471" s="341"/>
      <c r="AB1471" s="341"/>
      <c r="AC1471" s="340"/>
      <c r="AD1471" s="75"/>
      <c r="AE1471" s="75"/>
      <c r="AF1471" s="75"/>
      <c r="AG1471" s="344"/>
      <c r="AH1471" s="344"/>
      <c r="AI1471" s="344"/>
      <c r="AJ1471" s="97"/>
      <c r="AK1471" s="4"/>
    </row>
    <row r="1472" spans="2:37" s="113" customFormat="1" x14ac:dyDescent="0.4">
      <c r="B1472" s="80"/>
      <c r="C1472" s="563">
        <v>1059</v>
      </c>
      <c r="D1472" s="907"/>
      <c r="E1472" s="906"/>
      <c r="F1472" s="921" t="str">
        <f t="shared" si="68"/>
        <v/>
      </c>
      <c r="G1472" s="882" t="str">
        <f t="shared" si="69"/>
        <v/>
      </c>
      <c r="H1472" s="925"/>
      <c r="I1472" s="919"/>
      <c r="J1472" s="919"/>
      <c r="K1472" s="919"/>
      <c r="L1472" s="919"/>
      <c r="O1472" s="339"/>
      <c r="T1472" s="75"/>
      <c r="U1472" s="75"/>
      <c r="V1472" s="75"/>
      <c r="W1472" s="75"/>
      <c r="X1472" s="75"/>
      <c r="Y1472" s="340"/>
      <c r="Z1472" s="341"/>
      <c r="AA1472" s="341"/>
      <c r="AB1472" s="341"/>
      <c r="AC1472" s="340"/>
      <c r="AD1472" s="75"/>
      <c r="AE1472" s="75"/>
      <c r="AF1472" s="75"/>
      <c r="AG1472" s="344"/>
      <c r="AH1472" s="344"/>
      <c r="AI1472" s="344"/>
      <c r="AJ1472" s="97"/>
      <c r="AK1472" s="4"/>
    </row>
    <row r="1473" spans="2:37" s="113" customFormat="1" x14ac:dyDescent="0.4">
      <c r="B1473" s="80"/>
      <c r="C1473" s="563">
        <v>1060</v>
      </c>
      <c r="D1473" s="907"/>
      <c r="E1473" s="906"/>
      <c r="F1473" s="921" t="str">
        <f t="shared" si="68"/>
        <v/>
      </c>
      <c r="G1473" s="882" t="str">
        <f t="shared" si="69"/>
        <v/>
      </c>
      <c r="H1473" s="925"/>
      <c r="I1473" s="919"/>
      <c r="J1473" s="919"/>
      <c r="K1473" s="919"/>
      <c r="L1473" s="919"/>
      <c r="O1473" s="339"/>
      <c r="T1473" s="75"/>
      <c r="U1473" s="75"/>
      <c r="V1473" s="75"/>
      <c r="W1473" s="75"/>
      <c r="X1473" s="75"/>
      <c r="Y1473" s="340"/>
      <c r="Z1473" s="341"/>
      <c r="AA1473" s="341"/>
      <c r="AB1473" s="341"/>
      <c r="AC1473" s="340"/>
      <c r="AD1473" s="75"/>
      <c r="AE1473" s="75"/>
      <c r="AF1473" s="75"/>
      <c r="AG1473" s="344"/>
      <c r="AH1473" s="344"/>
      <c r="AI1473" s="344"/>
      <c r="AJ1473" s="97"/>
      <c r="AK1473" s="4"/>
    </row>
    <row r="1474" spans="2:37" s="113" customFormat="1" x14ac:dyDescent="0.4">
      <c r="B1474" s="80"/>
      <c r="C1474" s="563">
        <v>1061</v>
      </c>
      <c r="D1474" s="907"/>
      <c r="E1474" s="906"/>
      <c r="F1474" s="921" t="str">
        <f t="shared" si="68"/>
        <v/>
      </c>
      <c r="G1474" s="882" t="str">
        <f t="shared" si="69"/>
        <v/>
      </c>
      <c r="H1474" s="925"/>
      <c r="I1474" s="919"/>
      <c r="J1474" s="919"/>
      <c r="K1474" s="919"/>
      <c r="L1474" s="919"/>
      <c r="O1474" s="339"/>
      <c r="T1474" s="75"/>
      <c r="U1474" s="75"/>
      <c r="V1474" s="75"/>
      <c r="W1474" s="75"/>
      <c r="X1474" s="75"/>
      <c r="Y1474" s="340"/>
      <c r="Z1474" s="341"/>
      <c r="AA1474" s="341"/>
      <c r="AB1474" s="341"/>
      <c r="AC1474" s="340"/>
      <c r="AD1474" s="75"/>
      <c r="AE1474" s="75"/>
      <c r="AF1474" s="75"/>
      <c r="AG1474" s="344"/>
      <c r="AH1474" s="344"/>
      <c r="AI1474" s="344"/>
      <c r="AJ1474" s="97"/>
      <c r="AK1474" s="4"/>
    </row>
    <row r="1475" spans="2:37" s="113" customFormat="1" x14ac:dyDescent="0.4">
      <c r="B1475" s="80"/>
      <c r="C1475" s="563">
        <v>1062</v>
      </c>
      <c r="D1475" s="907"/>
      <c r="E1475" s="906"/>
      <c r="F1475" s="921" t="str">
        <f t="shared" si="68"/>
        <v/>
      </c>
      <c r="G1475" s="882" t="str">
        <f t="shared" si="69"/>
        <v/>
      </c>
      <c r="H1475" s="925"/>
      <c r="I1475" s="919"/>
      <c r="J1475" s="919"/>
      <c r="K1475" s="919"/>
      <c r="L1475" s="919"/>
      <c r="O1475" s="339"/>
      <c r="T1475" s="75"/>
      <c r="U1475" s="75"/>
      <c r="V1475" s="75"/>
      <c r="W1475" s="75"/>
      <c r="X1475" s="75"/>
      <c r="Y1475" s="340"/>
      <c r="Z1475" s="341"/>
      <c r="AA1475" s="341"/>
      <c r="AB1475" s="341"/>
      <c r="AC1475" s="340"/>
      <c r="AD1475" s="75"/>
      <c r="AE1475" s="75"/>
      <c r="AF1475" s="75"/>
      <c r="AG1475" s="344"/>
      <c r="AH1475" s="344"/>
      <c r="AI1475" s="344"/>
      <c r="AJ1475" s="97"/>
      <c r="AK1475" s="4"/>
    </row>
    <row r="1476" spans="2:37" s="113" customFormat="1" x14ac:dyDescent="0.4">
      <c r="B1476" s="80"/>
      <c r="C1476" s="563">
        <v>1063</v>
      </c>
      <c r="D1476" s="907"/>
      <c r="E1476" s="906"/>
      <c r="F1476" s="921" t="str">
        <f t="shared" si="68"/>
        <v/>
      </c>
      <c r="G1476" s="882" t="str">
        <f t="shared" si="69"/>
        <v/>
      </c>
      <c r="H1476" s="925"/>
      <c r="I1476" s="919"/>
      <c r="J1476" s="919"/>
      <c r="K1476" s="919"/>
      <c r="L1476" s="919"/>
      <c r="O1476" s="339"/>
      <c r="T1476" s="75"/>
      <c r="U1476" s="75"/>
      <c r="V1476" s="75"/>
      <c r="W1476" s="75"/>
      <c r="X1476" s="75"/>
      <c r="Y1476" s="340"/>
      <c r="Z1476" s="341"/>
      <c r="AA1476" s="341"/>
      <c r="AB1476" s="341"/>
      <c r="AC1476" s="340"/>
      <c r="AD1476" s="75"/>
      <c r="AE1476" s="75"/>
      <c r="AF1476" s="75"/>
      <c r="AG1476" s="344"/>
      <c r="AH1476" s="344"/>
      <c r="AI1476" s="344"/>
      <c r="AJ1476" s="97"/>
      <c r="AK1476" s="4"/>
    </row>
    <row r="1477" spans="2:37" s="113" customFormat="1" x14ac:dyDescent="0.4">
      <c r="B1477" s="80"/>
      <c r="C1477" s="563">
        <v>1064</v>
      </c>
      <c r="D1477" s="907"/>
      <c r="E1477" s="906"/>
      <c r="F1477" s="921" t="str">
        <f t="shared" si="68"/>
        <v/>
      </c>
      <c r="G1477" s="882" t="str">
        <f t="shared" si="69"/>
        <v/>
      </c>
      <c r="H1477" s="925"/>
      <c r="I1477" s="919"/>
      <c r="J1477" s="919"/>
      <c r="K1477" s="919"/>
      <c r="L1477" s="919"/>
      <c r="O1477" s="339"/>
      <c r="T1477" s="75"/>
      <c r="U1477" s="75"/>
      <c r="V1477" s="75"/>
      <c r="W1477" s="75"/>
      <c r="X1477" s="75"/>
      <c r="Y1477" s="340"/>
      <c r="Z1477" s="341"/>
      <c r="AA1477" s="341"/>
      <c r="AB1477" s="341"/>
      <c r="AC1477" s="340"/>
      <c r="AD1477" s="75"/>
      <c r="AE1477" s="75"/>
      <c r="AF1477" s="75"/>
      <c r="AG1477" s="344"/>
      <c r="AH1477" s="344"/>
      <c r="AI1477" s="344"/>
      <c r="AJ1477" s="97"/>
      <c r="AK1477" s="4"/>
    </row>
    <row r="1478" spans="2:37" s="113" customFormat="1" x14ac:dyDescent="0.4">
      <c r="B1478" s="80"/>
      <c r="C1478" s="563">
        <v>1065</v>
      </c>
      <c r="D1478" s="907"/>
      <c r="E1478" s="906"/>
      <c r="F1478" s="921" t="str">
        <f t="shared" si="68"/>
        <v/>
      </c>
      <c r="G1478" s="882" t="str">
        <f t="shared" si="69"/>
        <v/>
      </c>
      <c r="H1478" s="925"/>
      <c r="I1478" s="919"/>
      <c r="J1478" s="919"/>
      <c r="K1478" s="919"/>
      <c r="L1478" s="919"/>
      <c r="O1478" s="339"/>
      <c r="T1478" s="75"/>
      <c r="U1478" s="75"/>
      <c r="V1478" s="75"/>
      <c r="W1478" s="75"/>
      <c r="X1478" s="75"/>
      <c r="Y1478" s="340"/>
      <c r="Z1478" s="341"/>
      <c r="AA1478" s="341"/>
      <c r="AB1478" s="341"/>
      <c r="AC1478" s="340"/>
      <c r="AD1478" s="75"/>
      <c r="AE1478" s="75"/>
      <c r="AF1478" s="75"/>
      <c r="AG1478" s="344"/>
      <c r="AH1478" s="344"/>
      <c r="AI1478" s="344"/>
      <c r="AJ1478" s="97"/>
      <c r="AK1478" s="4"/>
    </row>
    <row r="1479" spans="2:37" s="113" customFormat="1" x14ac:dyDescent="0.4">
      <c r="B1479" s="80"/>
      <c r="C1479" s="563">
        <v>1066</v>
      </c>
      <c r="D1479" s="907"/>
      <c r="E1479" s="906"/>
      <c r="F1479" s="921" t="str">
        <f t="shared" si="68"/>
        <v/>
      </c>
      <c r="G1479" s="882" t="str">
        <f t="shared" si="69"/>
        <v/>
      </c>
      <c r="H1479" s="925"/>
      <c r="I1479" s="919"/>
      <c r="J1479" s="919"/>
      <c r="K1479" s="919"/>
      <c r="L1479" s="919"/>
      <c r="O1479" s="339"/>
      <c r="T1479" s="75"/>
      <c r="U1479" s="75"/>
      <c r="V1479" s="75"/>
      <c r="W1479" s="75"/>
      <c r="X1479" s="75"/>
      <c r="Y1479" s="340"/>
      <c r="Z1479" s="341"/>
      <c r="AA1479" s="341"/>
      <c r="AB1479" s="341"/>
      <c r="AC1479" s="340"/>
      <c r="AD1479" s="75"/>
      <c r="AE1479" s="75"/>
      <c r="AF1479" s="75"/>
      <c r="AG1479" s="344"/>
      <c r="AH1479" s="344"/>
      <c r="AI1479" s="344"/>
      <c r="AJ1479" s="97"/>
      <c r="AK1479" s="4"/>
    </row>
    <row r="1480" spans="2:37" s="113" customFormat="1" x14ac:dyDescent="0.4">
      <c r="B1480" s="80"/>
      <c r="C1480" s="563">
        <v>1067</v>
      </c>
      <c r="D1480" s="907"/>
      <c r="E1480" s="906"/>
      <c r="F1480" s="921" t="str">
        <f t="shared" si="68"/>
        <v/>
      </c>
      <c r="G1480" s="882" t="str">
        <f t="shared" si="69"/>
        <v/>
      </c>
      <c r="H1480" s="925"/>
      <c r="I1480" s="919"/>
      <c r="J1480" s="919"/>
      <c r="K1480" s="919"/>
      <c r="L1480" s="919"/>
      <c r="O1480" s="339"/>
      <c r="T1480" s="75"/>
      <c r="U1480" s="75"/>
      <c r="V1480" s="75"/>
      <c r="W1480" s="75"/>
      <c r="X1480" s="75"/>
      <c r="Y1480" s="340"/>
      <c r="Z1480" s="341"/>
      <c r="AA1480" s="341"/>
      <c r="AB1480" s="341"/>
      <c r="AC1480" s="340"/>
      <c r="AD1480" s="75"/>
      <c r="AE1480" s="75"/>
      <c r="AF1480" s="75"/>
      <c r="AG1480" s="344"/>
      <c r="AH1480" s="344"/>
      <c r="AI1480" s="344"/>
      <c r="AJ1480" s="97"/>
      <c r="AK1480" s="4"/>
    </row>
    <row r="1481" spans="2:37" s="113" customFormat="1" x14ac:dyDescent="0.4">
      <c r="B1481" s="80"/>
      <c r="C1481" s="563">
        <v>1068</v>
      </c>
      <c r="D1481" s="907"/>
      <c r="E1481" s="906"/>
      <c r="F1481" s="921" t="str">
        <f t="shared" si="68"/>
        <v/>
      </c>
      <c r="G1481" s="882" t="str">
        <f t="shared" si="69"/>
        <v/>
      </c>
      <c r="H1481" s="925"/>
      <c r="I1481" s="919"/>
      <c r="J1481" s="919"/>
      <c r="K1481" s="919"/>
      <c r="L1481" s="919"/>
      <c r="O1481" s="339"/>
      <c r="T1481" s="75"/>
      <c r="U1481" s="75"/>
      <c r="V1481" s="75"/>
      <c r="W1481" s="75"/>
      <c r="X1481" s="75"/>
      <c r="Y1481" s="340"/>
      <c r="Z1481" s="341"/>
      <c r="AA1481" s="341"/>
      <c r="AB1481" s="341"/>
      <c r="AC1481" s="340"/>
      <c r="AD1481" s="75"/>
      <c r="AE1481" s="75"/>
      <c r="AF1481" s="75"/>
      <c r="AG1481" s="344"/>
      <c r="AH1481" s="344"/>
      <c r="AI1481" s="344"/>
      <c r="AJ1481" s="97"/>
      <c r="AK1481" s="4"/>
    </row>
    <row r="1482" spans="2:37" s="113" customFormat="1" x14ac:dyDescent="0.4">
      <c r="B1482" s="80"/>
      <c r="C1482" s="563">
        <v>1069</v>
      </c>
      <c r="D1482" s="907"/>
      <c r="E1482" s="906"/>
      <c r="F1482" s="921" t="str">
        <f t="shared" si="68"/>
        <v/>
      </c>
      <c r="G1482" s="882" t="str">
        <f t="shared" si="69"/>
        <v/>
      </c>
      <c r="H1482" s="925"/>
      <c r="I1482" s="919"/>
      <c r="J1482" s="919"/>
      <c r="K1482" s="919"/>
      <c r="L1482" s="919"/>
      <c r="O1482" s="339"/>
      <c r="T1482" s="75"/>
      <c r="U1482" s="75"/>
      <c r="V1482" s="75"/>
      <c r="W1482" s="75"/>
      <c r="X1482" s="75"/>
      <c r="Y1482" s="340"/>
      <c r="Z1482" s="341"/>
      <c r="AA1482" s="341"/>
      <c r="AB1482" s="341"/>
      <c r="AC1482" s="340"/>
      <c r="AD1482" s="75"/>
      <c r="AE1482" s="75"/>
      <c r="AF1482" s="75"/>
      <c r="AG1482" s="344"/>
      <c r="AH1482" s="344"/>
      <c r="AI1482" s="344"/>
      <c r="AJ1482" s="97"/>
      <c r="AK1482" s="4"/>
    </row>
    <row r="1483" spans="2:37" s="113" customFormat="1" x14ac:dyDescent="0.4">
      <c r="B1483" s="80"/>
      <c r="C1483" s="563">
        <v>1070</v>
      </c>
      <c r="D1483" s="907"/>
      <c r="E1483" s="906"/>
      <c r="F1483" s="921" t="str">
        <f t="shared" si="68"/>
        <v/>
      </c>
      <c r="G1483" s="882" t="str">
        <f t="shared" si="69"/>
        <v/>
      </c>
      <c r="H1483" s="925"/>
      <c r="I1483" s="919"/>
      <c r="J1483" s="919"/>
      <c r="K1483" s="919"/>
      <c r="L1483" s="919"/>
      <c r="O1483" s="339"/>
      <c r="T1483" s="75"/>
      <c r="U1483" s="75"/>
      <c r="V1483" s="75"/>
      <c r="W1483" s="75"/>
      <c r="X1483" s="75"/>
      <c r="Y1483" s="340"/>
      <c r="Z1483" s="341"/>
      <c r="AA1483" s="341"/>
      <c r="AB1483" s="341"/>
      <c r="AC1483" s="340"/>
      <c r="AD1483" s="75"/>
      <c r="AE1483" s="75"/>
      <c r="AF1483" s="75"/>
      <c r="AG1483" s="344"/>
      <c r="AH1483" s="344"/>
      <c r="AI1483" s="344"/>
      <c r="AJ1483" s="97"/>
      <c r="AK1483" s="4"/>
    </row>
    <row r="1484" spans="2:37" s="113" customFormat="1" x14ac:dyDescent="0.4">
      <c r="B1484" s="80"/>
      <c r="C1484" s="563">
        <v>1071</v>
      </c>
      <c r="D1484" s="907"/>
      <c r="E1484" s="906"/>
      <c r="F1484" s="921" t="str">
        <f t="shared" si="68"/>
        <v/>
      </c>
      <c r="G1484" s="882" t="str">
        <f t="shared" si="69"/>
        <v/>
      </c>
      <c r="H1484" s="925"/>
      <c r="I1484" s="919"/>
      <c r="J1484" s="919"/>
      <c r="K1484" s="919"/>
      <c r="L1484" s="919"/>
      <c r="O1484" s="339"/>
      <c r="T1484" s="75"/>
      <c r="U1484" s="75"/>
      <c r="V1484" s="75"/>
      <c r="W1484" s="75"/>
      <c r="X1484" s="75"/>
      <c r="Y1484" s="340"/>
      <c r="Z1484" s="341"/>
      <c r="AA1484" s="341"/>
      <c r="AB1484" s="341"/>
      <c r="AC1484" s="340"/>
      <c r="AD1484" s="75"/>
      <c r="AE1484" s="75"/>
      <c r="AF1484" s="75"/>
      <c r="AG1484" s="344"/>
      <c r="AH1484" s="344"/>
      <c r="AI1484" s="344"/>
      <c r="AJ1484" s="97"/>
      <c r="AK1484" s="4"/>
    </row>
    <row r="1485" spans="2:37" s="113" customFormat="1" x14ac:dyDescent="0.4">
      <c r="B1485" s="80"/>
      <c r="C1485" s="563">
        <v>1072</v>
      </c>
      <c r="D1485" s="907"/>
      <c r="E1485" s="906"/>
      <c r="F1485" s="921" t="str">
        <f t="shared" si="68"/>
        <v/>
      </c>
      <c r="G1485" s="882" t="str">
        <f t="shared" si="69"/>
        <v/>
      </c>
      <c r="H1485" s="925"/>
      <c r="I1485" s="919"/>
      <c r="J1485" s="919"/>
      <c r="K1485" s="919"/>
      <c r="L1485" s="919"/>
      <c r="O1485" s="339"/>
      <c r="T1485" s="75"/>
      <c r="U1485" s="75"/>
      <c r="V1485" s="75"/>
      <c r="W1485" s="75"/>
      <c r="X1485" s="75"/>
      <c r="Y1485" s="340"/>
      <c r="Z1485" s="341"/>
      <c r="AA1485" s="341"/>
      <c r="AB1485" s="341"/>
      <c r="AC1485" s="340"/>
      <c r="AD1485" s="75"/>
      <c r="AE1485" s="75"/>
      <c r="AF1485" s="75"/>
      <c r="AG1485" s="344"/>
      <c r="AH1485" s="344"/>
      <c r="AI1485" s="344"/>
      <c r="AJ1485" s="97"/>
      <c r="AK1485" s="4"/>
    </row>
    <row r="1486" spans="2:37" s="113" customFormat="1" x14ac:dyDescent="0.4">
      <c r="B1486" s="80"/>
      <c r="C1486" s="563">
        <v>1073</v>
      </c>
      <c r="D1486" s="907"/>
      <c r="E1486" s="906"/>
      <c r="F1486" s="921" t="str">
        <f t="shared" si="68"/>
        <v/>
      </c>
      <c r="G1486" s="882" t="str">
        <f t="shared" si="69"/>
        <v/>
      </c>
      <c r="H1486" s="925"/>
      <c r="I1486" s="919"/>
      <c r="J1486" s="919"/>
      <c r="K1486" s="919"/>
      <c r="L1486" s="919"/>
      <c r="O1486" s="339"/>
      <c r="T1486" s="75"/>
      <c r="U1486" s="75"/>
      <c r="V1486" s="75"/>
      <c r="W1486" s="75"/>
      <c r="X1486" s="75"/>
      <c r="Y1486" s="340"/>
      <c r="Z1486" s="341"/>
      <c r="AA1486" s="341"/>
      <c r="AB1486" s="341"/>
      <c r="AC1486" s="340"/>
      <c r="AD1486" s="75"/>
      <c r="AE1486" s="75"/>
      <c r="AF1486" s="75"/>
      <c r="AG1486" s="344"/>
      <c r="AH1486" s="344"/>
      <c r="AI1486" s="344"/>
      <c r="AJ1486" s="97"/>
      <c r="AK1486" s="4"/>
    </row>
    <row r="1487" spans="2:37" s="113" customFormat="1" x14ac:dyDescent="0.4">
      <c r="B1487" s="80"/>
      <c r="C1487" s="563">
        <v>1074</v>
      </c>
      <c r="D1487" s="907"/>
      <c r="E1487" s="906"/>
      <c r="F1487" s="921" t="str">
        <f t="shared" si="68"/>
        <v/>
      </c>
      <c r="G1487" s="882" t="str">
        <f t="shared" si="69"/>
        <v/>
      </c>
      <c r="H1487" s="925"/>
      <c r="I1487" s="919"/>
      <c r="J1487" s="919"/>
      <c r="K1487" s="919"/>
      <c r="L1487" s="919"/>
      <c r="O1487" s="339"/>
      <c r="T1487" s="75"/>
      <c r="U1487" s="75"/>
      <c r="V1487" s="75"/>
      <c r="W1487" s="75"/>
      <c r="X1487" s="75"/>
      <c r="Y1487" s="340"/>
      <c r="Z1487" s="341"/>
      <c r="AA1487" s="341"/>
      <c r="AB1487" s="341"/>
      <c r="AC1487" s="340"/>
      <c r="AD1487" s="75"/>
      <c r="AE1487" s="75"/>
      <c r="AF1487" s="75"/>
      <c r="AG1487" s="344"/>
      <c r="AH1487" s="344"/>
      <c r="AI1487" s="344"/>
      <c r="AJ1487" s="97"/>
      <c r="AK1487" s="4"/>
    </row>
    <row r="1488" spans="2:37" s="113" customFormat="1" x14ac:dyDescent="0.4">
      <c r="B1488" s="80"/>
      <c r="C1488" s="563">
        <v>1075</v>
      </c>
      <c r="D1488" s="907"/>
      <c r="E1488" s="906"/>
      <c r="F1488" s="921" t="str">
        <f t="shared" si="68"/>
        <v/>
      </c>
      <c r="G1488" s="882" t="str">
        <f t="shared" si="69"/>
        <v/>
      </c>
      <c r="H1488" s="925"/>
      <c r="I1488" s="919"/>
      <c r="J1488" s="919"/>
      <c r="K1488" s="919"/>
      <c r="L1488" s="919"/>
      <c r="O1488" s="339"/>
      <c r="T1488" s="75"/>
      <c r="U1488" s="75"/>
      <c r="V1488" s="75"/>
      <c r="W1488" s="75"/>
      <c r="X1488" s="75"/>
      <c r="Y1488" s="340"/>
      <c r="Z1488" s="341"/>
      <c r="AA1488" s="341"/>
      <c r="AB1488" s="341"/>
      <c r="AC1488" s="340"/>
      <c r="AD1488" s="75"/>
      <c r="AE1488" s="75"/>
      <c r="AF1488" s="75"/>
      <c r="AG1488" s="344"/>
      <c r="AH1488" s="344"/>
      <c r="AI1488" s="344"/>
      <c r="AJ1488" s="97"/>
      <c r="AK1488" s="4"/>
    </row>
    <row r="1489" spans="2:37" s="113" customFormat="1" x14ac:dyDescent="0.4">
      <c r="B1489" s="80"/>
      <c r="C1489" s="563">
        <v>1076</v>
      </c>
      <c r="D1489" s="907"/>
      <c r="E1489" s="906"/>
      <c r="F1489" s="921" t="str">
        <f t="shared" si="68"/>
        <v/>
      </c>
      <c r="G1489" s="882" t="str">
        <f t="shared" si="69"/>
        <v/>
      </c>
      <c r="H1489" s="925"/>
      <c r="I1489" s="919"/>
      <c r="J1489" s="919"/>
      <c r="K1489" s="919"/>
      <c r="L1489" s="919"/>
      <c r="O1489" s="339"/>
      <c r="T1489" s="75"/>
      <c r="U1489" s="75"/>
      <c r="V1489" s="75"/>
      <c r="W1489" s="75"/>
      <c r="X1489" s="75"/>
      <c r="Y1489" s="340"/>
      <c r="Z1489" s="341"/>
      <c r="AA1489" s="341"/>
      <c r="AB1489" s="341"/>
      <c r="AC1489" s="340"/>
      <c r="AD1489" s="75"/>
      <c r="AE1489" s="75"/>
      <c r="AF1489" s="75"/>
      <c r="AG1489" s="344"/>
      <c r="AH1489" s="344"/>
      <c r="AI1489" s="344"/>
      <c r="AJ1489" s="97"/>
      <c r="AK1489" s="4"/>
    </row>
    <row r="1490" spans="2:37" s="113" customFormat="1" x14ac:dyDescent="0.4">
      <c r="B1490" s="80"/>
      <c r="C1490" s="563">
        <v>1077</v>
      </c>
      <c r="D1490" s="907"/>
      <c r="E1490" s="906"/>
      <c r="F1490" s="921" t="str">
        <f t="shared" si="68"/>
        <v/>
      </c>
      <c r="G1490" s="882" t="str">
        <f t="shared" si="69"/>
        <v/>
      </c>
      <c r="H1490" s="925"/>
      <c r="I1490" s="919"/>
      <c r="J1490" s="919"/>
      <c r="K1490" s="919"/>
      <c r="L1490" s="919"/>
      <c r="O1490" s="339"/>
      <c r="T1490" s="75"/>
      <c r="U1490" s="75"/>
      <c r="V1490" s="75"/>
      <c r="W1490" s="75"/>
      <c r="X1490" s="75"/>
      <c r="Y1490" s="340"/>
      <c r="Z1490" s="341"/>
      <c r="AA1490" s="341"/>
      <c r="AB1490" s="341"/>
      <c r="AC1490" s="340"/>
      <c r="AD1490" s="75"/>
      <c r="AE1490" s="75"/>
      <c r="AF1490" s="75"/>
      <c r="AG1490" s="344"/>
      <c r="AH1490" s="344"/>
      <c r="AI1490" s="344"/>
      <c r="AJ1490" s="97"/>
      <c r="AK1490" s="4"/>
    </row>
    <row r="1491" spans="2:37" s="113" customFormat="1" x14ac:dyDescent="0.4">
      <c r="B1491" s="80"/>
      <c r="C1491" s="563">
        <v>1078</v>
      </c>
      <c r="D1491" s="907"/>
      <c r="E1491" s="906"/>
      <c r="F1491" s="921" t="str">
        <f t="shared" si="68"/>
        <v/>
      </c>
      <c r="G1491" s="882" t="str">
        <f t="shared" si="69"/>
        <v/>
      </c>
      <c r="H1491" s="925"/>
      <c r="I1491" s="919"/>
      <c r="J1491" s="919"/>
      <c r="K1491" s="919"/>
      <c r="L1491" s="919"/>
      <c r="O1491" s="339"/>
      <c r="T1491" s="75"/>
      <c r="U1491" s="75"/>
      <c r="V1491" s="75"/>
      <c r="W1491" s="75"/>
      <c r="X1491" s="75"/>
      <c r="Y1491" s="340"/>
      <c r="Z1491" s="341"/>
      <c r="AA1491" s="341"/>
      <c r="AB1491" s="341"/>
      <c r="AC1491" s="340"/>
      <c r="AD1491" s="75"/>
      <c r="AE1491" s="75"/>
      <c r="AF1491" s="75"/>
      <c r="AG1491" s="344"/>
      <c r="AH1491" s="344"/>
      <c r="AI1491" s="344"/>
      <c r="AJ1491" s="97"/>
      <c r="AK1491" s="4"/>
    </row>
    <row r="1492" spans="2:37" s="113" customFormat="1" x14ac:dyDescent="0.4">
      <c r="B1492" s="80"/>
      <c r="C1492" s="563">
        <v>1079</v>
      </c>
      <c r="D1492" s="907"/>
      <c r="E1492" s="906"/>
      <c r="F1492" s="921" t="str">
        <f t="shared" si="68"/>
        <v/>
      </c>
      <c r="G1492" s="882" t="str">
        <f t="shared" si="69"/>
        <v/>
      </c>
      <c r="H1492" s="925"/>
      <c r="I1492" s="919"/>
      <c r="J1492" s="919"/>
      <c r="K1492" s="919"/>
      <c r="L1492" s="919"/>
      <c r="O1492" s="339"/>
      <c r="T1492" s="75"/>
      <c r="U1492" s="75"/>
      <c r="V1492" s="75"/>
      <c r="W1492" s="75"/>
      <c r="X1492" s="75"/>
      <c r="Y1492" s="340"/>
      <c r="Z1492" s="341"/>
      <c r="AA1492" s="341"/>
      <c r="AB1492" s="341"/>
      <c r="AC1492" s="340"/>
      <c r="AD1492" s="75"/>
      <c r="AE1492" s="75"/>
      <c r="AF1492" s="75"/>
      <c r="AG1492" s="344"/>
      <c r="AH1492" s="344"/>
      <c r="AI1492" s="344"/>
      <c r="AJ1492" s="97"/>
      <c r="AK1492" s="4"/>
    </row>
    <row r="1493" spans="2:37" s="113" customFormat="1" x14ac:dyDescent="0.4">
      <c r="B1493" s="80"/>
      <c r="C1493" s="563">
        <v>1080</v>
      </c>
      <c r="D1493" s="907"/>
      <c r="E1493" s="906"/>
      <c r="F1493" s="921" t="str">
        <f t="shared" si="68"/>
        <v/>
      </c>
      <c r="G1493" s="882" t="str">
        <f t="shared" si="69"/>
        <v/>
      </c>
      <c r="H1493" s="925"/>
      <c r="I1493" s="919"/>
      <c r="J1493" s="919"/>
      <c r="K1493" s="919"/>
      <c r="L1493" s="919"/>
      <c r="O1493" s="339"/>
      <c r="T1493" s="75"/>
      <c r="U1493" s="75"/>
      <c r="V1493" s="75"/>
      <c r="W1493" s="75"/>
      <c r="X1493" s="75"/>
      <c r="Y1493" s="340"/>
      <c r="Z1493" s="341"/>
      <c r="AA1493" s="341"/>
      <c r="AB1493" s="341"/>
      <c r="AC1493" s="340"/>
      <c r="AD1493" s="75"/>
      <c r="AE1493" s="75"/>
      <c r="AF1493" s="75"/>
      <c r="AG1493" s="344"/>
      <c r="AH1493" s="344"/>
      <c r="AI1493" s="344"/>
      <c r="AJ1493" s="97"/>
      <c r="AK1493" s="4"/>
    </row>
    <row r="1494" spans="2:37" s="113" customFormat="1" x14ac:dyDescent="0.4">
      <c r="B1494" s="80"/>
      <c r="C1494" s="563">
        <v>1081</v>
      </c>
      <c r="D1494" s="907"/>
      <c r="E1494" s="906"/>
      <c r="F1494" s="921" t="str">
        <f t="shared" si="68"/>
        <v/>
      </c>
      <c r="G1494" s="882" t="str">
        <f t="shared" si="69"/>
        <v/>
      </c>
      <c r="H1494" s="925"/>
      <c r="I1494" s="919"/>
      <c r="J1494" s="919"/>
      <c r="K1494" s="919"/>
      <c r="L1494" s="919"/>
      <c r="O1494" s="339"/>
      <c r="T1494" s="75"/>
      <c r="U1494" s="75"/>
      <c r="V1494" s="75"/>
      <c r="W1494" s="75"/>
      <c r="X1494" s="75"/>
      <c r="Y1494" s="340"/>
      <c r="Z1494" s="341"/>
      <c r="AA1494" s="341"/>
      <c r="AB1494" s="341"/>
      <c r="AC1494" s="340"/>
      <c r="AD1494" s="75"/>
      <c r="AE1494" s="75"/>
      <c r="AF1494" s="75"/>
      <c r="AG1494" s="344"/>
      <c r="AH1494" s="344"/>
      <c r="AI1494" s="344"/>
      <c r="AJ1494" s="97"/>
      <c r="AK1494" s="4"/>
    </row>
    <row r="1495" spans="2:37" s="113" customFormat="1" x14ac:dyDescent="0.4">
      <c r="B1495" s="80"/>
      <c r="C1495" s="563">
        <v>1082</v>
      </c>
      <c r="D1495" s="907"/>
      <c r="E1495" s="906"/>
      <c r="F1495" s="921" t="str">
        <f t="shared" si="68"/>
        <v/>
      </c>
      <c r="G1495" s="882" t="str">
        <f t="shared" si="69"/>
        <v/>
      </c>
      <c r="H1495" s="925"/>
      <c r="I1495" s="919"/>
      <c r="J1495" s="919"/>
      <c r="K1495" s="919"/>
      <c r="L1495" s="919"/>
      <c r="O1495" s="339"/>
      <c r="T1495" s="75"/>
      <c r="U1495" s="75"/>
      <c r="V1495" s="75"/>
      <c r="W1495" s="75"/>
      <c r="X1495" s="75"/>
      <c r="Y1495" s="340"/>
      <c r="Z1495" s="341"/>
      <c r="AA1495" s="341"/>
      <c r="AB1495" s="341"/>
      <c r="AC1495" s="340"/>
      <c r="AD1495" s="75"/>
      <c r="AE1495" s="75"/>
      <c r="AF1495" s="75"/>
      <c r="AG1495" s="344"/>
      <c r="AH1495" s="344"/>
      <c r="AI1495" s="344"/>
      <c r="AJ1495" s="97"/>
      <c r="AK1495" s="4"/>
    </row>
    <row r="1496" spans="2:37" s="113" customFormat="1" x14ac:dyDescent="0.4">
      <c r="B1496" s="80"/>
      <c r="C1496" s="563">
        <v>1083</v>
      </c>
      <c r="D1496" s="907"/>
      <c r="E1496" s="906"/>
      <c r="F1496" s="921" t="str">
        <f t="shared" si="68"/>
        <v/>
      </c>
      <c r="G1496" s="882" t="str">
        <f t="shared" si="69"/>
        <v/>
      </c>
      <c r="H1496" s="925"/>
      <c r="I1496" s="919"/>
      <c r="J1496" s="919"/>
      <c r="K1496" s="919"/>
      <c r="L1496" s="919"/>
      <c r="O1496" s="339"/>
      <c r="T1496" s="75"/>
      <c r="U1496" s="75"/>
      <c r="V1496" s="75"/>
      <c r="W1496" s="75"/>
      <c r="X1496" s="75"/>
      <c r="Y1496" s="340"/>
      <c r="Z1496" s="341"/>
      <c r="AA1496" s="341"/>
      <c r="AB1496" s="341"/>
      <c r="AC1496" s="340"/>
      <c r="AD1496" s="75"/>
      <c r="AE1496" s="75"/>
      <c r="AF1496" s="75"/>
      <c r="AG1496" s="344"/>
      <c r="AH1496" s="344"/>
      <c r="AI1496" s="344"/>
      <c r="AJ1496" s="97"/>
      <c r="AK1496" s="4"/>
    </row>
    <row r="1497" spans="2:37" s="113" customFormat="1" x14ac:dyDescent="0.4">
      <c r="B1497" s="80"/>
      <c r="C1497" s="563">
        <v>1084</v>
      </c>
      <c r="D1497" s="907"/>
      <c r="E1497" s="906"/>
      <c r="F1497" s="921" t="str">
        <f t="shared" si="68"/>
        <v/>
      </c>
      <c r="G1497" s="882" t="str">
        <f t="shared" si="69"/>
        <v/>
      </c>
      <c r="H1497" s="925"/>
      <c r="I1497" s="919"/>
      <c r="J1497" s="919"/>
      <c r="K1497" s="919"/>
      <c r="L1497" s="919"/>
      <c r="O1497" s="339"/>
      <c r="T1497" s="75"/>
      <c r="U1497" s="75"/>
      <c r="V1497" s="75"/>
      <c r="W1497" s="75"/>
      <c r="X1497" s="75"/>
      <c r="Y1497" s="340"/>
      <c r="Z1497" s="341"/>
      <c r="AA1497" s="341"/>
      <c r="AB1497" s="341"/>
      <c r="AC1497" s="340"/>
      <c r="AD1497" s="75"/>
      <c r="AE1497" s="75"/>
      <c r="AF1497" s="75"/>
      <c r="AG1497" s="344"/>
      <c r="AH1497" s="344"/>
      <c r="AI1497" s="344"/>
      <c r="AJ1497" s="97"/>
      <c r="AK1497" s="4"/>
    </row>
    <row r="1498" spans="2:37" s="113" customFormat="1" x14ac:dyDescent="0.4">
      <c r="B1498" s="80"/>
      <c r="C1498" s="563">
        <v>1085</v>
      </c>
      <c r="D1498" s="907"/>
      <c r="E1498" s="906"/>
      <c r="F1498" s="921" t="str">
        <f t="shared" si="68"/>
        <v/>
      </c>
      <c r="G1498" s="882" t="str">
        <f t="shared" si="69"/>
        <v/>
      </c>
      <c r="H1498" s="925"/>
      <c r="I1498" s="919"/>
      <c r="J1498" s="919"/>
      <c r="K1498" s="919"/>
      <c r="L1498" s="919"/>
      <c r="O1498" s="339"/>
      <c r="T1498" s="75"/>
      <c r="U1498" s="75"/>
      <c r="V1498" s="75"/>
      <c r="W1498" s="75"/>
      <c r="X1498" s="75"/>
      <c r="Y1498" s="340"/>
      <c r="Z1498" s="341"/>
      <c r="AA1498" s="341"/>
      <c r="AB1498" s="341"/>
      <c r="AC1498" s="340"/>
      <c r="AD1498" s="75"/>
      <c r="AE1498" s="75"/>
      <c r="AF1498" s="75"/>
      <c r="AG1498" s="344"/>
      <c r="AH1498" s="344"/>
      <c r="AI1498" s="344"/>
      <c r="AJ1498" s="97"/>
      <c r="AK1498" s="4"/>
    </row>
    <row r="1499" spans="2:37" s="113" customFormat="1" x14ac:dyDescent="0.4">
      <c r="B1499" s="80"/>
      <c r="C1499" s="563">
        <v>1086</v>
      </c>
      <c r="D1499" s="907"/>
      <c r="E1499" s="906"/>
      <c r="F1499" s="921" t="str">
        <f t="shared" si="68"/>
        <v/>
      </c>
      <c r="G1499" s="882" t="str">
        <f t="shared" si="69"/>
        <v/>
      </c>
      <c r="H1499" s="925"/>
      <c r="I1499" s="919"/>
      <c r="J1499" s="919"/>
      <c r="K1499" s="919"/>
      <c r="L1499" s="919"/>
      <c r="O1499" s="339"/>
      <c r="T1499" s="75"/>
      <c r="U1499" s="75"/>
      <c r="V1499" s="75"/>
      <c r="W1499" s="75"/>
      <c r="X1499" s="75"/>
      <c r="Y1499" s="340"/>
      <c r="Z1499" s="341"/>
      <c r="AA1499" s="341"/>
      <c r="AB1499" s="341"/>
      <c r="AC1499" s="340"/>
      <c r="AD1499" s="75"/>
      <c r="AE1499" s="75"/>
      <c r="AF1499" s="75"/>
      <c r="AG1499" s="344"/>
      <c r="AH1499" s="344"/>
      <c r="AI1499" s="344"/>
      <c r="AJ1499" s="97"/>
      <c r="AK1499" s="4"/>
    </row>
    <row r="1500" spans="2:37" s="113" customFormat="1" x14ac:dyDescent="0.4">
      <c r="B1500" s="80"/>
      <c r="C1500" s="563">
        <v>1087</v>
      </c>
      <c r="D1500" s="907"/>
      <c r="E1500" s="906"/>
      <c r="F1500" s="921" t="str">
        <f t="shared" si="68"/>
        <v/>
      </c>
      <c r="G1500" s="882" t="str">
        <f t="shared" si="69"/>
        <v/>
      </c>
      <c r="H1500" s="925"/>
      <c r="I1500" s="919"/>
      <c r="J1500" s="919"/>
      <c r="K1500" s="919"/>
      <c r="L1500" s="919"/>
      <c r="O1500" s="339"/>
      <c r="T1500" s="75"/>
      <c r="U1500" s="75"/>
      <c r="V1500" s="75"/>
      <c r="W1500" s="75"/>
      <c r="X1500" s="75"/>
      <c r="Y1500" s="340"/>
      <c r="Z1500" s="341"/>
      <c r="AA1500" s="341"/>
      <c r="AB1500" s="341"/>
      <c r="AC1500" s="340"/>
      <c r="AD1500" s="75"/>
      <c r="AE1500" s="75"/>
      <c r="AF1500" s="75"/>
      <c r="AG1500" s="344"/>
      <c r="AH1500" s="344"/>
      <c r="AI1500" s="344"/>
      <c r="AJ1500" s="97"/>
      <c r="AK1500" s="4"/>
    </row>
    <row r="1501" spans="2:37" s="113" customFormat="1" x14ac:dyDescent="0.4">
      <c r="B1501" s="80"/>
      <c r="C1501" s="563">
        <v>1088</v>
      </c>
      <c r="D1501" s="907"/>
      <c r="E1501" s="906"/>
      <c r="F1501" s="921" t="str">
        <f t="shared" si="68"/>
        <v/>
      </c>
      <c r="G1501" s="882" t="str">
        <f t="shared" si="69"/>
        <v/>
      </c>
      <c r="H1501" s="925"/>
      <c r="I1501" s="919"/>
      <c r="J1501" s="919"/>
      <c r="K1501" s="919"/>
      <c r="L1501" s="919"/>
      <c r="O1501" s="339"/>
      <c r="T1501" s="75"/>
      <c r="U1501" s="75"/>
      <c r="V1501" s="75"/>
      <c r="W1501" s="75"/>
      <c r="X1501" s="75"/>
      <c r="Y1501" s="340"/>
      <c r="Z1501" s="341"/>
      <c r="AA1501" s="341"/>
      <c r="AB1501" s="341"/>
      <c r="AC1501" s="340"/>
      <c r="AD1501" s="75"/>
      <c r="AE1501" s="75"/>
      <c r="AF1501" s="75"/>
      <c r="AG1501" s="344"/>
      <c r="AH1501" s="344"/>
      <c r="AI1501" s="344"/>
      <c r="AJ1501" s="97"/>
      <c r="AK1501" s="4"/>
    </row>
    <row r="1502" spans="2:37" s="113" customFormat="1" x14ac:dyDescent="0.4">
      <c r="B1502" s="80"/>
      <c r="C1502" s="563">
        <v>1089</v>
      </c>
      <c r="D1502" s="907"/>
      <c r="E1502" s="906"/>
      <c r="F1502" s="921" t="str">
        <f t="shared" ref="F1502:F1565" si="70">IF($D$30="","",IF(OR(
AND(C1502&gt;=0,C1502&lt;=$D$32),
AND(C1502&gt;=$E$30,C1502&lt;=$E$32),
AND(C1502&gt;=$F$30,C1502&lt;=$F$32),
AND(C1502&gt;=$G$30,C1502&lt;=$G$32),
AND(C1502&gt;=$H$30,C1502&lt;=$H$32),
AND(C1502&gt;=$I$30,C1502&lt;=$I$32),
AND(C1502&gt;=$J$30,C1502&lt;=$J$32),
AND(C1502&gt;=$K$30,C1502&lt;=$K$32),
AND(C1502&gt;=$L$30,C1502&lt;=$L$32),
AND(C1502&gt;=$M$30,C1502&lt;=$M$32,$M$32&lt;&gt;""),
AND(C1502&gt;=$N$30,C1502&lt;=$N$32,$N$32&lt;&gt;""),
AND(C1502&gt;=$O$30,C1502&lt;=$O$32,$O$32&lt;&gt;""),
AND(C1502&gt;=$P$30,C1502&lt;=$P$32,$P$32&lt;&gt;""),
AND(C1502&gt;=$Q$30,C1502&lt;=$Q$32,$Q$32&lt;&gt;"")
),"ON","OFF"))</f>
        <v/>
      </c>
      <c r="G1502" s="882" t="str">
        <f t="shared" si="69"/>
        <v/>
      </c>
      <c r="H1502" s="925"/>
      <c r="I1502" s="919"/>
      <c r="J1502" s="919"/>
      <c r="K1502" s="919"/>
      <c r="L1502" s="919"/>
      <c r="O1502" s="339"/>
      <c r="T1502" s="75"/>
      <c r="U1502" s="75"/>
      <c r="V1502" s="75"/>
      <c r="W1502" s="75"/>
      <c r="X1502" s="75"/>
      <c r="Y1502" s="340"/>
      <c r="Z1502" s="341"/>
      <c r="AA1502" s="341"/>
      <c r="AB1502" s="341"/>
      <c r="AC1502" s="340"/>
      <c r="AD1502" s="75"/>
      <c r="AE1502" s="75"/>
      <c r="AF1502" s="75"/>
      <c r="AG1502" s="344"/>
      <c r="AH1502" s="344"/>
      <c r="AI1502" s="344"/>
      <c r="AJ1502" s="97"/>
      <c r="AK1502" s="4"/>
    </row>
    <row r="1503" spans="2:37" s="113" customFormat="1" x14ac:dyDescent="0.4">
      <c r="B1503" s="80"/>
      <c r="C1503" s="563">
        <v>1090</v>
      </c>
      <c r="D1503" s="907"/>
      <c r="E1503" s="906"/>
      <c r="F1503" s="921" t="str">
        <f t="shared" si="70"/>
        <v/>
      </c>
      <c r="G1503" s="882" t="str">
        <f t="shared" ref="G1503:G1566" si="71">IF(OR($D$47="",$D$48=""),"",IF(OR(
AND(C1503&gt;=$D$47,C1503&lt;=$D$48),
AND(C1503&gt;=$E$47,C1503&lt;=$E$48),
AND(C1503&gt;=$F$47,C1503&lt;=$F$48),
AND(C1503&gt;=$G$47,C1503&lt;=$G$48),
AND(C1503&gt;=$H$47,C1503&lt;=$H$48),
AND(C1503&gt;=$I$47,C1503&lt;=$I$48),
AND(C1503&gt;=$J$47,C1503&lt;=$J$48),
AND(C1503&gt;=$K$47,C1503&lt;=$K$48),
AND(C1503&gt;=$L$47,C1503&lt;=$L$48),
AND(C1503&gt;=$M$47,C1503&lt;=$M$48),
AND(C1503&gt;=$N$47,C1503&lt;=$N$48),
AND(C1503&gt;=$O$47,C1503&lt;=$O$48),
AND(C1503&gt;=$P$47,C1503&lt;=$P$48),
AND(C1503&gt;=$Q$47,C1503&lt;=$Q$48),
AND(C1503&gt;=$R$47,C1503&lt;=$R$48),
AND(C1503&gt;=$S$47,C1503&lt;=$S$48),
AND(C1503&gt;=$T$47,C1503&lt;=$T$48),
AND(C1503&gt;=$U$47,C1503&lt;=$U$48),
AND(C1503&gt;=$V$47,C1503&lt;=$V$48),
AND(C1503&gt;=$W$47,C1503&lt;=$W$48),
AND(C1503&gt;=$X$47,C1503&lt;=$X$48),
AND(C1503&gt;=$Y$47,C1503&lt;=$Y$48),
AND(C1503&gt;=$Z$47,C1503&lt;=$Z$48),
AND(C1503&gt;=$AA$47,C1503&lt;=$AA$48),
AND(C1503&gt;=$AB$47,C1503&lt;=$AB$48),
AND(C1503&gt;=$AC$47,C1503&lt;=$AC$48),
AND(C1503&gt;=$AD$47,C1503&lt;=$AD$48),
AND(C1503&gt;=$AE$47,C1503&lt;=$AE$48),
AND(C1503&gt;=$AF$47,C1503&lt;=$AF$48),
AND(C1503&gt;=$AG$47,C1503&lt;=$AG$48)
),"ON","OFF"))</f>
        <v/>
      </c>
      <c r="H1503" s="925"/>
      <c r="I1503" s="919"/>
      <c r="J1503" s="919"/>
      <c r="K1503" s="919"/>
      <c r="L1503" s="919"/>
      <c r="O1503" s="339"/>
      <c r="T1503" s="75"/>
      <c r="U1503" s="75"/>
      <c r="V1503" s="75"/>
      <c r="W1503" s="75"/>
      <c r="X1503" s="75"/>
      <c r="Y1503" s="340"/>
      <c r="Z1503" s="341"/>
      <c r="AA1503" s="341"/>
      <c r="AB1503" s="341"/>
      <c r="AC1503" s="340"/>
      <c r="AD1503" s="75"/>
      <c r="AE1503" s="75"/>
      <c r="AF1503" s="75"/>
      <c r="AG1503" s="344"/>
      <c r="AH1503" s="344"/>
      <c r="AI1503" s="344"/>
      <c r="AJ1503" s="97"/>
      <c r="AK1503" s="4"/>
    </row>
    <row r="1504" spans="2:37" s="113" customFormat="1" x14ac:dyDescent="0.4">
      <c r="B1504" s="80"/>
      <c r="C1504" s="563">
        <v>1091</v>
      </c>
      <c r="D1504" s="907"/>
      <c r="E1504" s="906"/>
      <c r="F1504" s="921" t="str">
        <f t="shared" si="70"/>
        <v/>
      </c>
      <c r="G1504" s="882" t="str">
        <f t="shared" si="71"/>
        <v/>
      </c>
      <c r="H1504" s="925"/>
      <c r="I1504" s="919"/>
      <c r="J1504" s="919"/>
      <c r="K1504" s="919"/>
      <c r="L1504" s="919"/>
      <c r="O1504" s="339"/>
      <c r="T1504" s="75"/>
      <c r="U1504" s="75"/>
      <c r="V1504" s="75"/>
      <c r="W1504" s="75"/>
      <c r="X1504" s="75"/>
      <c r="Y1504" s="340"/>
      <c r="Z1504" s="341"/>
      <c r="AA1504" s="341"/>
      <c r="AB1504" s="341"/>
      <c r="AC1504" s="340"/>
      <c r="AD1504" s="75"/>
      <c r="AE1504" s="75"/>
      <c r="AF1504" s="75"/>
      <c r="AG1504" s="344"/>
      <c r="AH1504" s="344"/>
      <c r="AI1504" s="344"/>
      <c r="AJ1504" s="97"/>
      <c r="AK1504" s="4"/>
    </row>
    <row r="1505" spans="2:37" s="113" customFormat="1" x14ac:dyDescent="0.4">
      <c r="B1505" s="80"/>
      <c r="C1505" s="563">
        <v>1092</v>
      </c>
      <c r="D1505" s="907"/>
      <c r="E1505" s="906"/>
      <c r="F1505" s="921" t="str">
        <f t="shared" si="70"/>
        <v/>
      </c>
      <c r="G1505" s="882" t="str">
        <f t="shared" si="71"/>
        <v/>
      </c>
      <c r="H1505" s="925"/>
      <c r="I1505" s="919"/>
      <c r="J1505" s="919"/>
      <c r="K1505" s="919"/>
      <c r="L1505" s="919"/>
      <c r="O1505" s="339"/>
      <c r="T1505" s="75"/>
      <c r="U1505" s="75"/>
      <c r="V1505" s="75"/>
      <c r="W1505" s="75"/>
      <c r="X1505" s="75"/>
      <c r="Y1505" s="340"/>
      <c r="Z1505" s="341"/>
      <c r="AA1505" s="341"/>
      <c r="AB1505" s="341"/>
      <c r="AC1505" s="340"/>
      <c r="AD1505" s="75"/>
      <c r="AE1505" s="75"/>
      <c r="AF1505" s="75"/>
      <c r="AG1505" s="344"/>
      <c r="AH1505" s="344"/>
      <c r="AI1505" s="344"/>
      <c r="AJ1505" s="97"/>
      <c r="AK1505" s="4"/>
    </row>
    <row r="1506" spans="2:37" s="113" customFormat="1" x14ac:dyDescent="0.4">
      <c r="B1506" s="80"/>
      <c r="C1506" s="563">
        <v>1093</v>
      </c>
      <c r="D1506" s="907"/>
      <c r="E1506" s="906"/>
      <c r="F1506" s="921" t="str">
        <f t="shared" si="70"/>
        <v/>
      </c>
      <c r="G1506" s="882" t="str">
        <f t="shared" si="71"/>
        <v/>
      </c>
      <c r="H1506" s="925"/>
      <c r="I1506" s="919"/>
      <c r="J1506" s="919"/>
      <c r="K1506" s="919"/>
      <c r="L1506" s="919"/>
      <c r="O1506" s="339"/>
      <c r="T1506" s="75"/>
      <c r="U1506" s="75"/>
      <c r="V1506" s="75"/>
      <c r="W1506" s="75"/>
      <c r="X1506" s="75"/>
      <c r="Y1506" s="340"/>
      <c r="Z1506" s="341"/>
      <c r="AA1506" s="341"/>
      <c r="AB1506" s="341"/>
      <c r="AC1506" s="340"/>
      <c r="AD1506" s="75"/>
      <c r="AE1506" s="75"/>
      <c r="AF1506" s="75"/>
      <c r="AG1506" s="344"/>
      <c r="AH1506" s="344"/>
      <c r="AI1506" s="344"/>
      <c r="AJ1506" s="97"/>
      <c r="AK1506" s="4"/>
    </row>
    <row r="1507" spans="2:37" s="113" customFormat="1" x14ac:dyDescent="0.4">
      <c r="B1507" s="80"/>
      <c r="C1507" s="563">
        <v>1094</v>
      </c>
      <c r="D1507" s="907"/>
      <c r="E1507" s="906"/>
      <c r="F1507" s="921" t="str">
        <f t="shared" si="70"/>
        <v/>
      </c>
      <c r="G1507" s="882" t="str">
        <f t="shared" si="71"/>
        <v/>
      </c>
      <c r="H1507" s="925"/>
      <c r="I1507" s="919"/>
      <c r="J1507" s="919"/>
      <c r="K1507" s="919"/>
      <c r="L1507" s="919"/>
      <c r="O1507" s="339"/>
      <c r="T1507" s="75"/>
      <c r="U1507" s="75"/>
      <c r="V1507" s="75"/>
      <c r="W1507" s="75"/>
      <c r="X1507" s="75"/>
      <c r="Y1507" s="340"/>
      <c r="Z1507" s="341"/>
      <c r="AA1507" s="341"/>
      <c r="AB1507" s="341"/>
      <c r="AC1507" s="340"/>
      <c r="AD1507" s="75"/>
      <c r="AE1507" s="75"/>
      <c r="AF1507" s="75"/>
      <c r="AG1507" s="344"/>
      <c r="AH1507" s="344"/>
      <c r="AI1507" s="344"/>
      <c r="AJ1507" s="97"/>
      <c r="AK1507" s="4"/>
    </row>
    <row r="1508" spans="2:37" s="113" customFormat="1" x14ac:dyDescent="0.4">
      <c r="B1508" s="80"/>
      <c r="C1508" s="563">
        <v>1095</v>
      </c>
      <c r="D1508" s="907"/>
      <c r="E1508" s="906"/>
      <c r="F1508" s="921" t="str">
        <f t="shared" si="70"/>
        <v/>
      </c>
      <c r="G1508" s="882" t="str">
        <f t="shared" si="71"/>
        <v/>
      </c>
      <c r="H1508" s="925"/>
      <c r="I1508" s="919"/>
      <c r="J1508" s="919"/>
      <c r="K1508" s="919"/>
      <c r="L1508" s="919"/>
      <c r="O1508" s="339"/>
      <c r="T1508" s="75"/>
      <c r="U1508" s="75"/>
      <c r="V1508" s="75"/>
      <c r="W1508" s="75"/>
      <c r="X1508" s="75"/>
      <c r="Y1508" s="340"/>
      <c r="Z1508" s="341"/>
      <c r="AA1508" s="341"/>
      <c r="AB1508" s="341"/>
      <c r="AC1508" s="340"/>
      <c r="AD1508" s="75"/>
      <c r="AE1508" s="75"/>
      <c r="AF1508" s="75"/>
      <c r="AG1508" s="344"/>
      <c r="AH1508" s="344"/>
      <c r="AI1508" s="344"/>
      <c r="AJ1508" s="97"/>
      <c r="AK1508" s="4"/>
    </row>
    <row r="1509" spans="2:37" s="113" customFormat="1" x14ac:dyDescent="0.4">
      <c r="B1509" s="80"/>
      <c r="C1509" s="563">
        <v>1096</v>
      </c>
      <c r="D1509" s="907"/>
      <c r="E1509" s="906"/>
      <c r="F1509" s="921" t="str">
        <f t="shared" si="70"/>
        <v/>
      </c>
      <c r="G1509" s="882" t="str">
        <f t="shared" si="71"/>
        <v/>
      </c>
      <c r="H1509" s="925"/>
      <c r="I1509" s="919"/>
      <c r="J1509" s="919"/>
      <c r="K1509" s="919"/>
      <c r="L1509" s="919"/>
      <c r="O1509" s="339"/>
      <c r="T1509" s="75"/>
      <c r="U1509" s="75"/>
      <c r="V1509" s="75"/>
      <c r="W1509" s="75"/>
      <c r="X1509" s="75"/>
      <c r="Y1509" s="340"/>
      <c r="Z1509" s="341"/>
      <c r="AA1509" s="341"/>
      <c r="AB1509" s="341"/>
      <c r="AC1509" s="340"/>
      <c r="AD1509" s="75"/>
      <c r="AE1509" s="75"/>
      <c r="AF1509" s="75"/>
      <c r="AG1509" s="344"/>
      <c r="AH1509" s="344"/>
      <c r="AI1509" s="344"/>
      <c r="AJ1509" s="97"/>
      <c r="AK1509" s="4"/>
    </row>
    <row r="1510" spans="2:37" s="113" customFormat="1" x14ac:dyDescent="0.4">
      <c r="B1510" s="80"/>
      <c r="C1510" s="563">
        <v>1097</v>
      </c>
      <c r="D1510" s="907"/>
      <c r="E1510" s="906"/>
      <c r="F1510" s="921" t="str">
        <f t="shared" si="70"/>
        <v/>
      </c>
      <c r="G1510" s="882" t="str">
        <f t="shared" si="71"/>
        <v/>
      </c>
      <c r="H1510" s="925"/>
      <c r="I1510" s="919"/>
      <c r="J1510" s="919"/>
      <c r="K1510" s="919"/>
      <c r="L1510" s="919"/>
      <c r="O1510" s="339"/>
      <c r="T1510" s="75"/>
      <c r="U1510" s="75"/>
      <c r="V1510" s="75"/>
      <c r="W1510" s="75"/>
      <c r="X1510" s="75"/>
      <c r="Y1510" s="340"/>
      <c r="Z1510" s="341"/>
      <c r="AA1510" s="341"/>
      <c r="AB1510" s="341"/>
      <c r="AC1510" s="340"/>
      <c r="AD1510" s="75"/>
      <c r="AE1510" s="75"/>
      <c r="AF1510" s="75"/>
      <c r="AG1510" s="344"/>
      <c r="AH1510" s="344"/>
      <c r="AI1510" s="344"/>
      <c r="AJ1510" s="97"/>
      <c r="AK1510" s="4"/>
    </row>
    <row r="1511" spans="2:37" s="113" customFormat="1" x14ac:dyDescent="0.4">
      <c r="B1511" s="80"/>
      <c r="C1511" s="563">
        <v>1098</v>
      </c>
      <c r="D1511" s="907"/>
      <c r="E1511" s="906"/>
      <c r="F1511" s="921" t="str">
        <f t="shared" si="70"/>
        <v/>
      </c>
      <c r="G1511" s="882" t="str">
        <f t="shared" si="71"/>
        <v/>
      </c>
      <c r="H1511" s="925"/>
      <c r="I1511" s="919"/>
      <c r="J1511" s="919"/>
      <c r="K1511" s="919"/>
      <c r="L1511" s="919"/>
      <c r="O1511" s="339"/>
      <c r="T1511" s="75"/>
      <c r="U1511" s="75"/>
      <c r="V1511" s="75"/>
      <c r="W1511" s="75"/>
      <c r="X1511" s="75"/>
      <c r="Y1511" s="340"/>
      <c r="Z1511" s="341"/>
      <c r="AA1511" s="341"/>
      <c r="AB1511" s="341"/>
      <c r="AC1511" s="340"/>
      <c r="AD1511" s="75"/>
      <c r="AE1511" s="75"/>
      <c r="AF1511" s="75"/>
      <c r="AG1511" s="344"/>
      <c r="AH1511" s="344"/>
      <c r="AI1511" s="344"/>
      <c r="AJ1511" s="97"/>
      <c r="AK1511" s="4"/>
    </row>
    <row r="1512" spans="2:37" s="113" customFormat="1" x14ac:dyDescent="0.4">
      <c r="B1512" s="80"/>
      <c r="C1512" s="563">
        <v>1099</v>
      </c>
      <c r="D1512" s="907"/>
      <c r="E1512" s="906"/>
      <c r="F1512" s="921" t="str">
        <f t="shared" si="70"/>
        <v/>
      </c>
      <c r="G1512" s="882" t="str">
        <f t="shared" si="71"/>
        <v/>
      </c>
      <c r="H1512" s="925"/>
      <c r="I1512" s="919"/>
      <c r="J1512" s="919"/>
      <c r="K1512" s="919"/>
      <c r="L1512" s="919"/>
      <c r="O1512" s="339"/>
      <c r="T1512" s="75"/>
      <c r="U1512" s="75"/>
      <c r="V1512" s="75"/>
      <c r="W1512" s="75"/>
      <c r="X1512" s="75"/>
      <c r="Y1512" s="340"/>
      <c r="Z1512" s="341"/>
      <c r="AA1512" s="341"/>
      <c r="AB1512" s="341"/>
      <c r="AC1512" s="340"/>
      <c r="AD1512" s="75"/>
      <c r="AE1512" s="75"/>
      <c r="AF1512" s="75"/>
      <c r="AG1512" s="344"/>
      <c r="AH1512" s="344"/>
      <c r="AI1512" s="344"/>
      <c r="AJ1512" s="97"/>
      <c r="AK1512" s="4"/>
    </row>
    <row r="1513" spans="2:37" s="113" customFormat="1" x14ac:dyDescent="0.4">
      <c r="B1513" s="80"/>
      <c r="C1513" s="563">
        <v>1100</v>
      </c>
      <c r="D1513" s="907"/>
      <c r="E1513" s="906"/>
      <c r="F1513" s="921" t="str">
        <f t="shared" si="70"/>
        <v/>
      </c>
      <c r="G1513" s="882" t="str">
        <f t="shared" si="71"/>
        <v/>
      </c>
      <c r="H1513" s="925"/>
      <c r="I1513" s="919"/>
      <c r="J1513" s="919"/>
      <c r="K1513" s="919"/>
      <c r="L1513" s="919"/>
      <c r="O1513" s="339"/>
      <c r="T1513" s="75"/>
      <c r="U1513" s="75"/>
      <c r="V1513" s="75"/>
      <c r="W1513" s="75"/>
      <c r="X1513" s="75"/>
      <c r="Y1513" s="340"/>
      <c r="Z1513" s="341"/>
      <c r="AA1513" s="341"/>
      <c r="AB1513" s="341"/>
      <c r="AC1513" s="340"/>
      <c r="AD1513" s="75"/>
      <c r="AE1513" s="75"/>
      <c r="AF1513" s="75"/>
      <c r="AG1513" s="344"/>
      <c r="AH1513" s="344"/>
      <c r="AI1513" s="344"/>
      <c r="AJ1513" s="97"/>
      <c r="AK1513" s="4"/>
    </row>
    <row r="1514" spans="2:37" s="113" customFormat="1" x14ac:dyDescent="0.4">
      <c r="B1514" s="80"/>
      <c r="C1514" s="563">
        <v>1101</v>
      </c>
      <c r="D1514" s="907"/>
      <c r="E1514" s="906"/>
      <c r="F1514" s="921" t="str">
        <f t="shared" si="70"/>
        <v/>
      </c>
      <c r="G1514" s="882" t="str">
        <f t="shared" si="71"/>
        <v/>
      </c>
      <c r="H1514" s="925"/>
      <c r="I1514" s="919"/>
      <c r="J1514" s="919"/>
      <c r="K1514" s="919"/>
      <c r="L1514" s="919"/>
      <c r="O1514" s="339"/>
      <c r="T1514" s="75"/>
      <c r="U1514" s="75"/>
      <c r="V1514" s="75"/>
      <c r="W1514" s="75"/>
      <c r="X1514" s="75"/>
      <c r="Y1514" s="340"/>
      <c r="Z1514" s="341"/>
      <c r="AA1514" s="341"/>
      <c r="AB1514" s="341"/>
      <c r="AC1514" s="340"/>
      <c r="AD1514" s="75"/>
      <c r="AE1514" s="75"/>
      <c r="AF1514" s="75"/>
      <c r="AG1514" s="344"/>
      <c r="AH1514" s="344"/>
      <c r="AI1514" s="344"/>
      <c r="AJ1514" s="97"/>
      <c r="AK1514" s="4"/>
    </row>
    <row r="1515" spans="2:37" s="113" customFormat="1" x14ac:dyDescent="0.4">
      <c r="B1515" s="80"/>
      <c r="C1515" s="563">
        <v>1102</v>
      </c>
      <c r="D1515" s="907"/>
      <c r="E1515" s="906"/>
      <c r="F1515" s="921" t="str">
        <f t="shared" si="70"/>
        <v/>
      </c>
      <c r="G1515" s="882" t="str">
        <f t="shared" si="71"/>
        <v/>
      </c>
      <c r="H1515" s="925"/>
      <c r="I1515" s="919"/>
      <c r="J1515" s="919"/>
      <c r="K1515" s="919"/>
      <c r="L1515" s="919"/>
      <c r="O1515" s="339"/>
      <c r="T1515" s="75"/>
      <c r="U1515" s="75"/>
      <c r="V1515" s="75"/>
      <c r="W1515" s="75"/>
      <c r="X1515" s="75"/>
      <c r="Y1515" s="340"/>
      <c r="Z1515" s="341"/>
      <c r="AA1515" s="341"/>
      <c r="AB1515" s="341"/>
      <c r="AC1515" s="340"/>
      <c r="AD1515" s="75"/>
      <c r="AE1515" s="75"/>
      <c r="AF1515" s="75"/>
      <c r="AG1515" s="344"/>
      <c r="AH1515" s="344"/>
      <c r="AI1515" s="344"/>
      <c r="AJ1515" s="97"/>
      <c r="AK1515" s="4"/>
    </row>
    <row r="1516" spans="2:37" s="113" customFormat="1" x14ac:dyDescent="0.4">
      <c r="B1516" s="80"/>
      <c r="C1516" s="563">
        <v>1103</v>
      </c>
      <c r="D1516" s="907"/>
      <c r="E1516" s="906"/>
      <c r="F1516" s="921" t="str">
        <f t="shared" si="70"/>
        <v/>
      </c>
      <c r="G1516" s="882" t="str">
        <f t="shared" si="71"/>
        <v/>
      </c>
      <c r="H1516" s="925"/>
      <c r="I1516" s="919"/>
      <c r="J1516" s="919"/>
      <c r="K1516" s="919"/>
      <c r="L1516" s="919"/>
      <c r="O1516" s="339"/>
      <c r="T1516" s="75"/>
      <c r="U1516" s="75"/>
      <c r="V1516" s="75"/>
      <c r="W1516" s="75"/>
      <c r="X1516" s="75"/>
      <c r="Y1516" s="340"/>
      <c r="Z1516" s="341"/>
      <c r="AA1516" s="341"/>
      <c r="AB1516" s="341"/>
      <c r="AC1516" s="340"/>
      <c r="AD1516" s="75"/>
      <c r="AE1516" s="75"/>
      <c r="AF1516" s="75"/>
      <c r="AG1516" s="344"/>
      <c r="AH1516" s="344"/>
      <c r="AI1516" s="344"/>
      <c r="AJ1516" s="97"/>
      <c r="AK1516" s="4"/>
    </row>
    <row r="1517" spans="2:37" s="113" customFormat="1" x14ac:dyDescent="0.4">
      <c r="B1517" s="80"/>
      <c r="C1517" s="563">
        <v>1104</v>
      </c>
      <c r="D1517" s="907"/>
      <c r="E1517" s="906"/>
      <c r="F1517" s="921" t="str">
        <f t="shared" si="70"/>
        <v/>
      </c>
      <c r="G1517" s="882" t="str">
        <f t="shared" si="71"/>
        <v/>
      </c>
      <c r="H1517" s="925"/>
      <c r="I1517" s="919"/>
      <c r="J1517" s="919"/>
      <c r="K1517" s="919"/>
      <c r="L1517" s="919"/>
      <c r="O1517" s="339"/>
      <c r="T1517" s="75"/>
      <c r="U1517" s="75"/>
      <c r="V1517" s="75"/>
      <c r="W1517" s="75"/>
      <c r="X1517" s="75"/>
      <c r="Y1517" s="340"/>
      <c r="Z1517" s="341"/>
      <c r="AA1517" s="341"/>
      <c r="AB1517" s="341"/>
      <c r="AC1517" s="340"/>
      <c r="AD1517" s="75"/>
      <c r="AE1517" s="75"/>
      <c r="AF1517" s="75"/>
      <c r="AG1517" s="344"/>
      <c r="AH1517" s="344"/>
      <c r="AI1517" s="344"/>
      <c r="AJ1517" s="97"/>
      <c r="AK1517" s="4"/>
    </row>
    <row r="1518" spans="2:37" s="113" customFormat="1" x14ac:dyDescent="0.4">
      <c r="B1518" s="80"/>
      <c r="C1518" s="563">
        <v>1105</v>
      </c>
      <c r="D1518" s="907"/>
      <c r="E1518" s="906"/>
      <c r="F1518" s="921" t="str">
        <f t="shared" si="70"/>
        <v/>
      </c>
      <c r="G1518" s="882" t="str">
        <f t="shared" si="71"/>
        <v/>
      </c>
      <c r="H1518" s="925"/>
      <c r="I1518" s="919"/>
      <c r="J1518" s="919"/>
      <c r="K1518" s="919"/>
      <c r="L1518" s="919"/>
      <c r="O1518" s="339"/>
      <c r="T1518" s="75"/>
      <c r="U1518" s="75"/>
      <c r="V1518" s="75"/>
      <c r="W1518" s="75"/>
      <c r="X1518" s="75"/>
      <c r="Y1518" s="340"/>
      <c r="Z1518" s="341"/>
      <c r="AA1518" s="341"/>
      <c r="AB1518" s="341"/>
      <c r="AC1518" s="340"/>
      <c r="AD1518" s="75"/>
      <c r="AE1518" s="75"/>
      <c r="AF1518" s="75"/>
      <c r="AG1518" s="344"/>
      <c r="AH1518" s="344"/>
      <c r="AI1518" s="344"/>
      <c r="AJ1518" s="97"/>
      <c r="AK1518" s="4"/>
    </row>
    <row r="1519" spans="2:37" s="113" customFormat="1" x14ac:dyDescent="0.4">
      <c r="B1519" s="80"/>
      <c r="C1519" s="563">
        <v>1106</v>
      </c>
      <c r="D1519" s="907"/>
      <c r="E1519" s="906"/>
      <c r="F1519" s="921" t="str">
        <f t="shared" si="70"/>
        <v/>
      </c>
      <c r="G1519" s="882" t="str">
        <f t="shared" si="71"/>
        <v/>
      </c>
      <c r="H1519" s="925"/>
      <c r="I1519" s="919"/>
      <c r="J1519" s="919"/>
      <c r="K1519" s="919"/>
      <c r="L1519" s="919"/>
      <c r="O1519" s="339"/>
      <c r="T1519" s="75"/>
      <c r="U1519" s="75"/>
      <c r="V1519" s="75"/>
      <c r="W1519" s="75"/>
      <c r="X1519" s="75"/>
      <c r="Y1519" s="340"/>
      <c r="Z1519" s="341"/>
      <c r="AA1519" s="341"/>
      <c r="AB1519" s="341"/>
      <c r="AC1519" s="340"/>
      <c r="AD1519" s="75"/>
      <c r="AE1519" s="75"/>
      <c r="AF1519" s="75"/>
      <c r="AG1519" s="344"/>
      <c r="AH1519" s="344"/>
      <c r="AI1519" s="344"/>
      <c r="AJ1519" s="97"/>
      <c r="AK1519" s="4"/>
    </row>
    <row r="1520" spans="2:37" s="113" customFormat="1" x14ac:dyDescent="0.4">
      <c r="B1520" s="80"/>
      <c r="C1520" s="563">
        <v>1107</v>
      </c>
      <c r="D1520" s="907"/>
      <c r="E1520" s="906"/>
      <c r="F1520" s="921" t="str">
        <f t="shared" si="70"/>
        <v/>
      </c>
      <c r="G1520" s="882" t="str">
        <f t="shared" si="71"/>
        <v/>
      </c>
      <c r="H1520" s="925"/>
      <c r="I1520" s="919"/>
      <c r="J1520" s="919"/>
      <c r="K1520" s="919"/>
      <c r="L1520" s="919"/>
      <c r="O1520" s="339"/>
      <c r="T1520" s="75"/>
      <c r="U1520" s="75"/>
      <c r="V1520" s="75"/>
      <c r="W1520" s="75"/>
      <c r="X1520" s="75"/>
      <c r="Y1520" s="340"/>
      <c r="Z1520" s="341"/>
      <c r="AA1520" s="341"/>
      <c r="AB1520" s="341"/>
      <c r="AC1520" s="340"/>
      <c r="AD1520" s="75"/>
      <c r="AE1520" s="75"/>
      <c r="AF1520" s="75"/>
      <c r="AG1520" s="344"/>
      <c r="AH1520" s="344"/>
      <c r="AI1520" s="344"/>
      <c r="AJ1520" s="97"/>
      <c r="AK1520" s="4"/>
    </row>
    <row r="1521" spans="2:37" s="113" customFormat="1" x14ac:dyDescent="0.4">
      <c r="B1521" s="80"/>
      <c r="C1521" s="563">
        <v>1108</v>
      </c>
      <c r="D1521" s="907"/>
      <c r="E1521" s="906"/>
      <c r="F1521" s="921" t="str">
        <f t="shared" si="70"/>
        <v/>
      </c>
      <c r="G1521" s="882" t="str">
        <f t="shared" si="71"/>
        <v/>
      </c>
      <c r="H1521" s="925"/>
      <c r="I1521" s="919"/>
      <c r="J1521" s="919"/>
      <c r="K1521" s="919"/>
      <c r="L1521" s="919"/>
      <c r="O1521" s="339"/>
      <c r="T1521" s="75"/>
      <c r="U1521" s="75"/>
      <c r="V1521" s="75"/>
      <c r="W1521" s="75"/>
      <c r="X1521" s="75"/>
      <c r="Y1521" s="340"/>
      <c r="Z1521" s="341"/>
      <c r="AA1521" s="341"/>
      <c r="AB1521" s="341"/>
      <c r="AC1521" s="340"/>
      <c r="AD1521" s="75"/>
      <c r="AE1521" s="75"/>
      <c r="AF1521" s="75"/>
      <c r="AG1521" s="344"/>
      <c r="AH1521" s="344"/>
      <c r="AI1521" s="344"/>
      <c r="AJ1521" s="97"/>
      <c r="AK1521" s="4"/>
    </row>
    <row r="1522" spans="2:37" s="113" customFormat="1" x14ac:dyDescent="0.4">
      <c r="B1522" s="80"/>
      <c r="C1522" s="563">
        <v>1109</v>
      </c>
      <c r="D1522" s="907"/>
      <c r="E1522" s="906"/>
      <c r="F1522" s="921" t="str">
        <f t="shared" si="70"/>
        <v/>
      </c>
      <c r="G1522" s="882" t="str">
        <f t="shared" si="71"/>
        <v/>
      </c>
      <c r="H1522" s="925"/>
      <c r="I1522" s="919"/>
      <c r="J1522" s="919"/>
      <c r="K1522" s="919"/>
      <c r="L1522" s="919"/>
      <c r="O1522" s="339"/>
      <c r="T1522" s="75"/>
      <c r="U1522" s="75"/>
      <c r="V1522" s="75"/>
      <c r="W1522" s="75"/>
      <c r="X1522" s="75"/>
      <c r="Y1522" s="340"/>
      <c r="Z1522" s="341"/>
      <c r="AA1522" s="341"/>
      <c r="AB1522" s="341"/>
      <c r="AC1522" s="340"/>
      <c r="AD1522" s="75"/>
      <c r="AE1522" s="75"/>
      <c r="AF1522" s="75"/>
      <c r="AG1522" s="344"/>
      <c r="AH1522" s="344"/>
      <c r="AI1522" s="344"/>
      <c r="AJ1522" s="97"/>
      <c r="AK1522" s="4"/>
    </row>
    <row r="1523" spans="2:37" s="113" customFormat="1" x14ac:dyDescent="0.4">
      <c r="B1523" s="80"/>
      <c r="C1523" s="563">
        <v>1110</v>
      </c>
      <c r="D1523" s="907"/>
      <c r="E1523" s="906"/>
      <c r="F1523" s="921" t="str">
        <f t="shared" si="70"/>
        <v/>
      </c>
      <c r="G1523" s="882" t="str">
        <f t="shared" si="71"/>
        <v/>
      </c>
      <c r="H1523" s="925"/>
      <c r="I1523" s="919"/>
      <c r="J1523" s="919"/>
      <c r="K1523" s="919"/>
      <c r="L1523" s="919"/>
      <c r="O1523" s="339"/>
      <c r="T1523" s="75"/>
      <c r="U1523" s="75"/>
      <c r="V1523" s="75"/>
      <c r="W1523" s="75"/>
      <c r="X1523" s="75"/>
      <c r="Y1523" s="340"/>
      <c r="Z1523" s="341"/>
      <c r="AA1523" s="341"/>
      <c r="AB1523" s="341"/>
      <c r="AC1523" s="340"/>
      <c r="AD1523" s="75"/>
      <c r="AE1523" s="75"/>
      <c r="AF1523" s="75"/>
      <c r="AG1523" s="344"/>
      <c r="AH1523" s="344"/>
      <c r="AI1523" s="344"/>
      <c r="AJ1523" s="97"/>
      <c r="AK1523" s="4"/>
    </row>
    <row r="1524" spans="2:37" s="113" customFormat="1" x14ac:dyDescent="0.4">
      <c r="B1524" s="80"/>
      <c r="C1524" s="563">
        <v>1111</v>
      </c>
      <c r="D1524" s="907"/>
      <c r="E1524" s="906"/>
      <c r="F1524" s="921" t="str">
        <f t="shared" si="70"/>
        <v/>
      </c>
      <c r="G1524" s="882" t="str">
        <f t="shared" si="71"/>
        <v/>
      </c>
      <c r="H1524" s="925"/>
      <c r="I1524" s="919"/>
      <c r="J1524" s="919"/>
      <c r="K1524" s="919"/>
      <c r="L1524" s="919"/>
      <c r="O1524" s="339"/>
      <c r="T1524" s="75"/>
      <c r="U1524" s="75"/>
      <c r="V1524" s="75"/>
      <c r="W1524" s="75"/>
      <c r="X1524" s="75"/>
      <c r="Y1524" s="340"/>
      <c r="Z1524" s="341"/>
      <c r="AA1524" s="341"/>
      <c r="AB1524" s="341"/>
      <c r="AC1524" s="340"/>
      <c r="AD1524" s="75"/>
      <c r="AE1524" s="75"/>
      <c r="AF1524" s="75"/>
      <c r="AG1524" s="344"/>
      <c r="AH1524" s="344"/>
      <c r="AI1524" s="344"/>
      <c r="AJ1524" s="97"/>
      <c r="AK1524" s="4"/>
    </row>
    <row r="1525" spans="2:37" s="113" customFormat="1" x14ac:dyDescent="0.4">
      <c r="B1525" s="80"/>
      <c r="C1525" s="563">
        <v>1112</v>
      </c>
      <c r="D1525" s="907"/>
      <c r="E1525" s="906"/>
      <c r="F1525" s="921" t="str">
        <f t="shared" si="70"/>
        <v/>
      </c>
      <c r="G1525" s="882" t="str">
        <f t="shared" si="71"/>
        <v/>
      </c>
      <c r="H1525" s="925"/>
      <c r="I1525" s="919"/>
      <c r="J1525" s="919"/>
      <c r="K1525" s="919"/>
      <c r="L1525" s="919"/>
      <c r="O1525" s="339"/>
      <c r="T1525" s="75"/>
      <c r="U1525" s="75"/>
      <c r="V1525" s="75"/>
      <c r="W1525" s="75"/>
      <c r="X1525" s="75"/>
      <c r="Y1525" s="340"/>
      <c r="Z1525" s="341"/>
      <c r="AA1525" s="341"/>
      <c r="AB1525" s="341"/>
      <c r="AC1525" s="340"/>
      <c r="AD1525" s="75"/>
      <c r="AE1525" s="75"/>
      <c r="AF1525" s="75"/>
      <c r="AG1525" s="344"/>
      <c r="AH1525" s="344"/>
      <c r="AI1525" s="344"/>
      <c r="AJ1525" s="97"/>
      <c r="AK1525" s="4"/>
    </row>
    <row r="1526" spans="2:37" s="113" customFormat="1" x14ac:dyDescent="0.4">
      <c r="B1526" s="80"/>
      <c r="C1526" s="563">
        <v>1113</v>
      </c>
      <c r="D1526" s="907"/>
      <c r="E1526" s="906"/>
      <c r="F1526" s="921" t="str">
        <f t="shared" si="70"/>
        <v/>
      </c>
      <c r="G1526" s="882" t="str">
        <f t="shared" si="71"/>
        <v/>
      </c>
      <c r="H1526" s="925"/>
      <c r="I1526" s="919"/>
      <c r="J1526" s="919"/>
      <c r="K1526" s="919"/>
      <c r="L1526" s="919"/>
      <c r="O1526" s="339"/>
      <c r="T1526" s="75"/>
      <c r="U1526" s="75"/>
      <c r="V1526" s="75"/>
      <c r="W1526" s="75"/>
      <c r="X1526" s="75"/>
      <c r="Y1526" s="340"/>
      <c r="Z1526" s="341"/>
      <c r="AA1526" s="341"/>
      <c r="AB1526" s="341"/>
      <c r="AC1526" s="340"/>
      <c r="AD1526" s="75"/>
      <c r="AE1526" s="75"/>
      <c r="AF1526" s="75"/>
      <c r="AG1526" s="344"/>
      <c r="AH1526" s="344"/>
      <c r="AI1526" s="344"/>
      <c r="AJ1526" s="97"/>
      <c r="AK1526" s="4"/>
    </row>
    <row r="1527" spans="2:37" s="113" customFormat="1" x14ac:dyDescent="0.4">
      <c r="B1527" s="80"/>
      <c r="C1527" s="563">
        <v>1114</v>
      </c>
      <c r="D1527" s="907"/>
      <c r="E1527" s="906"/>
      <c r="F1527" s="921" t="str">
        <f t="shared" si="70"/>
        <v/>
      </c>
      <c r="G1527" s="882" t="str">
        <f t="shared" si="71"/>
        <v/>
      </c>
      <c r="H1527" s="925"/>
      <c r="I1527" s="919"/>
      <c r="J1527" s="919"/>
      <c r="K1527" s="919"/>
      <c r="L1527" s="919"/>
      <c r="O1527" s="339"/>
      <c r="T1527" s="75"/>
      <c r="U1527" s="75"/>
      <c r="V1527" s="75"/>
      <c r="W1527" s="75"/>
      <c r="X1527" s="75"/>
      <c r="Y1527" s="340"/>
      <c r="Z1527" s="341"/>
      <c r="AA1527" s="341"/>
      <c r="AB1527" s="341"/>
      <c r="AC1527" s="340"/>
      <c r="AD1527" s="75"/>
      <c r="AE1527" s="75"/>
      <c r="AF1527" s="75"/>
      <c r="AG1527" s="344"/>
      <c r="AH1527" s="344"/>
      <c r="AI1527" s="344"/>
      <c r="AJ1527" s="97"/>
      <c r="AK1527" s="4"/>
    </row>
    <row r="1528" spans="2:37" s="113" customFormat="1" x14ac:dyDescent="0.4">
      <c r="B1528" s="80"/>
      <c r="C1528" s="563">
        <v>1115</v>
      </c>
      <c r="D1528" s="907"/>
      <c r="E1528" s="906"/>
      <c r="F1528" s="921" t="str">
        <f t="shared" si="70"/>
        <v/>
      </c>
      <c r="G1528" s="882" t="str">
        <f t="shared" si="71"/>
        <v/>
      </c>
      <c r="H1528" s="925"/>
      <c r="I1528" s="919"/>
      <c r="J1528" s="919"/>
      <c r="K1528" s="919"/>
      <c r="L1528" s="919"/>
      <c r="O1528" s="339"/>
      <c r="T1528" s="75"/>
      <c r="U1528" s="75"/>
      <c r="V1528" s="75"/>
      <c r="W1528" s="75"/>
      <c r="X1528" s="75"/>
      <c r="Y1528" s="340"/>
      <c r="Z1528" s="341"/>
      <c r="AA1528" s="341"/>
      <c r="AB1528" s="341"/>
      <c r="AC1528" s="340"/>
      <c r="AD1528" s="75"/>
      <c r="AE1528" s="75"/>
      <c r="AF1528" s="75"/>
      <c r="AG1528" s="344"/>
      <c r="AH1528" s="344"/>
      <c r="AI1528" s="344"/>
      <c r="AJ1528" s="97"/>
      <c r="AK1528" s="4"/>
    </row>
    <row r="1529" spans="2:37" s="113" customFormat="1" x14ac:dyDescent="0.4">
      <c r="B1529" s="80"/>
      <c r="C1529" s="563">
        <v>1116</v>
      </c>
      <c r="D1529" s="907"/>
      <c r="E1529" s="906"/>
      <c r="F1529" s="921" t="str">
        <f t="shared" si="70"/>
        <v/>
      </c>
      <c r="G1529" s="882" t="str">
        <f t="shared" si="71"/>
        <v/>
      </c>
      <c r="H1529" s="925"/>
      <c r="I1529" s="919"/>
      <c r="J1529" s="919"/>
      <c r="K1529" s="919"/>
      <c r="L1529" s="919"/>
      <c r="O1529" s="339"/>
      <c r="T1529" s="75"/>
      <c r="U1529" s="75"/>
      <c r="V1529" s="75"/>
      <c r="W1529" s="75"/>
      <c r="X1529" s="75"/>
      <c r="Y1529" s="340"/>
      <c r="Z1529" s="341"/>
      <c r="AA1529" s="341"/>
      <c r="AB1529" s="341"/>
      <c r="AC1529" s="340"/>
      <c r="AD1529" s="75"/>
      <c r="AE1529" s="75"/>
      <c r="AF1529" s="75"/>
      <c r="AG1529" s="344"/>
      <c r="AH1529" s="344"/>
      <c r="AI1529" s="344"/>
      <c r="AJ1529" s="97"/>
      <c r="AK1529" s="4"/>
    </row>
    <row r="1530" spans="2:37" s="113" customFormat="1" x14ac:dyDescent="0.4">
      <c r="B1530" s="80"/>
      <c r="C1530" s="563">
        <v>1117</v>
      </c>
      <c r="D1530" s="907"/>
      <c r="E1530" s="906"/>
      <c r="F1530" s="921" t="str">
        <f t="shared" si="70"/>
        <v/>
      </c>
      <c r="G1530" s="882" t="str">
        <f t="shared" si="71"/>
        <v/>
      </c>
      <c r="H1530" s="925"/>
      <c r="I1530" s="919"/>
      <c r="J1530" s="919"/>
      <c r="K1530" s="919"/>
      <c r="L1530" s="919"/>
      <c r="O1530" s="339"/>
      <c r="T1530" s="75"/>
      <c r="U1530" s="75"/>
      <c r="V1530" s="75"/>
      <c r="W1530" s="75"/>
      <c r="X1530" s="75"/>
      <c r="Y1530" s="340"/>
      <c r="Z1530" s="341"/>
      <c r="AA1530" s="341"/>
      <c r="AB1530" s="341"/>
      <c r="AC1530" s="340"/>
      <c r="AD1530" s="75"/>
      <c r="AE1530" s="75"/>
      <c r="AF1530" s="75"/>
      <c r="AG1530" s="344"/>
      <c r="AH1530" s="344"/>
      <c r="AI1530" s="344"/>
      <c r="AJ1530" s="97"/>
      <c r="AK1530" s="4"/>
    </row>
    <row r="1531" spans="2:37" s="113" customFormat="1" x14ac:dyDescent="0.4">
      <c r="B1531" s="80"/>
      <c r="C1531" s="563">
        <v>1118</v>
      </c>
      <c r="D1531" s="907"/>
      <c r="E1531" s="906"/>
      <c r="F1531" s="921" t="str">
        <f t="shared" si="70"/>
        <v/>
      </c>
      <c r="G1531" s="882" t="str">
        <f t="shared" si="71"/>
        <v/>
      </c>
      <c r="H1531" s="925"/>
      <c r="I1531" s="919"/>
      <c r="J1531" s="919"/>
      <c r="K1531" s="919"/>
      <c r="L1531" s="919"/>
      <c r="O1531" s="339"/>
      <c r="T1531" s="75"/>
      <c r="U1531" s="75"/>
      <c r="V1531" s="75"/>
      <c r="W1531" s="75"/>
      <c r="X1531" s="75"/>
      <c r="Y1531" s="340"/>
      <c r="Z1531" s="341"/>
      <c r="AA1531" s="341"/>
      <c r="AB1531" s="341"/>
      <c r="AC1531" s="340"/>
      <c r="AD1531" s="75"/>
      <c r="AE1531" s="75"/>
      <c r="AF1531" s="75"/>
      <c r="AG1531" s="344"/>
      <c r="AH1531" s="344"/>
      <c r="AI1531" s="344"/>
      <c r="AJ1531" s="97"/>
      <c r="AK1531" s="4"/>
    </row>
    <row r="1532" spans="2:37" s="113" customFormat="1" x14ac:dyDescent="0.4">
      <c r="B1532" s="80"/>
      <c r="C1532" s="563">
        <v>1119</v>
      </c>
      <c r="D1532" s="907"/>
      <c r="E1532" s="906"/>
      <c r="F1532" s="921" t="str">
        <f t="shared" si="70"/>
        <v/>
      </c>
      <c r="G1532" s="882" t="str">
        <f t="shared" si="71"/>
        <v/>
      </c>
      <c r="H1532" s="925"/>
      <c r="I1532" s="919"/>
      <c r="J1532" s="919"/>
      <c r="K1532" s="919"/>
      <c r="L1532" s="919"/>
      <c r="O1532" s="339"/>
      <c r="T1532" s="75"/>
      <c r="U1532" s="75"/>
      <c r="V1532" s="75"/>
      <c r="W1532" s="75"/>
      <c r="X1532" s="75"/>
      <c r="Y1532" s="340"/>
      <c r="Z1532" s="341"/>
      <c r="AA1532" s="341"/>
      <c r="AB1532" s="341"/>
      <c r="AC1532" s="340"/>
      <c r="AD1532" s="75"/>
      <c r="AE1532" s="75"/>
      <c r="AF1532" s="75"/>
      <c r="AG1532" s="344"/>
      <c r="AH1532" s="344"/>
      <c r="AI1532" s="344"/>
      <c r="AJ1532" s="97"/>
      <c r="AK1532" s="4"/>
    </row>
    <row r="1533" spans="2:37" s="113" customFormat="1" x14ac:dyDescent="0.4">
      <c r="B1533" s="80"/>
      <c r="C1533" s="563">
        <v>1120</v>
      </c>
      <c r="D1533" s="907"/>
      <c r="E1533" s="906"/>
      <c r="F1533" s="921" t="str">
        <f t="shared" si="70"/>
        <v/>
      </c>
      <c r="G1533" s="882" t="str">
        <f t="shared" si="71"/>
        <v/>
      </c>
      <c r="H1533" s="925"/>
      <c r="I1533" s="919"/>
      <c r="J1533" s="919"/>
      <c r="K1533" s="919"/>
      <c r="L1533" s="919"/>
      <c r="O1533" s="339"/>
      <c r="T1533" s="75"/>
      <c r="U1533" s="75"/>
      <c r="V1533" s="75"/>
      <c r="W1533" s="75"/>
      <c r="X1533" s="75"/>
      <c r="Y1533" s="340"/>
      <c r="Z1533" s="341"/>
      <c r="AA1533" s="341"/>
      <c r="AB1533" s="341"/>
      <c r="AC1533" s="340"/>
      <c r="AD1533" s="75"/>
      <c r="AE1533" s="75"/>
      <c r="AF1533" s="75"/>
      <c r="AG1533" s="344"/>
      <c r="AH1533" s="344"/>
      <c r="AI1533" s="344"/>
      <c r="AJ1533" s="97"/>
      <c r="AK1533" s="4"/>
    </row>
    <row r="1534" spans="2:37" s="113" customFormat="1" x14ac:dyDescent="0.4">
      <c r="B1534" s="80"/>
      <c r="C1534" s="563">
        <v>1121</v>
      </c>
      <c r="D1534" s="907"/>
      <c r="E1534" s="906"/>
      <c r="F1534" s="921" t="str">
        <f t="shared" si="70"/>
        <v/>
      </c>
      <c r="G1534" s="882" t="str">
        <f t="shared" si="71"/>
        <v/>
      </c>
      <c r="H1534" s="925"/>
      <c r="I1534" s="919"/>
      <c r="J1534" s="919"/>
      <c r="K1534" s="919"/>
      <c r="L1534" s="919"/>
      <c r="O1534" s="339"/>
      <c r="T1534" s="75"/>
      <c r="U1534" s="75"/>
      <c r="V1534" s="75"/>
      <c r="W1534" s="75"/>
      <c r="X1534" s="75"/>
      <c r="Y1534" s="340"/>
      <c r="Z1534" s="341"/>
      <c r="AA1534" s="341"/>
      <c r="AB1534" s="341"/>
      <c r="AC1534" s="340"/>
      <c r="AD1534" s="75"/>
      <c r="AE1534" s="75"/>
      <c r="AF1534" s="75"/>
      <c r="AG1534" s="344"/>
      <c r="AH1534" s="344"/>
      <c r="AI1534" s="344"/>
      <c r="AJ1534" s="97"/>
      <c r="AK1534" s="4"/>
    </row>
    <row r="1535" spans="2:37" s="113" customFormat="1" x14ac:dyDescent="0.4">
      <c r="B1535" s="80"/>
      <c r="C1535" s="563">
        <v>1122</v>
      </c>
      <c r="D1535" s="907"/>
      <c r="E1535" s="906"/>
      <c r="F1535" s="921" t="str">
        <f t="shared" si="70"/>
        <v/>
      </c>
      <c r="G1535" s="882" t="str">
        <f t="shared" si="71"/>
        <v/>
      </c>
      <c r="H1535" s="925"/>
      <c r="I1535" s="919"/>
      <c r="J1535" s="919"/>
      <c r="K1535" s="919"/>
      <c r="L1535" s="919"/>
      <c r="O1535" s="339"/>
      <c r="T1535" s="75"/>
      <c r="U1535" s="75"/>
      <c r="V1535" s="75"/>
      <c r="W1535" s="75"/>
      <c r="X1535" s="75"/>
      <c r="Y1535" s="340"/>
      <c r="Z1535" s="341"/>
      <c r="AA1535" s="341"/>
      <c r="AB1535" s="341"/>
      <c r="AC1535" s="340"/>
      <c r="AD1535" s="75"/>
      <c r="AE1535" s="75"/>
      <c r="AF1535" s="75"/>
      <c r="AG1535" s="344"/>
      <c r="AH1535" s="344"/>
      <c r="AI1535" s="344"/>
      <c r="AJ1535" s="97"/>
      <c r="AK1535" s="4"/>
    </row>
    <row r="1536" spans="2:37" s="113" customFormat="1" x14ac:dyDescent="0.4">
      <c r="B1536" s="80"/>
      <c r="C1536" s="563">
        <v>1123</v>
      </c>
      <c r="D1536" s="907"/>
      <c r="E1536" s="906"/>
      <c r="F1536" s="921" t="str">
        <f t="shared" si="70"/>
        <v/>
      </c>
      <c r="G1536" s="882" t="str">
        <f t="shared" si="71"/>
        <v/>
      </c>
      <c r="H1536" s="925"/>
      <c r="I1536" s="919"/>
      <c r="J1536" s="919"/>
      <c r="K1536" s="919"/>
      <c r="L1536" s="919"/>
      <c r="O1536" s="339"/>
      <c r="T1536" s="75"/>
      <c r="U1536" s="75"/>
      <c r="V1536" s="75"/>
      <c r="W1536" s="75"/>
      <c r="X1536" s="75"/>
      <c r="Y1536" s="340"/>
      <c r="Z1536" s="341"/>
      <c r="AA1536" s="341"/>
      <c r="AB1536" s="341"/>
      <c r="AC1536" s="340"/>
      <c r="AD1536" s="75"/>
      <c r="AE1536" s="75"/>
      <c r="AF1536" s="75"/>
      <c r="AG1536" s="344"/>
      <c r="AH1536" s="344"/>
      <c r="AI1536" s="344"/>
      <c r="AJ1536" s="97"/>
      <c r="AK1536" s="4"/>
    </row>
    <row r="1537" spans="2:37" s="113" customFormat="1" x14ac:dyDescent="0.4">
      <c r="B1537" s="80"/>
      <c r="C1537" s="563">
        <v>1124</v>
      </c>
      <c r="D1537" s="907"/>
      <c r="E1537" s="906"/>
      <c r="F1537" s="921" t="str">
        <f t="shared" si="70"/>
        <v/>
      </c>
      <c r="G1537" s="882" t="str">
        <f t="shared" si="71"/>
        <v/>
      </c>
      <c r="H1537" s="925"/>
      <c r="I1537" s="919"/>
      <c r="J1537" s="919"/>
      <c r="K1537" s="919"/>
      <c r="L1537" s="919"/>
      <c r="O1537" s="339"/>
      <c r="T1537" s="75"/>
      <c r="U1537" s="75"/>
      <c r="V1537" s="75"/>
      <c r="W1537" s="75"/>
      <c r="X1537" s="75"/>
      <c r="Y1537" s="340"/>
      <c r="Z1537" s="341"/>
      <c r="AA1537" s="341"/>
      <c r="AB1537" s="341"/>
      <c r="AC1537" s="340"/>
      <c r="AD1537" s="75"/>
      <c r="AE1537" s="75"/>
      <c r="AF1537" s="75"/>
      <c r="AG1537" s="344"/>
      <c r="AH1537" s="344"/>
      <c r="AI1537" s="344"/>
      <c r="AJ1537" s="97"/>
      <c r="AK1537" s="4"/>
    </row>
    <row r="1538" spans="2:37" s="113" customFormat="1" x14ac:dyDescent="0.4">
      <c r="B1538" s="80"/>
      <c r="C1538" s="563">
        <v>1125</v>
      </c>
      <c r="D1538" s="907"/>
      <c r="E1538" s="906"/>
      <c r="F1538" s="921" t="str">
        <f t="shared" si="70"/>
        <v/>
      </c>
      <c r="G1538" s="882" t="str">
        <f t="shared" si="71"/>
        <v/>
      </c>
      <c r="H1538" s="925"/>
      <c r="I1538" s="919"/>
      <c r="J1538" s="919"/>
      <c r="K1538" s="919"/>
      <c r="L1538" s="919"/>
      <c r="O1538" s="339"/>
      <c r="T1538" s="75"/>
      <c r="U1538" s="75"/>
      <c r="V1538" s="75"/>
      <c r="W1538" s="75"/>
      <c r="X1538" s="75"/>
      <c r="Y1538" s="340"/>
      <c r="Z1538" s="341"/>
      <c r="AA1538" s="341"/>
      <c r="AB1538" s="341"/>
      <c r="AC1538" s="340"/>
      <c r="AD1538" s="75"/>
      <c r="AE1538" s="75"/>
      <c r="AF1538" s="75"/>
      <c r="AG1538" s="344"/>
      <c r="AH1538" s="344"/>
      <c r="AI1538" s="344"/>
      <c r="AJ1538" s="97"/>
      <c r="AK1538" s="4"/>
    </row>
    <row r="1539" spans="2:37" s="113" customFormat="1" x14ac:dyDescent="0.4">
      <c r="B1539" s="80"/>
      <c r="C1539" s="563">
        <v>1126</v>
      </c>
      <c r="D1539" s="907"/>
      <c r="E1539" s="906"/>
      <c r="F1539" s="921" t="str">
        <f t="shared" si="70"/>
        <v/>
      </c>
      <c r="G1539" s="882" t="str">
        <f t="shared" si="71"/>
        <v/>
      </c>
      <c r="H1539" s="925"/>
      <c r="I1539" s="919"/>
      <c r="J1539" s="919"/>
      <c r="K1539" s="919"/>
      <c r="L1539" s="919"/>
      <c r="O1539" s="339"/>
      <c r="T1539" s="75"/>
      <c r="U1539" s="75"/>
      <c r="V1539" s="75"/>
      <c r="W1539" s="75"/>
      <c r="X1539" s="75"/>
      <c r="Y1539" s="340"/>
      <c r="Z1539" s="341"/>
      <c r="AA1539" s="341"/>
      <c r="AB1539" s="341"/>
      <c r="AC1539" s="340"/>
      <c r="AD1539" s="75"/>
      <c r="AE1539" s="75"/>
      <c r="AF1539" s="75"/>
      <c r="AG1539" s="344"/>
      <c r="AH1539" s="344"/>
      <c r="AI1539" s="344"/>
      <c r="AJ1539" s="97"/>
      <c r="AK1539" s="4"/>
    </row>
    <row r="1540" spans="2:37" s="113" customFormat="1" x14ac:dyDescent="0.4">
      <c r="B1540" s="80"/>
      <c r="C1540" s="563">
        <v>1127</v>
      </c>
      <c r="D1540" s="907"/>
      <c r="E1540" s="906"/>
      <c r="F1540" s="921" t="str">
        <f t="shared" si="70"/>
        <v/>
      </c>
      <c r="G1540" s="882" t="str">
        <f t="shared" si="71"/>
        <v/>
      </c>
      <c r="H1540" s="925"/>
      <c r="I1540" s="919"/>
      <c r="J1540" s="919"/>
      <c r="K1540" s="919"/>
      <c r="L1540" s="919"/>
      <c r="O1540" s="339"/>
      <c r="T1540" s="75"/>
      <c r="U1540" s="75"/>
      <c r="V1540" s="75"/>
      <c r="W1540" s="75"/>
      <c r="X1540" s="75"/>
      <c r="Y1540" s="340"/>
      <c r="Z1540" s="341"/>
      <c r="AA1540" s="341"/>
      <c r="AB1540" s="341"/>
      <c r="AC1540" s="340"/>
      <c r="AD1540" s="75"/>
      <c r="AE1540" s="75"/>
      <c r="AF1540" s="75"/>
      <c r="AG1540" s="344"/>
      <c r="AH1540" s="344"/>
      <c r="AI1540" s="344"/>
      <c r="AJ1540" s="97"/>
      <c r="AK1540" s="4"/>
    </row>
    <row r="1541" spans="2:37" s="113" customFormat="1" x14ac:dyDescent="0.4">
      <c r="B1541" s="80"/>
      <c r="C1541" s="563">
        <v>1128</v>
      </c>
      <c r="D1541" s="907"/>
      <c r="E1541" s="906"/>
      <c r="F1541" s="921" t="str">
        <f t="shared" si="70"/>
        <v/>
      </c>
      <c r="G1541" s="882" t="str">
        <f t="shared" si="71"/>
        <v/>
      </c>
      <c r="H1541" s="925"/>
      <c r="I1541" s="919"/>
      <c r="J1541" s="919"/>
      <c r="K1541" s="919"/>
      <c r="L1541" s="919"/>
      <c r="O1541" s="339"/>
      <c r="T1541" s="75"/>
      <c r="U1541" s="75"/>
      <c r="V1541" s="75"/>
      <c r="W1541" s="75"/>
      <c r="X1541" s="75"/>
      <c r="Y1541" s="340"/>
      <c r="Z1541" s="341"/>
      <c r="AA1541" s="341"/>
      <c r="AB1541" s="341"/>
      <c r="AC1541" s="340"/>
      <c r="AD1541" s="75"/>
      <c r="AE1541" s="75"/>
      <c r="AF1541" s="75"/>
      <c r="AG1541" s="344"/>
      <c r="AH1541" s="344"/>
      <c r="AI1541" s="344"/>
      <c r="AJ1541" s="97"/>
      <c r="AK1541" s="4"/>
    </row>
    <row r="1542" spans="2:37" s="113" customFormat="1" x14ac:dyDescent="0.4">
      <c r="B1542" s="80"/>
      <c r="C1542" s="563">
        <v>1129</v>
      </c>
      <c r="D1542" s="907"/>
      <c r="E1542" s="906"/>
      <c r="F1542" s="921" t="str">
        <f t="shared" si="70"/>
        <v/>
      </c>
      <c r="G1542" s="882" t="str">
        <f t="shared" si="71"/>
        <v/>
      </c>
      <c r="H1542" s="925"/>
      <c r="I1542" s="919"/>
      <c r="J1542" s="919"/>
      <c r="K1542" s="919"/>
      <c r="L1542" s="919"/>
      <c r="O1542" s="339"/>
      <c r="T1542" s="75"/>
      <c r="U1542" s="75"/>
      <c r="V1542" s="75"/>
      <c r="W1542" s="75"/>
      <c r="X1542" s="75"/>
      <c r="Y1542" s="340"/>
      <c r="Z1542" s="341"/>
      <c r="AA1542" s="341"/>
      <c r="AB1542" s="341"/>
      <c r="AC1542" s="340"/>
      <c r="AD1542" s="75"/>
      <c r="AE1542" s="75"/>
      <c r="AF1542" s="75"/>
      <c r="AG1542" s="344"/>
      <c r="AH1542" s="344"/>
      <c r="AI1542" s="344"/>
      <c r="AJ1542" s="97"/>
      <c r="AK1542" s="4"/>
    </row>
    <row r="1543" spans="2:37" s="113" customFormat="1" x14ac:dyDescent="0.4">
      <c r="B1543" s="80"/>
      <c r="C1543" s="563">
        <v>1130</v>
      </c>
      <c r="D1543" s="907"/>
      <c r="E1543" s="906"/>
      <c r="F1543" s="921" t="str">
        <f t="shared" si="70"/>
        <v/>
      </c>
      <c r="G1543" s="882" t="str">
        <f t="shared" si="71"/>
        <v/>
      </c>
      <c r="H1543" s="925"/>
      <c r="I1543" s="919"/>
      <c r="J1543" s="919"/>
      <c r="K1543" s="919"/>
      <c r="L1543" s="919"/>
      <c r="O1543" s="339"/>
      <c r="T1543" s="75"/>
      <c r="U1543" s="75"/>
      <c r="V1543" s="75"/>
      <c r="W1543" s="75"/>
      <c r="X1543" s="75"/>
      <c r="Y1543" s="340"/>
      <c r="Z1543" s="341"/>
      <c r="AA1543" s="341"/>
      <c r="AB1543" s="341"/>
      <c r="AC1543" s="340"/>
      <c r="AD1543" s="75"/>
      <c r="AE1543" s="75"/>
      <c r="AF1543" s="75"/>
      <c r="AG1543" s="344"/>
      <c r="AH1543" s="344"/>
      <c r="AI1543" s="344"/>
      <c r="AJ1543" s="97"/>
      <c r="AK1543" s="4"/>
    </row>
    <row r="1544" spans="2:37" s="113" customFormat="1" x14ac:dyDescent="0.4">
      <c r="B1544" s="80"/>
      <c r="C1544" s="563">
        <v>1131</v>
      </c>
      <c r="D1544" s="907"/>
      <c r="E1544" s="906"/>
      <c r="F1544" s="921" t="str">
        <f t="shared" si="70"/>
        <v/>
      </c>
      <c r="G1544" s="882" t="str">
        <f t="shared" si="71"/>
        <v/>
      </c>
      <c r="H1544" s="925"/>
      <c r="I1544" s="919"/>
      <c r="J1544" s="919"/>
      <c r="K1544" s="919"/>
      <c r="L1544" s="919"/>
      <c r="O1544" s="339"/>
      <c r="T1544" s="75"/>
      <c r="U1544" s="75"/>
      <c r="V1544" s="75"/>
      <c r="W1544" s="75"/>
      <c r="X1544" s="75"/>
      <c r="Y1544" s="340"/>
      <c r="Z1544" s="341"/>
      <c r="AA1544" s="341"/>
      <c r="AB1544" s="341"/>
      <c r="AC1544" s="340"/>
      <c r="AD1544" s="75"/>
      <c r="AE1544" s="75"/>
      <c r="AF1544" s="75"/>
      <c r="AG1544" s="344"/>
      <c r="AH1544" s="344"/>
      <c r="AI1544" s="344"/>
      <c r="AJ1544" s="97"/>
      <c r="AK1544" s="4"/>
    </row>
    <row r="1545" spans="2:37" s="113" customFormat="1" x14ac:dyDescent="0.4">
      <c r="B1545" s="80"/>
      <c r="C1545" s="563">
        <v>1132</v>
      </c>
      <c r="D1545" s="907"/>
      <c r="E1545" s="906"/>
      <c r="F1545" s="921" t="str">
        <f t="shared" si="70"/>
        <v/>
      </c>
      <c r="G1545" s="882" t="str">
        <f t="shared" si="71"/>
        <v/>
      </c>
      <c r="H1545" s="925"/>
      <c r="I1545" s="919"/>
      <c r="J1545" s="919"/>
      <c r="K1545" s="919"/>
      <c r="L1545" s="919"/>
      <c r="O1545" s="339"/>
      <c r="T1545" s="75"/>
      <c r="U1545" s="75"/>
      <c r="V1545" s="75"/>
      <c r="W1545" s="75"/>
      <c r="X1545" s="75"/>
      <c r="Y1545" s="340"/>
      <c r="Z1545" s="341"/>
      <c r="AA1545" s="341"/>
      <c r="AB1545" s="341"/>
      <c r="AC1545" s="340"/>
      <c r="AD1545" s="75"/>
      <c r="AE1545" s="75"/>
      <c r="AF1545" s="75"/>
      <c r="AG1545" s="344"/>
      <c r="AH1545" s="344"/>
      <c r="AI1545" s="344"/>
      <c r="AJ1545" s="97"/>
      <c r="AK1545" s="4"/>
    </row>
    <row r="1546" spans="2:37" s="113" customFormat="1" x14ac:dyDescent="0.4">
      <c r="B1546" s="80"/>
      <c r="C1546" s="563">
        <v>1133</v>
      </c>
      <c r="D1546" s="907"/>
      <c r="E1546" s="906"/>
      <c r="F1546" s="921" t="str">
        <f t="shared" si="70"/>
        <v/>
      </c>
      <c r="G1546" s="882" t="str">
        <f t="shared" si="71"/>
        <v/>
      </c>
      <c r="H1546" s="925"/>
      <c r="I1546" s="919"/>
      <c r="J1546" s="919"/>
      <c r="K1546" s="919"/>
      <c r="L1546" s="919"/>
      <c r="O1546" s="339"/>
      <c r="T1546" s="75"/>
      <c r="U1546" s="75"/>
      <c r="V1546" s="75"/>
      <c r="W1546" s="75"/>
      <c r="X1546" s="75"/>
      <c r="Y1546" s="340"/>
      <c r="Z1546" s="341"/>
      <c r="AA1546" s="341"/>
      <c r="AB1546" s="341"/>
      <c r="AC1546" s="340"/>
      <c r="AD1546" s="75"/>
      <c r="AE1546" s="75"/>
      <c r="AF1546" s="75"/>
      <c r="AG1546" s="344"/>
      <c r="AH1546" s="344"/>
      <c r="AI1546" s="344"/>
      <c r="AJ1546" s="97"/>
      <c r="AK1546" s="4"/>
    </row>
    <row r="1547" spans="2:37" s="113" customFormat="1" x14ac:dyDescent="0.4">
      <c r="B1547" s="80"/>
      <c r="C1547" s="563">
        <v>1134</v>
      </c>
      <c r="D1547" s="907"/>
      <c r="E1547" s="906"/>
      <c r="F1547" s="921" t="str">
        <f t="shared" si="70"/>
        <v/>
      </c>
      <c r="G1547" s="882" t="str">
        <f t="shared" si="71"/>
        <v/>
      </c>
      <c r="H1547" s="925"/>
      <c r="I1547" s="919"/>
      <c r="J1547" s="919"/>
      <c r="K1547" s="919"/>
      <c r="L1547" s="919"/>
      <c r="O1547" s="339"/>
      <c r="T1547" s="75"/>
      <c r="U1547" s="75"/>
      <c r="V1547" s="75"/>
      <c r="W1547" s="75"/>
      <c r="X1547" s="75"/>
      <c r="Y1547" s="340"/>
      <c r="Z1547" s="341"/>
      <c r="AA1547" s="341"/>
      <c r="AB1547" s="341"/>
      <c r="AC1547" s="340"/>
      <c r="AD1547" s="75"/>
      <c r="AE1547" s="75"/>
      <c r="AF1547" s="75"/>
      <c r="AG1547" s="344"/>
      <c r="AH1547" s="344"/>
      <c r="AI1547" s="344"/>
      <c r="AJ1547" s="97"/>
      <c r="AK1547" s="4"/>
    </row>
    <row r="1548" spans="2:37" s="113" customFormat="1" x14ac:dyDescent="0.4">
      <c r="B1548" s="80"/>
      <c r="C1548" s="563">
        <v>1135</v>
      </c>
      <c r="D1548" s="907"/>
      <c r="E1548" s="906"/>
      <c r="F1548" s="921" t="str">
        <f t="shared" si="70"/>
        <v/>
      </c>
      <c r="G1548" s="882" t="str">
        <f t="shared" si="71"/>
        <v/>
      </c>
      <c r="H1548" s="925"/>
      <c r="I1548" s="919"/>
      <c r="J1548" s="919"/>
      <c r="K1548" s="919"/>
      <c r="L1548" s="919"/>
      <c r="O1548" s="339"/>
      <c r="T1548" s="75"/>
      <c r="U1548" s="75"/>
      <c r="V1548" s="75"/>
      <c r="W1548" s="75"/>
      <c r="X1548" s="75"/>
      <c r="Y1548" s="340"/>
      <c r="Z1548" s="341"/>
      <c r="AA1548" s="341"/>
      <c r="AB1548" s="341"/>
      <c r="AC1548" s="340"/>
      <c r="AD1548" s="75"/>
      <c r="AE1548" s="75"/>
      <c r="AF1548" s="75"/>
      <c r="AG1548" s="344"/>
      <c r="AH1548" s="344"/>
      <c r="AI1548" s="344"/>
      <c r="AJ1548" s="97"/>
      <c r="AK1548" s="4"/>
    </row>
    <row r="1549" spans="2:37" s="113" customFormat="1" x14ac:dyDescent="0.4">
      <c r="B1549" s="80"/>
      <c r="C1549" s="563">
        <v>1136</v>
      </c>
      <c r="D1549" s="907"/>
      <c r="E1549" s="906"/>
      <c r="F1549" s="921" t="str">
        <f t="shared" si="70"/>
        <v/>
      </c>
      <c r="G1549" s="882" t="str">
        <f t="shared" si="71"/>
        <v/>
      </c>
      <c r="H1549" s="925"/>
      <c r="I1549" s="919"/>
      <c r="J1549" s="919"/>
      <c r="K1549" s="919"/>
      <c r="L1549" s="919"/>
      <c r="O1549" s="339"/>
      <c r="T1549" s="75"/>
      <c r="U1549" s="75"/>
      <c r="V1549" s="75"/>
      <c r="W1549" s="75"/>
      <c r="X1549" s="75"/>
      <c r="Y1549" s="340"/>
      <c r="Z1549" s="341"/>
      <c r="AA1549" s="341"/>
      <c r="AB1549" s="341"/>
      <c r="AC1549" s="340"/>
      <c r="AD1549" s="75"/>
      <c r="AE1549" s="75"/>
      <c r="AF1549" s="75"/>
      <c r="AG1549" s="344"/>
      <c r="AH1549" s="344"/>
      <c r="AI1549" s="344"/>
      <c r="AJ1549" s="97"/>
      <c r="AK1549" s="4"/>
    </row>
    <row r="1550" spans="2:37" s="113" customFormat="1" x14ac:dyDescent="0.4">
      <c r="B1550" s="80"/>
      <c r="C1550" s="563">
        <v>1137</v>
      </c>
      <c r="D1550" s="907"/>
      <c r="E1550" s="906"/>
      <c r="F1550" s="921" t="str">
        <f t="shared" si="70"/>
        <v/>
      </c>
      <c r="G1550" s="882" t="str">
        <f t="shared" si="71"/>
        <v/>
      </c>
      <c r="H1550" s="925"/>
      <c r="I1550" s="919"/>
      <c r="J1550" s="919"/>
      <c r="K1550" s="919"/>
      <c r="L1550" s="919"/>
      <c r="O1550" s="339"/>
      <c r="T1550" s="75"/>
      <c r="U1550" s="75"/>
      <c r="V1550" s="75"/>
      <c r="W1550" s="75"/>
      <c r="X1550" s="75"/>
      <c r="Y1550" s="340"/>
      <c r="Z1550" s="341"/>
      <c r="AA1550" s="341"/>
      <c r="AB1550" s="341"/>
      <c r="AC1550" s="340"/>
      <c r="AD1550" s="75"/>
      <c r="AE1550" s="75"/>
      <c r="AF1550" s="75"/>
      <c r="AG1550" s="344"/>
      <c r="AH1550" s="344"/>
      <c r="AI1550" s="344"/>
      <c r="AJ1550" s="97"/>
      <c r="AK1550" s="4"/>
    </row>
    <row r="1551" spans="2:37" s="113" customFormat="1" x14ac:dyDescent="0.4">
      <c r="B1551" s="80"/>
      <c r="C1551" s="563">
        <v>1138</v>
      </c>
      <c r="D1551" s="907"/>
      <c r="E1551" s="906"/>
      <c r="F1551" s="921" t="str">
        <f t="shared" si="70"/>
        <v/>
      </c>
      <c r="G1551" s="882" t="str">
        <f t="shared" si="71"/>
        <v/>
      </c>
      <c r="H1551" s="925"/>
      <c r="I1551" s="919"/>
      <c r="J1551" s="919"/>
      <c r="K1551" s="919"/>
      <c r="L1551" s="919"/>
      <c r="O1551" s="339"/>
      <c r="T1551" s="75"/>
      <c r="U1551" s="75"/>
      <c r="V1551" s="75"/>
      <c r="W1551" s="75"/>
      <c r="X1551" s="75"/>
      <c r="Y1551" s="340"/>
      <c r="Z1551" s="341"/>
      <c r="AA1551" s="341"/>
      <c r="AB1551" s="341"/>
      <c r="AC1551" s="340"/>
      <c r="AD1551" s="75"/>
      <c r="AE1551" s="75"/>
      <c r="AF1551" s="75"/>
      <c r="AG1551" s="344"/>
      <c r="AH1551" s="344"/>
      <c r="AI1551" s="344"/>
      <c r="AJ1551" s="97"/>
      <c r="AK1551" s="4"/>
    </row>
    <row r="1552" spans="2:37" s="113" customFormat="1" x14ac:dyDescent="0.4">
      <c r="B1552" s="80"/>
      <c r="C1552" s="563">
        <v>1139</v>
      </c>
      <c r="D1552" s="907"/>
      <c r="E1552" s="906"/>
      <c r="F1552" s="921" t="str">
        <f t="shared" si="70"/>
        <v/>
      </c>
      <c r="G1552" s="882" t="str">
        <f t="shared" si="71"/>
        <v/>
      </c>
      <c r="H1552" s="925"/>
      <c r="I1552" s="919"/>
      <c r="J1552" s="919"/>
      <c r="K1552" s="919"/>
      <c r="L1552" s="919"/>
      <c r="O1552" s="339"/>
      <c r="T1552" s="75"/>
      <c r="U1552" s="75"/>
      <c r="V1552" s="75"/>
      <c r="W1552" s="75"/>
      <c r="X1552" s="75"/>
      <c r="Y1552" s="340"/>
      <c r="Z1552" s="341"/>
      <c r="AA1552" s="341"/>
      <c r="AB1552" s="341"/>
      <c r="AC1552" s="340"/>
      <c r="AD1552" s="75"/>
      <c r="AE1552" s="75"/>
      <c r="AF1552" s="75"/>
      <c r="AG1552" s="344"/>
      <c r="AH1552" s="344"/>
      <c r="AI1552" s="344"/>
      <c r="AJ1552" s="97"/>
      <c r="AK1552" s="4"/>
    </row>
    <row r="1553" spans="2:37" s="113" customFormat="1" x14ac:dyDescent="0.4">
      <c r="B1553" s="80"/>
      <c r="C1553" s="563">
        <v>1140</v>
      </c>
      <c r="D1553" s="907"/>
      <c r="E1553" s="906"/>
      <c r="F1553" s="921" t="str">
        <f t="shared" si="70"/>
        <v/>
      </c>
      <c r="G1553" s="882" t="str">
        <f t="shared" si="71"/>
        <v/>
      </c>
      <c r="H1553" s="925"/>
      <c r="I1553" s="919"/>
      <c r="J1553" s="919"/>
      <c r="K1553" s="919"/>
      <c r="L1553" s="919"/>
      <c r="O1553" s="339"/>
      <c r="T1553" s="75"/>
      <c r="U1553" s="75"/>
      <c r="V1553" s="75"/>
      <c r="W1553" s="75"/>
      <c r="X1553" s="75"/>
      <c r="Y1553" s="340"/>
      <c r="Z1553" s="341"/>
      <c r="AA1553" s="341"/>
      <c r="AB1553" s="341"/>
      <c r="AC1553" s="340"/>
      <c r="AD1553" s="75"/>
      <c r="AE1553" s="75"/>
      <c r="AF1553" s="75"/>
      <c r="AG1553" s="344"/>
      <c r="AH1553" s="344"/>
      <c r="AI1553" s="344"/>
      <c r="AJ1553" s="97"/>
      <c r="AK1553" s="4"/>
    </row>
    <row r="1554" spans="2:37" s="113" customFormat="1" x14ac:dyDescent="0.4">
      <c r="B1554" s="80"/>
      <c r="C1554" s="563">
        <v>1141</v>
      </c>
      <c r="D1554" s="907"/>
      <c r="E1554" s="906"/>
      <c r="F1554" s="921" t="str">
        <f t="shared" si="70"/>
        <v/>
      </c>
      <c r="G1554" s="882" t="str">
        <f t="shared" si="71"/>
        <v/>
      </c>
      <c r="H1554" s="925"/>
      <c r="I1554" s="919"/>
      <c r="J1554" s="919"/>
      <c r="K1554" s="919"/>
      <c r="L1554" s="919"/>
      <c r="O1554" s="339"/>
      <c r="T1554" s="75"/>
      <c r="U1554" s="75"/>
      <c r="V1554" s="75"/>
      <c r="W1554" s="75"/>
      <c r="X1554" s="75"/>
      <c r="Y1554" s="340"/>
      <c r="Z1554" s="341"/>
      <c r="AA1554" s="341"/>
      <c r="AB1554" s="341"/>
      <c r="AC1554" s="340"/>
      <c r="AD1554" s="75"/>
      <c r="AE1554" s="75"/>
      <c r="AF1554" s="75"/>
      <c r="AG1554" s="344"/>
      <c r="AH1554" s="344"/>
      <c r="AI1554" s="344"/>
      <c r="AJ1554" s="97"/>
      <c r="AK1554" s="4"/>
    </row>
    <row r="1555" spans="2:37" s="113" customFormat="1" x14ac:dyDescent="0.4">
      <c r="B1555" s="80"/>
      <c r="C1555" s="563">
        <v>1142</v>
      </c>
      <c r="D1555" s="907"/>
      <c r="E1555" s="906"/>
      <c r="F1555" s="921" t="str">
        <f t="shared" si="70"/>
        <v/>
      </c>
      <c r="G1555" s="882" t="str">
        <f t="shared" si="71"/>
        <v/>
      </c>
      <c r="H1555" s="925"/>
      <c r="I1555" s="919"/>
      <c r="J1555" s="919"/>
      <c r="K1555" s="919"/>
      <c r="L1555" s="919"/>
      <c r="O1555" s="339"/>
      <c r="T1555" s="75"/>
      <c r="U1555" s="75"/>
      <c r="V1555" s="75"/>
      <c r="W1555" s="75"/>
      <c r="X1555" s="75"/>
      <c r="Y1555" s="340"/>
      <c r="Z1555" s="341"/>
      <c r="AA1555" s="341"/>
      <c r="AB1555" s="341"/>
      <c r="AC1555" s="340"/>
      <c r="AD1555" s="75"/>
      <c r="AE1555" s="75"/>
      <c r="AF1555" s="75"/>
      <c r="AG1555" s="344"/>
      <c r="AH1555" s="344"/>
      <c r="AI1555" s="344"/>
      <c r="AJ1555" s="97"/>
      <c r="AK1555" s="4"/>
    </row>
    <row r="1556" spans="2:37" s="113" customFormat="1" x14ac:dyDescent="0.4">
      <c r="B1556" s="80"/>
      <c r="C1556" s="563">
        <v>1143</v>
      </c>
      <c r="D1556" s="907"/>
      <c r="E1556" s="906"/>
      <c r="F1556" s="921" t="str">
        <f t="shared" si="70"/>
        <v/>
      </c>
      <c r="G1556" s="882" t="str">
        <f t="shared" si="71"/>
        <v/>
      </c>
      <c r="H1556" s="925"/>
      <c r="I1556" s="919"/>
      <c r="J1556" s="919"/>
      <c r="K1556" s="919"/>
      <c r="L1556" s="919"/>
      <c r="O1556" s="339"/>
      <c r="T1556" s="75"/>
      <c r="U1556" s="75"/>
      <c r="V1556" s="75"/>
      <c r="W1556" s="75"/>
      <c r="X1556" s="75"/>
      <c r="Y1556" s="340"/>
      <c r="Z1556" s="341"/>
      <c r="AA1556" s="341"/>
      <c r="AB1556" s="341"/>
      <c r="AC1556" s="340"/>
      <c r="AD1556" s="75"/>
      <c r="AE1556" s="75"/>
      <c r="AF1556" s="75"/>
      <c r="AG1556" s="344"/>
      <c r="AH1556" s="344"/>
      <c r="AI1556" s="344"/>
      <c r="AJ1556" s="97"/>
      <c r="AK1556" s="4"/>
    </row>
    <row r="1557" spans="2:37" s="113" customFormat="1" x14ac:dyDescent="0.4">
      <c r="B1557" s="80"/>
      <c r="C1557" s="563">
        <v>1144</v>
      </c>
      <c r="D1557" s="907"/>
      <c r="E1557" s="906"/>
      <c r="F1557" s="921" t="str">
        <f t="shared" si="70"/>
        <v/>
      </c>
      <c r="G1557" s="882" t="str">
        <f t="shared" si="71"/>
        <v/>
      </c>
      <c r="H1557" s="925"/>
      <c r="I1557" s="919"/>
      <c r="J1557" s="919"/>
      <c r="K1557" s="919"/>
      <c r="L1557" s="919"/>
      <c r="O1557" s="339"/>
      <c r="T1557" s="75"/>
      <c r="U1557" s="75"/>
      <c r="V1557" s="75"/>
      <c r="W1557" s="75"/>
      <c r="X1557" s="75"/>
      <c r="Y1557" s="340"/>
      <c r="Z1557" s="341"/>
      <c r="AA1557" s="341"/>
      <c r="AB1557" s="341"/>
      <c r="AC1557" s="340"/>
      <c r="AD1557" s="75"/>
      <c r="AE1557" s="75"/>
      <c r="AF1557" s="75"/>
      <c r="AG1557" s="344"/>
      <c r="AH1557" s="344"/>
      <c r="AI1557" s="344"/>
      <c r="AJ1557" s="97"/>
      <c r="AK1557" s="4"/>
    </row>
    <row r="1558" spans="2:37" s="113" customFormat="1" x14ac:dyDescent="0.4">
      <c r="B1558" s="80"/>
      <c r="C1558" s="563">
        <v>1145</v>
      </c>
      <c r="D1558" s="907"/>
      <c r="E1558" s="906"/>
      <c r="F1558" s="921" t="str">
        <f t="shared" si="70"/>
        <v/>
      </c>
      <c r="G1558" s="882" t="str">
        <f t="shared" si="71"/>
        <v/>
      </c>
      <c r="H1558" s="925"/>
      <c r="I1558" s="919"/>
      <c r="J1558" s="919"/>
      <c r="K1558" s="919"/>
      <c r="L1558" s="919"/>
      <c r="O1558" s="339"/>
      <c r="T1558" s="75"/>
      <c r="U1558" s="75"/>
      <c r="V1558" s="75"/>
      <c r="W1558" s="75"/>
      <c r="X1558" s="75"/>
      <c r="Y1558" s="340"/>
      <c r="Z1558" s="341"/>
      <c r="AA1558" s="341"/>
      <c r="AB1558" s="341"/>
      <c r="AC1558" s="340"/>
      <c r="AD1558" s="75"/>
      <c r="AE1558" s="75"/>
      <c r="AF1558" s="75"/>
      <c r="AG1558" s="344"/>
      <c r="AH1558" s="344"/>
      <c r="AI1558" s="344"/>
      <c r="AJ1558" s="97"/>
      <c r="AK1558" s="4"/>
    </row>
    <row r="1559" spans="2:37" s="113" customFormat="1" x14ac:dyDescent="0.4">
      <c r="B1559" s="80"/>
      <c r="C1559" s="563">
        <v>1146</v>
      </c>
      <c r="D1559" s="907"/>
      <c r="E1559" s="906"/>
      <c r="F1559" s="921" t="str">
        <f t="shared" si="70"/>
        <v/>
      </c>
      <c r="G1559" s="882" t="str">
        <f t="shared" si="71"/>
        <v/>
      </c>
      <c r="H1559" s="925"/>
      <c r="I1559" s="919"/>
      <c r="J1559" s="919"/>
      <c r="K1559" s="919"/>
      <c r="L1559" s="919"/>
      <c r="O1559" s="339"/>
      <c r="T1559" s="75"/>
      <c r="U1559" s="75"/>
      <c r="V1559" s="75"/>
      <c r="W1559" s="75"/>
      <c r="X1559" s="75"/>
      <c r="Y1559" s="340"/>
      <c r="Z1559" s="341"/>
      <c r="AA1559" s="341"/>
      <c r="AB1559" s="341"/>
      <c r="AC1559" s="340"/>
      <c r="AD1559" s="75"/>
      <c r="AE1559" s="75"/>
      <c r="AF1559" s="75"/>
      <c r="AG1559" s="344"/>
      <c r="AH1559" s="344"/>
      <c r="AI1559" s="344"/>
      <c r="AJ1559" s="97"/>
      <c r="AK1559" s="4"/>
    </row>
    <row r="1560" spans="2:37" s="113" customFormat="1" x14ac:dyDescent="0.4">
      <c r="B1560" s="80"/>
      <c r="C1560" s="563">
        <v>1147</v>
      </c>
      <c r="D1560" s="907"/>
      <c r="E1560" s="906"/>
      <c r="F1560" s="921" t="str">
        <f t="shared" si="70"/>
        <v/>
      </c>
      <c r="G1560" s="882" t="str">
        <f t="shared" si="71"/>
        <v/>
      </c>
      <c r="H1560" s="925"/>
      <c r="I1560" s="919"/>
      <c r="J1560" s="919"/>
      <c r="K1560" s="919"/>
      <c r="L1560" s="919"/>
      <c r="O1560" s="339"/>
      <c r="T1560" s="75"/>
      <c r="U1560" s="75"/>
      <c r="V1560" s="75"/>
      <c r="W1560" s="75"/>
      <c r="X1560" s="75"/>
      <c r="Y1560" s="340"/>
      <c r="Z1560" s="341"/>
      <c r="AA1560" s="341"/>
      <c r="AB1560" s="341"/>
      <c r="AC1560" s="340"/>
      <c r="AD1560" s="75"/>
      <c r="AE1560" s="75"/>
      <c r="AF1560" s="75"/>
      <c r="AG1560" s="344"/>
      <c r="AH1560" s="344"/>
      <c r="AI1560" s="344"/>
      <c r="AJ1560" s="97"/>
      <c r="AK1560" s="4"/>
    </row>
    <row r="1561" spans="2:37" s="113" customFormat="1" x14ac:dyDescent="0.4">
      <c r="B1561" s="80"/>
      <c r="C1561" s="563">
        <v>1148</v>
      </c>
      <c r="D1561" s="907"/>
      <c r="E1561" s="906"/>
      <c r="F1561" s="921" t="str">
        <f t="shared" si="70"/>
        <v/>
      </c>
      <c r="G1561" s="882" t="str">
        <f t="shared" si="71"/>
        <v/>
      </c>
      <c r="H1561" s="925"/>
      <c r="I1561" s="919"/>
      <c r="J1561" s="919"/>
      <c r="K1561" s="919"/>
      <c r="L1561" s="919"/>
      <c r="O1561" s="339"/>
      <c r="T1561" s="75"/>
      <c r="U1561" s="75"/>
      <c r="V1561" s="75"/>
      <c r="W1561" s="75"/>
      <c r="X1561" s="75"/>
      <c r="Y1561" s="340"/>
      <c r="Z1561" s="341"/>
      <c r="AA1561" s="341"/>
      <c r="AB1561" s="341"/>
      <c r="AC1561" s="340"/>
      <c r="AD1561" s="75"/>
      <c r="AE1561" s="75"/>
      <c r="AF1561" s="75"/>
      <c r="AG1561" s="344"/>
      <c r="AH1561" s="344"/>
      <c r="AI1561" s="344"/>
      <c r="AJ1561" s="97"/>
      <c r="AK1561" s="4"/>
    </row>
    <row r="1562" spans="2:37" s="113" customFormat="1" x14ac:dyDescent="0.4">
      <c r="B1562" s="80"/>
      <c r="C1562" s="563">
        <v>1149</v>
      </c>
      <c r="D1562" s="907"/>
      <c r="E1562" s="906"/>
      <c r="F1562" s="921" t="str">
        <f t="shared" si="70"/>
        <v/>
      </c>
      <c r="G1562" s="882" t="str">
        <f t="shared" si="71"/>
        <v/>
      </c>
      <c r="H1562" s="925"/>
      <c r="I1562" s="919"/>
      <c r="J1562" s="919"/>
      <c r="K1562" s="919"/>
      <c r="L1562" s="919"/>
      <c r="O1562" s="339"/>
      <c r="T1562" s="75"/>
      <c r="U1562" s="75"/>
      <c r="V1562" s="75"/>
      <c r="W1562" s="75"/>
      <c r="X1562" s="75"/>
      <c r="Y1562" s="340"/>
      <c r="Z1562" s="341"/>
      <c r="AA1562" s="341"/>
      <c r="AB1562" s="341"/>
      <c r="AC1562" s="340"/>
      <c r="AD1562" s="75"/>
      <c r="AE1562" s="75"/>
      <c r="AF1562" s="75"/>
      <c r="AG1562" s="344"/>
      <c r="AH1562" s="344"/>
      <c r="AI1562" s="344"/>
      <c r="AJ1562" s="97"/>
      <c r="AK1562" s="4"/>
    </row>
    <row r="1563" spans="2:37" s="113" customFormat="1" x14ac:dyDescent="0.4">
      <c r="B1563" s="80"/>
      <c r="C1563" s="563">
        <v>1150</v>
      </c>
      <c r="D1563" s="907"/>
      <c r="E1563" s="906"/>
      <c r="F1563" s="921" t="str">
        <f t="shared" si="70"/>
        <v/>
      </c>
      <c r="G1563" s="882" t="str">
        <f t="shared" si="71"/>
        <v/>
      </c>
      <c r="H1563" s="925"/>
      <c r="I1563" s="919"/>
      <c r="J1563" s="919"/>
      <c r="K1563" s="919"/>
      <c r="L1563" s="919"/>
      <c r="O1563" s="339"/>
      <c r="T1563" s="75"/>
      <c r="U1563" s="75"/>
      <c r="V1563" s="75"/>
      <c r="W1563" s="75"/>
      <c r="X1563" s="75"/>
      <c r="Y1563" s="340"/>
      <c r="Z1563" s="341"/>
      <c r="AA1563" s="341"/>
      <c r="AB1563" s="341"/>
      <c r="AC1563" s="340"/>
      <c r="AD1563" s="75"/>
      <c r="AE1563" s="75"/>
      <c r="AF1563" s="75"/>
      <c r="AG1563" s="344"/>
      <c r="AH1563" s="344"/>
      <c r="AI1563" s="344"/>
      <c r="AJ1563" s="97"/>
      <c r="AK1563" s="4"/>
    </row>
    <row r="1564" spans="2:37" s="113" customFormat="1" x14ac:dyDescent="0.4">
      <c r="B1564" s="80"/>
      <c r="C1564" s="563">
        <v>1151</v>
      </c>
      <c r="D1564" s="907"/>
      <c r="E1564" s="906"/>
      <c r="F1564" s="921" t="str">
        <f t="shared" si="70"/>
        <v/>
      </c>
      <c r="G1564" s="882" t="str">
        <f t="shared" si="71"/>
        <v/>
      </c>
      <c r="H1564" s="925"/>
      <c r="I1564" s="919"/>
      <c r="J1564" s="919"/>
      <c r="K1564" s="919"/>
      <c r="L1564" s="919"/>
      <c r="O1564" s="339"/>
      <c r="T1564" s="75"/>
      <c r="U1564" s="75"/>
      <c r="V1564" s="75"/>
      <c r="W1564" s="75"/>
      <c r="X1564" s="75"/>
      <c r="Y1564" s="340"/>
      <c r="Z1564" s="341"/>
      <c r="AA1564" s="341"/>
      <c r="AB1564" s="341"/>
      <c r="AC1564" s="340"/>
      <c r="AD1564" s="75"/>
      <c r="AE1564" s="75"/>
      <c r="AF1564" s="75"/>
      <c r="AG1564" s="344"/>
      <c r="AH1564" s="344"/>
      <c r="AI1564" s="344"/>
      <c r="AJ1564" s="97"/>
      <c r="AK1564" s="4"/>
    </row>
    <row r="1565" spans="2:37" s="113" customFormat="1" x14ac:dyDescent="0.4">
      <c r="B1565" s="80"/>
      <c r="C1565" s="563">
        <v>1152</v>
      </c>
      <c r="D1565" s="907"/>
      <c r="E1565" s="906"/>
      <c r="F1565" s="921" t="str">
        <f t="shared" si="70"/>
        <v/>
      </c>
      <c r="G1565" s="882" t="str">
        <f t="shared" si="71"/>
        <v/>
      </c>
      <c r="H1565" s="925"/>
      <c r="I1565" s="919"/>
      <c r="J1565" s="919"/>
      <c r="K1565" s="919"/>
      <c r="L1565" s="919"/>
      <c r="O1565" s="339"/>
      <c r="T1565" s="75"/>
      <c r="U1565" s="75"/>
      <c r="V1565" s="75"/>
      <c r="W1565" s="75"/>
      <c r="X1565" s="75"/>
      <c r="Y1565" s="340"/>
      <c r="Z1565" s="341"/>
      <c r="AA1565" s="341"/>
      <c r="AB1565" s="341"/>
      <c r="AC1565" s="340"/>
      <c r="AD1565" s="75"/>
      <c r="AE1565" s="75"/>
      <c r="AF1565" s="75"/>
      <c r="AG1565" s="344"/>
      <c r="AH1565" s="344"/>
      <c r="AI1565" s="344"/>
      <c r="AJ1565" s="97"/>
      <c r="AK1565" s="4"/>
    </row>
    <row r="1566" spans="2:37" s="113" customFormat="1" x14ac:dyDescent="0.4">
      <c r="B1566" s="80"/>
      <c r="C1566" s="563">
        <v>1153</v>
      </c>
      <c r="D1566" s="907"/>
      <c r="E1566" s="906"/>
      <c r="F1566" s="921" t="str">
        <f t="shared" ref="F1566:F1629" si="72">IF($D$30="","",IF(OR(
AND(C1566&gt;=0,C1566&lt;=$D$32),
AND(C1566&gt;=$E$30,C1566&lt;=$E$32),
AND(C1566&gt;=$F$30,C1566&lt;=$F$32),
AND(C1566&gt;=$G$30,C1566&lt;=$G$32),
AND(C1566&gt;=$H$30,C1566&lt;=$H$32),
AND(C1566&gt;=$I$30,C1566&lt;=$I$32),
AND(C1566&gt;=$J$30,C1566&lt;=$J$32),
AND(C1566&gt;=$K$30,C1566&lt;=$K$32),
AND(C1566&gt;=$L$30,C1566&lt;=$L$32),
AND(C1566&gt;=$M$30,C1566&lt;=$M$32,$M$32&lt;&gt;""),
AND(C1566&gt;=$N$30,C1566&lt;=$N$32,$N$32&lt;&gt;""),
AND(C1566&gt;=$O$30,C1566&lt;=$O$32,$O$32&lt;&gt;""),
AND(C1566&gt;=$P$30,C1566&lt;=$P$32,$P$32&lt;&gt;""),
AND(C1566&gt;=$Q$30,C1566&lt;=$Q$32,$Q$32&lt;&gt;"")
),"ON","OFF"))</f>
        <v/>
      </c>
      <c r="G1566" s="882" t="str">
        <f t="shared" si="71"/>
        <v/>
      </c>
      <c r="H1566" s="925"/>
      <c r="I1566" s="919"/>
      <c r="J1566" s="919"/>
      <c r="K1566" s="919"/>
      <c r="L1566" s="919"/>
      <c r="O1566" s="339"/>
      <c r="T1566" s="75"/>
      <c r="U1566" s="75"/>
      <c r="V1566" s="75"/>
      <c r="W1566" s="75"/>
      <c r="X1566" s="75"/>
      <c r="Y1566" s="340"/>
      <c r="Z1566" s="341"/>
      <c r="AA1566" s="341"/>
      <c r="AB1566" s="341"/>
      <c r="AC1566" s="340"/>
      <c r="AD1566" s="75"/>
      <c r="AE1566" s="75"/>
      <c r="AF1566" s="75"/>
      <c r="AG1566" s="344"/>
      <c r="AH1566" s="344"/>
      <c r="AI1566" s="344"/>
      <c r="AJ1566" s="97"/>
      <c r="AK1566" s="4"/>
    </row>
    <row r="1567" spans="2:37" s="113" customFormat="1" x14ac:dyDescent="0.4">
      <c r="B1567" s="80"/>
      <c r="C1567" s="563">
        <v>1154</v>
      </c>
      <c r="D1567" s="907"/>
      <c r="E1567" s="906"/>
      <c r="F1567" s="921" t="str">
        <f t="shared" si="72"/>
        <v/>
      </c>
      <c r="G1567" s="882" t="str">
        <f t="shared" ref="G1567:G1630" si="73">IF(OR($D$47="",$D$48=""),"",IF(OR(
AND(C1567&gt;=$D$47,C1567&lt;=$D$48),
AND(C1567&gt;=$E$47,C1567&lt;=$E$48),
AND(C1567&gt;=$F$47,C1567&lt;=$F$48),
AND(C1567&gt;=$G$47,C1567&lt;=$G$48),
AND(C1567&gt;=$H$47,C1567&lt;=$H$48),
AND(C1567&gt;=$I$47,C1567&lt;=$I$48),
AND(C1567&gt;=$J$47,C1567&lt;=$J$48),
AND(C1567&gt;=$K$47,C1567&lt;=$K$48),
AND(C1567&gt;=$L$47,C1567&lt;=$L$48),
AND(C1567&gt;=$M$47,C1567&lt;=$M$48),
AND(C1567&gt;=$N$47,C1567&lt;=$N$48),
AND(C1567&gt;=$O$47,C1567&lt;=$O$48),
AND(C1567&gt;=$P$47,C1567&lt;=$P$48),
AND(C1567&gt;=$Q$47,C1567&lt;=$Q$48),
AND(C1567&gt;=$R$47,C1567&lt;=$R$48),
AND(C1567&gt;=$S$47,C1567&lt;=$S$48),
AND(C1567&gt;=$T$47,C1567&lt;=$T$48),
AND(C1567&gt;=$U$47,C1567&lt;=$U$48),
AND(C1567&gt;=$V$47,C1567&lt;=$V$48),
AND(C1567&gt;=$W$47,C1567&lt;=$W$48),
AND(C1567&gt;=$X$47,C1567&lt;=$X$48),
AND(C1567&gt;=$Y$47,C1567&lt;=$Y$48),
AND(C1567&gt;=$Z$47,C1567&lt;=$Z$48),
AND(C1567&gt;=$AA$47,C1567&lt;=$AA$48),
AND(C1567&gt;=$AB$47,C1567&lt;=$AB$48),
AND(C1567&gt;=$AC$47,C1567&lt;=$AC$48),
AND(C1567&gt;=$AD$47,C1567&lt;=$AD$48),
AND(C1567&gt;=$AE$47,C1567&lt;=$AE$48),
AND(C1567&gt;=$AF$47,C1567&lt;=$AF$48),
AND(C1567&gt;=$AG$47,C1567&lt;=$AG$48)
),"ON","OFF"))</f>
        <v/>
      </c>
      <c r="H1567" s="925"/>
      <c r="I1567" s="919"/>
      <c r="J1567" s="919"/>
      <c r="K1567" s="919"/>
      <c r="L1567" s="919"/>
      <c r="O1567" s="339"/>
      <c r="T1567" s="75"/>
      <c r="U1567" s="75"/>
      <c r="V1567" s="75"/>
      <c r="W1567" s="75"/>
      <c r="X1567" s="75"/>
      <c r="Y1567" s="340"/>
      <c r="Z1567" s="341"/>
      <c r="AA1567" s="341"/>
      <c r="AB1567" s="341"/>
      <c r="AC1567" s="340"/>
      <c r="AD1567" s="75"/>
      <c r="AE1567" s="75"/>
      <c r="AF1567" s="75"/>
      <c r="AG1567" s="344"/>
      <c r="AH1567" s="344"/>
      <c r="AI1567" s="344"/>
      <c r="AJ1567" s="97"/>
      <c r="AK1567" s="4"/>
    </row>
    <row r="1568" spans="2:37" s="113" customFormat="1" x14ac:dyDescent="0.4">
      <c r="B1568" s="80"/>
      <c r="C1568" s="563">
        <v>1155</v>
      </c>
      <c r="D1568" s="907"/>
      <c r="E1568" s="906"/>
      <c r="F1568" s="921" t="str">
        <f t="shared" si="72"/>
        <v/>
      </c>
      <c r="G1568" s="882" t="str">
        <f t="shared" si="73"/>
        <v/>
      </c>
      <c r="H1568" s="925"/>
      <c r="I1568" s="919"/>
      <c r="J1568" s="919"/>
      <c r="K1568" s="919"/>
      <c r="L1568" s="919"/>
      <c r="O1568" s="339"/>
      <c r="T1568" s="75"/>
      <c r="U1568" s="75"/>
      <c r="V1568" s="75"/>
      <c r="W1568" s="75"/>
      <c r="X1568" s="75"/>
      <c r="Y1568" s="340"/>
      <c r="Z1568" s="341"/>
      <c r="AA1568" s="341"/>
      <c r="AB1568" s="341"/>
      <c r="AC1568" s="340"/>
      <c r="AD1568" s="75"/>
      <c r="AE1568" s="75"/>
      <c r="AF1568" s="75"/>
      <c r="AG1568" s="344"/>
      <c r="AH1568" s="344"/>
      <c r="AI1568" s="344"/>
      <c r="AJ1568" s="97"/>
      <c r="AK1568" s="4"/>
    </row>
    <row r="1569" spans="2:37" s="113" customFormat="1" x14ac:dyDescent="0.4">
      <c r="B1569" s="80"/>
      <c r="C1569" s="563">
        <v>1156</v>
      </c>
      <c r="D1569" s="907"/>
      <c r="E1569" s="906"/>
      <c r="F1569" s="921" t="str">
        <f t="shared" si="72"/>
        <v/>
      </c>
      <c r="G1569" s="882" t="str">
        <f t="shared" si="73"/>
        <v/>
      </c>
      <c r="H1569" s="925"/>
      <c r="I1569" s="919"/>
      <c r="J1569" s="919"/>
      <c r="K1569" s="919"/>
      <c r="L1569" s="919"/>
      <c r="O1569" s="339"/>
      <c r="T1569" s="75"/>
      <c r="U1569" s="75"/>
      <c r="V1569" s="75"/>
      <c r="W1569" s="75"/>
      <c r="X1569" s="75"/>
      <c r="Y1569" s="340"/>
      <c r="Z1569" s="341"/>
      <c r="AA1569" s="341"/>
      <c r="AB1569" s="341"/>
      <c r="AC1569" s="340"/>
      <c r="AD1569" s="75"/>
      <c r="AE1569" s="75"/>
      <c r="AF1569" s="75"/>
      <c r="AG1569" s="344"/>
      <c r="AH1569" s="344"/>
      <c r="AI1569" s="344"/>
      <c r="AJ1569" s="97"/>
      <c r="AK1569" s="4"/>
    </row>
    <row r="1570" spans="2:37" s="113" customFormat="1" x14ac:dyDescent="0.4">
      <c r="B1570" s="80"/>
      <c r="C1570" s="563">
        <v>1157</v>
      </c>
      <c r="D1570" s="907"/>
      <c r="E1570" s="906"/>
      <c r="F1570" s="921" t="str">
        <f t="shared" si="72"/>
        <v/>
      </c>
      <c r="G1570" s="882" t="str">
        <f t="shared" si="73"/>
        <v/>
      </c>
      <c r="H1570" s="925"/>
      <c r="I1570" s="919"/>
      <c r="J1570" s="919"/>
      <c r="K1570" s="919"/>
      <c r="L1570" s="919"/>
      <c r="O1570" s="339"/>
      <c r="T1570" s="75"/>
      <c r="U1570" s="75"/>
      <c r="V1570" s="75"/>
      <c r="W1570" s="75"/>
      <c r="X1570" s="75"/>
      <c r="Y1570" s="340"/>
      <c r="Z1570" s="341"/>
      <c r="AA1570" s="341"/>
      <c r="AB1570" s="341"/>
      <c r="AC1570" s="340"/>
      <c r="AD1570" s="75"/>
      <c r="AE1570" s="75"/>
      <c r="AF1570" s="75"/>
      <c r="AG1570" s="344"/>
      <c r="AH1570" s="344"/>
      <c r="AI1570" s="344"/>
      <c r="AJ1570" s="97"/>
      <c r="AK1570" s="4"/>
    </row>
    <row r="1571" spans="2:37" s="113" customFormat="1" x14ac:dyDescent="0.4">
      <c r="B1571" s="80"/>
      <c r="C1571" s="563">
        <v>1158</v>
      </c>
      <c r="D1571" s="907"/>
      <c r="E1571" s="906"/>
      <c r="F1571" s="921" t="str">
        <f t="shared" si="72"/>
        <v/>
      </c>
      <c r="G1571" s="882" t="str">
        <f t="shared" si="73"/>
        <v/>
      </c>
      <c r="H1571" s="925"/>
      <c r="I1571" s="919"/>
      <c r="J1571" s="919"/>
      <c r="K1571" s="919"/>
      <c r="L1571" s="919"/>
      <c r="O1571" s="339"/>
      <c r="T1571" s="75"/>
      <c r="U1571" s="75"/>
      <c r="V1571" s="75"/>
      <c r="W1571" s="75"/>
      <c r="X1571" s="75"/>
      <c r="Y1571" s="340"/>
      <c r="Z1571" s="341"/>
      <c r="AA1571" s="341"/>
      <c r="AB1571" s="341"/>
      <c r="AC1571" s="340"/>
      <c r="AD1571" s="75"/>
      <c r="AE1571" s="75"/>
      <c r="AF1571" s="75"/>
      <c r="AG1571" s="344"/>
      <c r="AH1571" s="344"/>
      <c r="AI1571" s="344"/>
      <c r="AJ1571" s="97"/>
      <c r="AK1571" s="4"/>
    </row>
    <row r="1572" spans="2:37" s="113" customFormat="1" x14ac:dyDescent="0.4">
      <c r="B1572" s="80"/>
      <c r="C1572" s="563">
        <v>1159</v>
      </c>
      <c r="D1572" s="907"/>
      <c r="E1572" s="906"/>
      <c r="F1572" s="921" t="str">
        <f t="shared" si="72"/>
        <v/>
      </c>
      <c r="G1572" s="882" t="str">
        <f t="shared" si="73"/>
        <v/>
      </c>
      <c r="H1572" s="925"/>
      <c r="I1572" s="919"/>
      <c r="J1572" s="919"/>
      <c r="K1572" s="919"/>
      <c r="L1572" s="919"/>
      <c r="O1572" s="339"/>
      <c r="T1572" s="75"/>
      <c r="U1572" s="75"/>
      <c r="V1572" s="75"/>
      <c r="W1572" s="75"/>
      <c r="X1572" s="75"/>
      <c r="Y1572" s="340"/>
      <c r="Z1572" s="341"/>
      <c r="AA1572" s="341"/>
      <c r="AB1572" s="341"/>
      <c r="AC1572" s="340"/>
      <c r="AD1572" s="75"/>
      <c r="AE1572" s="75"/>
      <c r="AF1572" s="75"/>
      <c r="AG1572" s="344"/>
      <c r="AH1572" s="344"/>
      <c r="AI1572" s="344"/>
      <c r="AJ1572" s="97"/>
      <c r="AK1572" s="4"/>
    </row>
    <row r="1573" spans="2:37" s="113" customFormat="1" x14ac:dyDescent="0.4">
      <c r="B1573" s="80"/>
      <c r="C1573" s="563">
        <v>1160</v>
      </c>
      <c r="D1573" s="907"/>
      <c r="E1573" s="906"/>
      <c r="F1573" s="921" t="str">
        <f t="shared" si="72"/>
        <v/>
      </c>
      <c r="G1573" s="882" t="str">
        <f t="shared" si="73"/>
        <v/>
      </c>
      <c r="H1573" s="925"/>
      <c r="I1573" s="919"/>
      <c r="J1573" s="919"/>
      <c r="K1573" s="919"/>
      <c r="L1573" s="919"/>
      <c r="O1573" s="339"/>
      <c r="T1573" s="75"/>
      <c r="U1573" s="75"/>
      <c r="V1573" s="75"/>
      <c r="W1573" s="75"/>
      <c r="X1573" s="75"/>
      <c r="Y1573" s="340"/>
      <c r="Z1573" s="341"/>
      <c r="AA1573" s="341"/>
      <c r="AB1573" s="341"/>
      <c r="AC1573" s="340"/>
      <c r="AD1573" s="75"/>
      <c r="AE1573" s="75"/>
      <c r="AF1573" s="75"/>
      <c r="AG1573" s="344"/>
      <c r="AH1573" s="344"/>
      <c r="AI1573" s="344"/>
      <c r="AJ1573" s="97"/>
      <c r="AK1573" s="4"/>
    </row>
    <row r="1574" spans="2:37" s="113" customFormat="1" x14ac:dyDescent="0.4">
      <c r="B1574" s="80"/>
      <c r="C1574" s="563">
        <v>1161</v>
      </c>
      <c r="D1574" s="907"/>
      <c r="E1574" s="906"/>
      <c r="F1574" s="921" t="str">
        <f t="shared" si="72"/>
        <v/>
      </c>
      <c r="G1574" s="882" t="str">
        <f t="shared" si="73"/>
        <v/>
      </c>
      <c r="H1574" s="925"/>
      <c r="I1574" s="919"/>
      <c r="J1574" s="919"/>
      <c r="K1574" s="919"/>
      <c r="L1574" s="919"/>
      <c r="O1574" s="339"/>
      <c r="T1574" s="75"/>
      <c r="U1574" s="75"/>
      <c r="V1574" s="75"/>
      <c r="W1574" s="75"/>
      <c r="X1574" s="75"/>
      <c r="Y1574" s="340"/>
      <c r="Z1574" s="341"/>
      <c r="AA1574" s="341"/>
      <c r="AB1574" s="341"/>
      <c r="AC1574" s="340"/>
      <c r="AD1574" s="75"/>
      <c r="AE1574" s="75"/>
      <c r="AF1574" s="75"/>
      <c r="AG1574" s="344"/>
      <c r="AH1574" s="344"/>
      <c r="AI1574" s="344"/>
      <c r="AJ1574" s="97"/>
      <c r="AK1574" s="4"/>
    </row>
    <row r="1575" spans="2:37" s="113" customFormat="1" x14ac:dyDescent="0.4">
      <c r="B1575" s="80"/>
      <c r="C1575" s="563">
        <v>1162</v>
      </c>
      <c r="D1575" s="907"/>
      <c r="E1575" s="906"/>
      <c r="F1575" s="921" t="str">
        <f t="shared" si="72"/>
        <v/>
      </c>
      <c r="G1575" s="882" t="str">
        <f t="shared" si="73"/>
        <v/>
      </c>
      <c r="H1575" s="925"/>
      <c r="I1575" s="919"/>
      <c r="J1575" s="919"/>
      <c r="K1575" s="919"/>
      <c r="L1575" s="919"/>
      <c r="O1575" s="339"/>
      <c r="T1575" s="75"/>
      <c r="U1575" s="75"/>
      <c r="V1575" s="75"/>
      <c r="W1575" s="75"/>
      <c r="X1575" s="75"/>
      <c r="Y1575" s="340"/>
      <c r="Z1575" s="341"/>
      <c r="AA1575" s="341"/>
      <c r="AB1575" s="341"/>
      <c r="AC1575" s="340"/>
      <c r="AD1575" s="75"/>
      <c r="AE1575" s="75"/>
      <c r="AF1575" s="75"/>
      <c r="AG1575" s="344"/>
      <c r="AH1575" s="344"/>
      <c r="AI1575" s="344"/>
      <c r="AJ1575" s="97"/>
      <c r="AK1575" s="4"/>
    </row>
    <row r="1576" spans="2:37" s="113" customFormat="1" x14ac:dyDescent="0.4">
      <c r="B1576" s="80"/>
      <c r="C1576" s="563">
        <v>1163</v>
      </c>
      <c r="D1576" s="907"/>
      <c r="E1576" s="906"/>
      <c r="F1576" s="921" t="str">
        <f t="shared" si="72"/>
        <v/>
      </c>
      <c r="G1576" s="882" t="str">
        <f t="shared" si="73"/>
        <v/>
      </c>
      <c r="H1576" s="925"/>
      <c r="I1576" s="919"/>
      <c r="J1576" s="919"/>
      <c r="K1576" s="919"/>
      <c r="L1576" s="919"/>
      <c r="O1576" s="339"/>
      <c r="T1576" s="75"/>
      <c r="U1576" s="75"/>
      <c r="V1576" s="75"/>
      <c r="W1576" s="75"/>
      <c r="X1576" s="75"/>
      <c r="Y1576" s="340"/>
      <c r="Z1576" s="341"/>
      <c r="AA1576" s="341"/>
      <c r="AB1576" s="341"/>
      <c r="AC1576" s="340"/>
      <c r="AD1576" s="75"/>
      <c r="AE1576" s="75"/>
      <c r="AF1576" s="75"/>
      <c r="AG1576" s="344"/>
      <c r="AH1576" s="344"/>
      <c r="AI1576" s="344"/>
      <c r="AJ1576" s="97"/>
      <c r="AK1576" s="4"/>
    </row>
    <row r="1577" spans="2:37" s="113" customFormat="1" x14ac:dyDescent="0.4">
      <c r="B1577" s="80"/>
      <c r="C1577" s="563">
        <v>1164</v>
      </c>
      <c r="D1577" s="907"/>
      <c r="E1577" s="906"/>
      <c r="F1577" s="921" t="str">
        <f t="shared" si="72"/>
        <v/>
      </c>
      <c r="G1577" s="882" t="str">
        <f t="shared" si="73"/>
        <v/>
      </c>
      <c r="H1577" s="925"/>
      <c r="I1577" s="919"/>
      <c r="J1577" s="919"/>
      <c r="K1577" s="919"/>
      <c r="L1577" s="919"/>
      <c r="O1577" s="339"/>
      <c r="T1577" s="75"/>
      <c r="U1577" s="75"/>
      <c r="V1577" s="75"/>
      <c r="W1577" s="75"/>
      <c r="X1577" s="75"/>
      <c r="Y1577" s="340"/>
      <c r="Z1577" s="341"/>
      <c r="AA1577" s="341"/>
      <c r="AB1577" s="341"/>
      <c r="AC1577" s="340"/>
      <c r="AD1577" s="75"/>
      <c r="AE1577" s="75"/>
      <c r="AF1577" s="75"/>
      <c r="AG1577" s="344"/>
      <c r="AH1577" s="344"/>
      <c r="AI1577" s="344"/>
      <c r="AJ1577" s="97"/>
      <c r="AK1577" s="4"/>
    </row>
    <row r="1578" spans="2:37" s="113" customFormat="1" x14ac:dyDescent="0.4">
      <c r="B1578" s="80"/>
      <c r="C1578" s="563">
        <v>1165</v>
      </c>
      <c r="D1578" s="907"/>
      <c r="E1578" s="906"/>
      <c r="F1578" s="921" t="str">
        <f t="shared" si="72"/>
        <v/>
      </c>
      <c r="G1578" s="882" t="str">
        <f t="shared" si="73"/>
        <v/>
      </c>
      <c r="H1578" s="925"/>
      <c r="I1578" s="919"/>
      <c r="J1578" s="919"/>
      <c r="K1578" s="919"/>
      <c r="L1578" s="919"/>
      <c r="O1578" s="339"/>
      <c r="T1578" s="75"/>
      <c r="U1578" s="75"/>
      <c r="V1578" s="75"/>
      <c r="W1578" s="75"/>
      <c r="X1578" s="75"/>
      <c r="Y1578" s="340"/>
      <c r="Z1578" s="341"/>
      <c r="AA1578" s="341"/>
      <c r="AB1578" s="341"/>
      <c r="AC1578" s="340"/>
      <c r="AD1578" s="75"/>
      <c r="AE1578" s="75"/>
      <c r="AF1578" s="75"/>
      <c r="AG1578" s="344"/>
      <c r="AH1578" s="344"/>
      <c r="AI1578" s="344"/>
      <c r="AJ1578" s="97"/>
      <c r="AK1578" s="4"/>
    </row>
    <row r="1579" spans="2:37" s="113" customFormat="1" x14ac:dyDescent="0.4">
      <c r="B1579" s="80"/>
      <c r="C1579" s="563">
        <v>1166</v>
      </c>
      <c r="D1579" s="907"/>
      <c r="E1579" s="906"/>
      <c r="F1579" s="921" t="str">
        <f t="shared" si="72"/>
        <v/>
      </c>
      <c r="G1579" s="882" t="str">
        <f t="shared" si="73"/>
        <v/>
      </c>
      <c r="H1579" s="925"/>
      <c r="I1579" s="919"/>
      <c r="J1579" s="919"/>
      <c r="K1579" s="919"/>
      <c r="L1579" s="919"/>
      <c r="O1579" s="339"/>
      <c r="T1579" s="75"/>
      <c r="U1579" s="75"/>
      <c r="V1579" s="75"/>
      <c r="W1579" s="75"/>
      <c r="X1579" s="75"/>
      <c r="Y1579" s="340"/>
      <c r="Z1579" s="341"/>
      <c r="AA1579" s="341"/>
      <c r="AB1579" s="341"/>
      <c r="AC1579" s="340"/>
      <c r="AD1579" s="75"/>
      <c r="AE1579" s="75"/>
      <c r="AF1579" s="75"/>
      <c r="AG1579" s="344"/>
      <c r="AH1579" s="344"/>
      <c r="AI1579" s="344"/>
      <c r="AJ1579" s="97"/>
      <c r="AK1579" s="4"/>
    </row>
    <row r="1580" spans="2:37" s="113" customFormat="1" x14ac:dyDescent="0.4">
      <c r="B1580" s="80"/>
      <c r="C1580" s="563">
        <v>1167</v>
      </c>
      <c r="D1580" s="907"/>
      <c r="E1580" s="906"/>
      <c r="F1580" s="921" t="str">
        <f t="shared" si="72"/>
        <v/>
      </c>
      <c r="G1580" s="882" t="str">
        <f t="shared" si="73"/>
        <v/>
      </c>
      <c r="H1580" s="925"/>
      <c r="I1580" s="919"/>
      <c r="J1580" s="919"/>
      <c r="K1580" s="919"/>
      <c r="L1580" s="919"/>
      <c r="O1580" s="339"/>
      <c r="T1580" s="75"/>
      <c r="U1580" s="75"/>
      <c r="V1580" s="75"/>
      <c r="W1580" s="75"/>
      <c r="X1580" s="75"/>
      <c r="Y1580" s="340"/>
      <c r="Z1580" s="341"/>
      <c r="AA1580" s="341"/>
      <c r="AB1580" s="341"/>
      <c r="AC1580" s="340"/>
      <c r="AD1580" s="75"/>
      <c r="AE1580" s="75"/>
      <c r="AF1580" s="75"/>
      <c r="AG1580" s="344"/>
      <c r="AH1580" s="344"/>
      <c r="AI1580" s="344"/>
      <c r="AJ1580" s="97"/>
      <c r="AK1580" s="4"/>
    </row>
    <row r="1581" spans="2:37" s="113" customFormat="1" x14ac:dyDescent="0.4">
      <c r="B1581" s="80"/>
      <c r="C1581" s="563">
        <v>1168</v>
      </c>
      <c r="D1581" s="907"/>
      <c r="E1581" s="906"/>
      <c r="F1581" s="921" t="str">
        <f t="shared" si="72"/>
        <v/>
      </c>
      <c r="G1581" s="882" t="str">
        <f t="shared" si="73"/>
        <v/>
      </c>
      <c r="H1581" s="925"/>
      <c r="I1581" s="919"/>
      <c r="J1581" s="919"/>
      <c r="K1581" s="919"/>
      <c r="L1581" s="919"/>
      <c r="O1581" s="339"/>
      <c r="T1581" s="75"/>
      <c r="U1581" s="75"/>
      <c r="V1581" s="75"/>
      <c r="W1581" s="75"/>
      <c r="X1581" s="75"/>
      <c r="Y1581" s="340"/>
      <c r="Z1581" s="341"/>
      <c r="AA1581" s="341"/>
      <c r="AB1581" s="341"/>
      <c r="AC1581" s="340"/>
      <c r="AD1581" s="75"/>
      <c r="AE1581" s="75"/>
      <c r="AF1581" s="75"/>
      <c r="AG1581" s="344"/>
      <c r="AH1581" s="344"/>
      <c r="AI1581" s="344"/>
      <c r="AJ1581" s="97"/>
      <c r="AK1581" s="4"/>
    </row>
    <row r="1582" spans="2:37" s="113" customFormat="1" x14ac:dyDescent="0.4">
      <c r="B1582" s="80"/>
      <c r="C1582" s="563">
        <v>1169</v>
      </c>
      <c r="D1582" s="907"/>
      <c r="E1582" s="906"/>
      <c r="F1582" s="921" t="str">
        <f t="shared" si="72"/>
        <v/>
      </c>
      <c r="G1582" s="882" t="str">
        <f t="shared" si="73"/>
        <v/>
      </c>
      <c r="H1582" s="925"/>
      <c r="I1582" s="919"/>
      <c r="J1582" s="919"/>
      <c r="K1582" s="919"/>
      <c r="L1582" s="919"/>
      <c r="O1582" s="339"/>
      <c r="T1582" s="75"/>
      <c r="U1582" s="75"/>
      <c r="V1582" s="75"/>
      <c r="W1582" s="75"/>
      <c r="X1582" s="75"/>
      <c r="Y1582" s="340"/>
      <c r="Z1582" s="341"/>
      <c r="AA1582" s="341"/>
      <c r="AB1582" s="341"/>
      <c r="AC1582" s="340"/>
      <c r="AD1582" s="75"/>
      <c r="AE1582" s="75"/>
      <c r="AF1582" s="75"/>
      <c r="AG1582" s="344"/>
      <c r="AH1582" s="344"/>
      <c r="AI1582" s="344"/>
      <c r="AJ1582" s="97"/>
      <c r="AK1582" s="4"/>
    </row>
    <row r="1583" spans="2:37" s="113" customFormat="1" x14ac:dyDescent="0.4">
      <c r="B1583" s="80"/>
      <c r="C1583" s="563">
        <v>1170</v>
      </c>
      <c r="D1583" s="907"/>
      <c r="E1583" s="906"/>
      <c r="F1583" s="921" t="str">
        <f t="shared" si="72"/>
        <v/>
      </c>
      <c r="G1583" s="882" t="str">
        <f t="shared" si="73"/>
        <v/>
      </c>
      <c r="H1583" s="925"/>
      <c r="I1583" s="919"/>
      <c r="J1583" s="919"/>
      <c r="K1583" s="919"/>
      <c r="L1583" s="919"/>
      <c r="O1583" s="339"/>
      <c r="T1583" s="75"/>
      <c r="U1583" s="75"/>
      <c r="V1583" s="75"/>
      <c r="W1583" s="75"/>
      <c r="X1583" s="75"/>
      <c r="Y1583" s="340"/>
      <c r="Z1583" s="341"/>
      <c r="AA1583" s="341"/>
      <c r="AB1583" s="341"/>
      <c r="AC1583" s="340"/>
      <c r="AD1583" s="75"/>
      <c r="AE1583" s="75"/>
      <c r="AF1583" s="75"/>
      <c r="AG1583" s="344"/>
      <c r="AH1583" s="344"/>
      <c r="AI1583" s="344"/>
      <c r="AJ1583" s="97"/>
      <c r="AK1583" s="4"/>
    </row>
    <row r="1584" spans="2:37" s="113" customFormat="1" x14ac:dyDescent="0.4">
      <c r="B1584" s="80"/>
      <c r="C1584" s="563">
        <v>1171</v>
      </c>
      <c r="D1584" s="907"/>
      <c r="E1584" s="906"/>
      <c r="F1584" s="921" t="str">
        <f t="shared" si="72"/>
        <v/>
      </c>
      <c r="G1584" s="882" t="str">
        <f t="shared" si="73"/>
        <v/>
      </c>
      <c r="H1584" s="925"/>
      <c r="I1584" s="919"/>
      <c r="J1584" s="919"/>
      <c r="K1584" s="919"/>
      <c r="L1584" s="919"/>
      <c r="O1584" s="339"/>
      <c r="T1584" s="75"/>
      <c r="U1584" s="75"/>
      <c r="V1584" s="75"/>
      <c r="W1584" s="75"/>
      <c r="X1584" s="75"/>
      <c r="Y1584" s="340"/>
      <c r="Z1584" s="341"/>
      <c r="AA1584" s="341"/>
      <c r="AB1584" s="341"/>
      <c r="AC1584" s="340"/>
      <c r="AD1584" s="75"/>
      <c r="AE1584" s="75"/>
      <c r="AF1584" s="75"/>
      <c r="AG1584" s="344"/>
      <c r="AH1584" s="344"/>
      <c r="AI1584" s="344"/>
      <c r="AJ1584" s="97"/>
      <c r="AK1584" s="4"/>
    </row>
    <row r="1585" spans="2:37" s="113" customFormat="1" x14ac:dyDescent="0.4">
      <c r="B1585" s="80"/>
      <c r="C1585" s="563">
        <v>1172</v>
      </c>
      <c r="D1585" s="907"/>
      <c r="E1585" s="906"/>
      <c r="F1585" s="921" t="str">
        <f t="shared" si="72"/>
        <v/>
      </c>
      <c r="G1585" s="882" t="str">
        <f t="shared" si="73"/>
        <v/>
      </c>
      <c r="H1585" s="925"/>
      <c r="I1585" s="919"/>
      <c r="J1585" s="919"/>
      <c r="K1585" s="919"/>
      <c r="L1585" s="919"/>
      <c r="O1585" s="339"/>
      <c r="T1585" s="75"/>
      <c r="U1585" s="75"/>
      <c r="V1585" s="75"/>
      <c r="W1585" s="75"/>
      <c r="X1585" s="75"/>
      <c r="Y1585" s="340"/>
      <c r="Z1585" s="341"/>
      <c r="AA1585" s="341"/>
      <c r="AB1585" s="341"/>
      <c r="AC1585" s="340"/>
      <c r="AD1585" s="75"/>
      <c r="AE1585" s="75"/>
      <c r="AF1585" s="75"/>
      <c r="AG1585" s="344"/>
      <c r="AH1585" s="344"/>
      <c r="AI1585" s="344"/>
      <c r="AJ1585" s="97"/>
      <c r="AK1585" s="4"/>
    </row>
    <row r="1586" spans="2:37" s="113" customFormat="1" x14ac:dyDescent="0.4">
      <c r="B1586" s="80"/>
      <c r="C1586" s="563">
        <v>1173</v>
      </c>
      <c r="D1586" s="907"/>
      <c r="E1586" s="906"/>
      <c r="F1586" s="921" t="str">
        <f t="shared" si="72"/>
        <v/>
      </c>
      <c r="G1586" s="882" t="str">
        <f t="shared" si="73"/>
        <v/>
      </c>
      <c r="H1586" s="925"/>
      <c r="I1586" s="919"/>
      <c r="J1586" s="919"/>
      <c r="K1586" s="919"/>
      <c r="L1586" s="919"/>
      <c r="O1586" s="339"/>
      <c r="T1586" s="75"/>
      <c r="U1586" s="75"/>
      <c r="V1586" s="75"/>
      <c r="W1586" s="75"/>
      <c r="X1586" s="75"/>
      <c r="Y1586" s="340"/>
      <c r="Z1586" s="341"/>
      <c r="AA1586" s="341"/>
      <c r="AB1586" s="341"/>
      <c r="AC1586" s="340"/>
      <c r="AD1586" s="75"/>
      <c r="AE1586" s="75"/>
      <c r="AF1586" s="75"/>
      <c r="AG1586" s="344"/>
      <c r="AH1586" s="344"/>
      <c r="AI1586" s="344"/>
      <c r="AJ1586" s="97"/>
      <c r="AK1586" s="4"/>
    </row>
    <row r="1587" spans="2:37" s="113" customFormat="1" x14ac:dyDescent="0.4">
      <c r="B1587" s="80"/>
      <c r="C1587" s="563">
        <v>1174</v>
      </c>
      <c r="D1587" s="907"/>
      <c r="E1587" s="906"/>
      <c r="F1587" s="921" t="str">
        <f t="shared" si="72"/>
        <v/>
      </c>
      <c r="G1587" s="882" t="str">
        <f t="shared" si="73"/>
        <v/>
      </c>
      <c r="H1587" s="925"/>
      <c r="I1587" s="919"/>
      <c r="J1587" s="919"/>
      <c r="K1587" s="919"/>
      <c r="L1587" s="919"/>
      <c r="O1587" s="339"/>
      <c r="T1587" s="75"/>
      <c r="U1587" s="75"/>
      <c r="V1587" s="75"/>
      <c r="W1587" s="75"/>
      <c r="X1587" s="75"/>
      <c r="Y1587" s="340"/>
      <c r="Z1587" s="341"/>
      <c r="AA1587" s="341"/>
      <c r="AB1587" s="341"/>
      <c r="AC1587" s="340"/>
      <c r="AD1587" s="75"/>
      <c r="AE1587" s="75"/>
      <c r="AF1587" s="75"/>
      <c r="AG1587" s="344"/>
      <c r="AH1587" s="344"/>
      <c r="AI1587" s="344"/>
      <c r="AJ1587" s="97"/>
      <c r="AK1587" s="4"/>
    </row>
    <row r="1588" spans="2:37" s="113" customFormat="1" x14ac:dyDescent="0.4">
      <c r="B1588" s="80"/>
      <c r="C1588" s="563">
        <v>1175</v>
      </c>
      <c r="D1588" s="907"/>
      <c r="E1588" s="906"/>
      <c r="F1588" s="921" t="str">
        <f t="shared" si="72"/>
        <v/>
      </c>
      <c r="G1588" s="882" t="str">
        <f t="shared" si="73"/>
        <v/>
      </c>
      <c r="H1588" s="925"/>
      <c r="I1588" s="919"/>
      <c r="J1588" s="919"/>
      <c r="K1588" s="919"/>
      <c r="L1588" s="919"/>
      <c r="O1588" s="339"/>
      <c r="T1588" s="75"/>
      <c r="U1588" s="75"/>
      <c r="V1588" s="75"/>
      <c r="W1588" s="75"/>
      <c r="X1588" s="75"/>
      <c r="Y1588" s="340"/>
      <c r="Z1588" s="341"/>
      <c r="AA1588" s="341"/>
      <c r="AB1588" s="341"/>
      <c r="AC1588" s="340"/>
      <c r="AD1588" s="75"/>
      <c r="AE1588" s="75"/>
      <c r="AF1588" s="75"/>
      <c r="AG1588" s="344"/>
      <c r="AH1588" s="344"/>
      <c r="AI1588" s="344"/>
      <c r="AJ1588" s="97"/>
      <c r="AK1588" s="4"/>
    </row>
    <row r="1589" spans="2:37" s="113" customFormat="1" x14ac:dyDescent="0.4">
      <c r="B1589" s="80"/>
      <c r="C1589" s="563">
        <v>1176</v>
      </c>
      <c r="D1589" s="907"/>
      <c r="E1589" s="906"/>
      <c r="F1589" s="921" t="str">
        <f t="shared" si="72"/>
        <v/>
      </c>
      <c r="G1589" s="882" t="str">
        <f t="shared" si="73"/>
        <v/>
      </c>
      <c r="H1589" s="925"/>
      <c r="I1589" s="919"/>
      <c r="J1589" s="919"/>
      <c r="K1589" s="919"/>
      <c r="L1589" s="919"/>
      <c r="O1589" s="339"/>
      <c r="T1589" s="75"/>
      <c r="U1589" s="75"/>
      <c r="V1589" s="75"/>
      <c r="W1589" s="75"/>
      <c r="X1589" s="75"/>
      <c r="Y1589" s="340"/>
      <c r="Z1589" s="341"/>
      <c r="AA1589" s="341"/>
      <c r="AB1589" s="341"/>
      <c r="AC1589" s="340"/>
      <c r="AD1589" s="75"/>
      <c r="AE1589" s="75"/>
      <c r="AF1589" s="75"/>
      <c r="AG1589" s="344"/>
      <c r="AH1589" s="344"/>
      <c r="AI1589" s="344"/>
      <c r="AJ1589" s="97"/>
      <c r="AK1589" s="4"/>
    </row>
    <row r="1590" spans="2:37" s="113" customFormat="1" x14ac:dyDescent="0.4">
      <c r="B1590" s="80"/>
      <c r="C1590" s="563">
        <v>1177</v>
      </c>
      <c r="D1590" s="907"/>
      <c r="E1590" s="906"/>
      <c r="F1590" s="921" t="str">
        <f t="shared" si="72"/>
        <v/>
      </c>
      <c r="G1590" s="882" t="str">
        <f t="shared" si="73"/>
        <v/>
      </c>
      <c r="H1590" s="925"/>
      <c r="I1590" s="919"/>
      <c r="J1590" s="919"/>
      <c r="K1590" s="919"/>
      <c r="L1590" s="919"/>
      <c r="O1590" s="339"/>
      <c r="T1590" s="75"/>
      <c r="U1590" s="75"/>
      <c r="V1590" s="75"/>
      <c r="W1590" s="75"/>
      <c r="X1590" s="75"/>
      <c r="Y1590" s="340"/>
      <c r="Z1590" s="341"/>
      <c r="AA1590" s="341"/>
      <c r="AB1590" s="341"/>
      <c r="AC1590" s="340"/>
      <c r="AD1590" s="75"/>
      <c r="AE1590" s="75"/>
      <c r="AF1590" s="75"/>
      <c r="AG1590" s="344"/>
      <c r="AH1590" s="344"/>
      <c r="AI1590" s="344"/>
      <c r="AJ1590" s="97"/>
      <c r="AK1590" s="4"/>
    </row>
    <row r="1591" spans="2:37" s="113" customFormat="1" x14ac:dyDescent="0.4">
      <c r="B1591" s="80"/>
      <c r="C1591" s="563">
        <v>1178</v>
      </c>
      <c r="D1591" s="907"/>
      <c r="E1591" s="906"/>
      <c r="F1591" s="921" t="str">
        <f t="shared" si="72"/>
        <v/>
      </c>
      <c r="G1591" s="882" t="str">
        <f t="shared" si="73"/>
        <v/>
      </c>
      <c r="H1591" s="925"/>
      <c r="I1591" s="919"/>
      <c r="J1591" s="919"/>
      <c r="K1591" s="919"/>
      <c r="L1591" s="919"/>
      <c r="O1591" s="339"/>
      <c r="T1591" s="75"/>
      <c r="U1591" s="75"/>
      <c r="V1591" s="75"/>
      <c r="W1591" s="75"/>
      <c r="X1591" s="75"/>
      <c r="Y1591" s="340"/>
      <c r="Z1591" s="341"/>
      <c r="AA1591" s="341"/>
      <c r="AB1591" s="341"/>
      <c r="AC1591" s="340"/>
      <c r="AD1591" s="75"/>
      <c r="AE1591" s="75"/>
      <c r="AF1591" s="75"/>
      <c r="AG1591" s="344"/>
      <c r="AH1591" s="344"/>
      <c r="AI1591" s="344"/>
      <c r="AJ1591" s="97"/>
      <c r="AK1591" s="4"/>
    </row>
    <row r="1592" spans="2:37" s="113" customFormat="1" x14ac:dyDescent="0.4">
      <c r="B1592" s="80"/>
      <c r="C1592" s="563">
        <v>1179</v>
      </c>
      <c r="D1592" s="907"/>
      <c r="E1592" s="906"/>
      <c r="F1592" s="921" t="str">
        <f t="shared" si="72"/>
        <v/>
      </c>
      <c r="G1592" s="882" t="str">
        <f t="shared" si="73"/>
        <v/>
      </c>
      <c r="H1592" s="925"/>
      <c r="I1592" s="919"/>
      <c r="J1592" s="919"/>
      <c r="K1592" s="919"/>
      <c r="L1592" s="919"/>
      <c r="O1592" s="339"/>
      <c r="T1592" s="75"/>
      <c r="U1592" s="75"/>
      <c r="V1592" s="75"/>
      <c r="W1592" s="75"/>
      <c r="X1592" s="75"/>
      <c r="Y1592" s="340"/>
      <c r="Z1592" s="341"/>
      <c r="AA1592" s="341"/>
      <c r="AB1592" s="341"/>
      <c r="AC1592" s="340"/>
      <c r="AD1592" s="75"/>
      <c r="AE1592" s="75"/>
      <c r="AF1592" s="75"/>
      <c r="AG1592" s="344"/>
      <c r="AH1592" s="344"/>
      <c r="AI1592" s="344"/>
      <c r="AJ1592" s="97"/>
      <c r="AK1592" s="4"/>
    </row>
    <row r="1593" spans="2:37" s="113" customFormat="1" x14ac:dyDescent="0.4">
      <c r="B1593" s="80"/>
      <c r="C1593" s="563">
        <v>1180</v>
      </c>
      <c r="D1593" s="907"/>
      <c r="E1593" s="906"/>
      <c r="F1593" s="921" t="str">
        <f t="shared" si="72"/>
        <v/>
      </c>
      <c r="G1593" s="882" t="str">
        <f t="shared" si="73"/>
        <v/>
      </c>
      <c r="H1593" s="925"/>
      <c r="I1593" s="919"/>
      <c r="J1593" s="919"/>
      <c r="K1593" s="919"/>
      <c r="L1593" s="919"/>
      <c r="O1593" s="339"/>
      <c r="T1593" s="75"/>
      <c r="U1593" s="75"/>
      <c r="V1593" s="75"/>
      <c r="W1593" s="75"/>
      <c r="X1593" s="75"/>
      <c r="Y1593" s="340"/>
      <c r="Z1593" s="341"/>
      <c r="AA1593" s="341"/>
      <c r="AB1593" s="341"/>
      <c r="AC1593" s="340"/>
      <c r="AD1593" s="75"/>
      <c r="AE1593" s="75"/>
      <c r="AF1593" s="75"/>
      <c r="AG1593" s="344"/>
      <c r="AH1593" s="344"/>
      <c r="AI1593" s="344"/>
      <c r="AJ1593" s="97"/>
      <c r="AK1593" s="4"/>
    </row>
    <row r="1594" spans="2:37" s="113" customFormat="1" x14ac:dyDescent="0.4">
      <c r="B1594" s="80"/>
      <c r="C1594" s="563">
        <v>1181</v>
      </c>
      <c r="D1594" s="907"/>
      <c r="E1594" s="906"/>
      <c r="F1594" s="921" t="str">
        <f t="shared" si="72"/>
        <v/>
      </c>
      <c r="G1594" s="882" t="str">
        <f t="shared" si="73"/>
        <v/>
      </c>
      <c r="H1594" s="925"/>
      <c r="I1594" s="919"/>
      <c r="J1594" s="919"/>
      <c r="K1594" s="919"/>
      <c r="L1594" s="919"/>
      <c r="O1594" s="339"/>
      <c r="T1594" s="75"/>
      <c r="U1594" s="75"/>
      <c r="V1594" s="75"/>
      <c r="W1594" s="75"/>
      <c r="X1594" s="75"/>
      <c r="Y1594" s="340"/>
      <c r="Z1594" s="341"/>
      <c r="AA1594" s="341"/>
      <c r="AB1594" s="341"/>
      <c r="AC1594" s="340"/>
      <c r="AD1594" s="75"/>
      <c r="AE1594" s="75"/>
      <c r="AF1594" s="75"/>
      <c r="AG1594" s="344"/>
      <c r="AH1594" s="344"/>
      <c r="AI1594" s="344"/>
      <c r="AJ1594" s="97"/>
      <c r="AK1594" s="4"/>
    </row>
    <row r="1595" spans="2:37" s="113" customFormat="1" x14ac:dyDescent="0.4">
      <c r="B1595" s="80"/>
      <c r="C1595" s="563">
        <v>1182</v>
      </c>
      <c r="D1595" s="907"/>
      <c r="E1595" s="906"/>
      <c r="F1595" s="921" t="str">
        <f t="shared" si="72"/>
        <v/>
      </c>
      <c r="G1595" s="882" t="str">
        <f t="shared" si="73"/>
        <v/>
      </c>
      <c r="H1595" s="925"/>
      <c r="I1595" s="919"/>
      <c r="J1595" s="919"/>
      <c r="K1595" s="919"/>
      <c r="L1595" s="919"/>
      <c r="O1595" s="339"/>
      <c r="T1595" s="75"/>
      <c r="U1595" s="75"/>
      <c r="V1595" s="75"/>
      <c r="W1595" s="75"/>
      <c r="X1595" s="75"/>
      <c r="Y1595" s="340"/>
      <c r="Z1595" s="341"/>
      <c r="AA1595" s="341"/>
      <c r="AB1595" s="341"/>
      <c r="AC1595" s="340"/>
      <c r="AD1595" s="75"/>
      <c r="AE1595" s="75"/>
      <c r="AF1595" s="75"/>
      <c r="AG1595" s="344"/>
      <c r="AH1595" s="344"/>
      <c r="AI1595" s="344"/>
      <c r="AJ1595" s="97"/>
      <c r="AK1595" s="4"/>
    </row>
    <row r="1596" spans="2:37" s="113" customFormat="1" x14ac:dyDescent="0.4">
      <c r="B1596" s="80"/>
      <c r="C1596" s="563">
        <v>1183</v>
      </c>
      <c r="D1596" s="907"/>
      <c r="E1596" s="906"/>
      <c r="F1596" s="921" t="str">
        <f t="shared" si="72"/>
        <v/>
      </c>
      <c r="G1596" s="882" t="str">
        <f t="shared" si="73"/>
        <v/>
      </c>
      <c r="H1596" s="925"/>
      <c r="I1596" s="919"/>
      <c r="J1596" s="919"/>
      <c r="K1596" s="919"/>
      <c r="L1596" s="919"/>
      <c r="O1596" s="339"/>
      <c r="T1596" s="75"/>
      <c r="U1596" s="75"/>
      <c r="V1596" s="75"/>
      <c r="W1596" s="75"/>
      <c r="X1596" s="75"/>
      <c r="Y1596" s="340"/>
      <c r="Z1596" s="341"/>
      <c r="AA1596" s="341"/>
      <c r="AB1596" s="341"/>
      <c r="AC1596" s="340"/>
      <c r="AD1596" s="75"/>
      <c r="AE1596" s="75"/>
      <c r="AF1596" s="75"/>
      <c r="AG1596" s="344"/>
      <c r="AH1596" s="344"/>
      <c r="AI1596" s="344"/>
      <c r="AJ1596" s="97"/>
      <c r="AK1596" s="4"/>
    </row>
    <row r="1597" spans="2:37" s="113" customFormat="1" x14ac:dyDescent="0.4">
      <c r="B1597" s="80"/>
      <c r="C1597" s="563">
        <v>1184</v>
      </c>
      <c r="D1597" s="907"/>
      <c r="E1597" s="906"/>
      <c r="F1597" s="921" t="str">
        <f t="shared" si="72"/>
        <v/>
      </c>
      <c r="G1597" s="882" t="str">
        <f t="shared" si="73"/>
        <v/>
      </c>
      <c r="H1597" s="925"/>
      <c r="I1597" s="919"/>
      <c r="J1597" s="919"/>
      <c r="K1597" s="919"/>
      <c r="L1597" s="919"/>
      <c r="O1597" s="339"/>
      <c r="T1597" s="75"/>
      <c r="U1597" s="75"/>
      <c r="V1597" s="75"/>
      <c r="W1597" s="75"/>
      <c r="X1597" s="75"/>
      <c r="Y1597" s="340"/>
      <c r="Z1597" s="341"/>
      <c r="AA1597" s="341"/>
      <c r="AB1597" s="341"/>
      <c r="AC1597" s="340"/>
      <c r="AD1597" s="75"/>
      <c r="AE1597" s="75"/>
      <c r="AF1597" s="75"/>
      <c r="AG1597" s="344"/>
      <c r="AH1597" s="344"/>
      <c r="AI1597" s="344"/>
      <c r="AJ1597" s="97"/>
      <c r="AK1597" s="4"/>
    </row>
    <row r="1598" spans="2:37" s="113" customFormat="1" x14ac:dyDescent="0.4">
      <c r="B1598" s="80"/>
      <c r="C1598" s="563">
        <v>1185</v>
      </c>
      <c r="D1598" s="907"/>
      <c r="E1598" s="906"/>
      <c r="F1598" s="921" t="str">
        <f t="shared" si="72"/>
        <v/>
      </c>
      <c r="G1598" s="882" t="str">
        <f t="shared" si="73"/>
        <v/>
      </c>
      <c r="H1598" s="925"/>
      <c r="I1598" s="919"/>
      <c r="J1598" s="919"/>
      <c r="K1598" s="919"/>
      <c r="L1598" s="919"/>
      <c r="O1598" s="339"/>
      <c r="T1598" s="75"/>
      <c r="U1598" s="75"/>
      <c r="V1598" s="75"/>
      <c r="W1598" s="75"/>
      <c r="X1598" s="75"/>
      <c r="Y1598" s="340"/>
      <c r="Z1598" s="341"/>
      <c r="AA1598" s="341"/>
      <c r="AB1598" s="341"/>
      <c r="AC1598" s="340"/>
      <c r="AD1598" s="75"/>
      <c r="AE1598" s="75"/>
      <c r="AF1598" s="75"/>
      <c r="AG1598" s="344"/>
      <c r="AH1598" s="344"/>
      <c r="AI1598" s="344"/>
      <c r="AJ1598" s="97"/>
      <c r="AK1598" s="4"/>
    </row>
    <row r="1599" spans="2:37" s="113" customFormat="1" x14ac:dyDescent="0.4">
      <c r="B1599" s="80"/>
      <c r="C1599" s="563">
        <v>1186</v>
      </c>
      <c r="D1599" s="907"/>
      <c r="E1599" s="906"/>
      <c r="F1599" s="921" t="str">
        <f t="shared" si="72"/>
        <v/>
      </c>
      <c r="G1599" s="882" t="str">
        <f t="shared" si="73"/>
        <v/>
      </c>
      <c r="H1599" s="925"/>
      <c r="I1599" s="919"/>
      <c r="J1599" s="919"/>
      <c r="K1599" s="919"/>
      <c r="L1599" s="919"/>
      <c r="O1599" s="339"/>
      <c r="T1599" s="75"/>
      <c r="U1599" s="75"/>
      <c r="V1599" s="75"/>
      <c r="W1599" s="75"/>
      <c r="X1599" s="75"/>
      <c r="Y1599" s="340"/>
      <c r="Z1599" s="341"/>
      <c r="AA1599" s="341"/>
      <c r="AB1599" s="341"/>
      <c r="AC1599" s="340"/>
      <c r="AD1599" s="75"/>
      <c r="AE1599" s="75"/>
      <c r="AF1599" s="75"/>
      <c r="AG1599" s="344"/>
      <c r="AH1599" s="344"/>
      <c r="AI1599" s="344"/>
      <c r="AJ1599" s="97"/>
      <c r="AK1599" s="4"/>
    </row>
    <row r="1600" spans="2:37" s="113" customFormat="1" x14ac:dyDescent="0.4">
      <c r="B1600" s="80"/>
      <c r="C1600" s="563">
        <v>1187</v>
      </c>
      <c r="D1600" s="907"/>
      <c r="E1600" s="906"/>
      <c r="F1600" s="921" t="str">
        <f t="shared" si="72"/>
        <v/>
      </c>
      <c r="G1600" s="882" t="str">
        <f t="shared" si="73"/>
        <v/>
      </c>
      <c r="H1600" s="925"/>
      <c r="I1600" s="919"/>
      <c r="J1600" s="919"/>
      <c r="K1600" s="919"/>
      <c r="L1600" s="919"/>
      <c r="O1600" s="339"/>
      <c r="T1600" s="75"/>
      <c r="U1600" s="75"/>
      <c r="V1600" s="75"/>
      <c r="W1600" s="75"/>
      <c r="X1600" s="75"/>
      <c r="Y1600" s="340"/>
      <c r="Z1600" s="341"/>
      <c r="AA1600" s="341"/>
      <c r="AB1600" s="341"/>
      <c r="AC1600" s="340"/>
      <c r="AD1600" s="75"/>
      <c r="AE1600" s="75"/>
      <c r="AF1600" s="75"/>
      <c r="AG1600" s="344"/>
      <c r="AH1600" s="344"/>
      <c r="AI1600" s="344"/>
      <c r="AJ1600" s="97"/>
      <c r="AK1600" s="4"/>
    </row>
    <row r="1601" spans="2:37" s="113" customFormat="1" x14ac:dyDescent="0.4">
      <c r="B1601" s="80"/>
      <c r="C1601" s="563">
        <v>1188</v>
      </c>
      <c r="D1601" s="907"/>
      <c r="E1601" s="906"/>
      <c r="F1601" s="921" t="str">
        <f t="shared" si="72"/>
        <v/>
      </c>
      <c r="G1601" s="882" t="str">
        <f t="shared" si="73"/>
        <v/>
      </c>
      <c r="H1601" s="925"/>
      <c r="I1601" s="919"/>
      <c r="J1601" s="919"/>
      <c r="K1601" s="919"/>
      <c r="L1601" s="919"/>
      <c r="O1601" s="339"/>
      <c r="T1601" s="75"/>
      <c r="U1601" s="75"/>
      <c r="V1601" s="75"/>
      <c r="W1601" s="75"/>
      <c r="X1601" s="75"/>
      <c r="Y1601" s="340"/>
      <c r="Z1601" s="341"/>
      <c r="AA1601" s="341"/>
      <c r="AB1601" s="341"/>
      <c r="AC1601" s="340"/>
      <c r="AD1601" s="75"/>
      <c r="AE1601" s="75"/>
      <c r="AF1601" s="75"/>
      <c r="AG1601" s="344"/>
      <c r="AH1601" s="344"/>
      <c r="AI1601" s="344"/>
      <c r="AJ1601" s="97"/>
      <c r="AK1601" s="4"/>
    </row>
    <row r="1602" spans="2:37" s="113" customFormat="1" x14ac:dyDescent="0.4">
      <c r="B1602" s="80"/>
      <c r="C1602" s="563">
        <v>1189</v>
      </c>
      <c r="D1602" s="907"/>
      <c r="E1602" s="906"/>
      <c r="F1602" s="921" t="str">
        <f t="shared" si="72"/>
        <v/>
      </c>
      <c r="G1602" s="882" t="str">
        <f t="shared" si="73"/>
        <v/>
      </c>
      <c r="H1602" s="925"/>
      <c r="I1602" s="919"/>
      <c r="J1602" s="919"/>
      <c r="K1602" s="919"/>
      <c r="L1602" s="919"/>
      <c r="O1602" s="339"/>
      <c r="T1602" s="75"/>
      <c r="U1602" s="75"/>
      <c r="V1602" s="75"/>
      <c r="W1602" s="75"/>
      <c r="X1602" s="75"/>
      <c r="Y1602" s="340"/>
      <c r="Z1602" s="341"/>
      <c r="AA1602" s="341"/>
      <c r="AB1602" s="341"/>
      <c r="AC1602" s="340"/>
      <c r="AD1602" s="75"/>
      <c r="AE1602" s="75"/>
      <c r="AF1602" s="75"/>
      <c r="AG1602" s="344"/>
      <c r="AH1602" s="344"/>
      <c r="AI1602" s="344"/>
      <c r="AJ1602" s="97"/>
      <c r="AK1602" s="4"/>
    </row>
    <row r="1603" spans="2:37" s="113" customFormat="1" x14ac:dyDescent="0.4">
      <c r="B1603" s="80"/>
      <c r="C1603" s="563">
        <v>1190</v>
      </c>
      <c r="D1603" s="907"/>
      <c r="E1603" s="906"/>
      <c r="F1603" s="921" t="str">
        <f t="shared" si="72"/>
        <v/>
      </c>
      <c r="G1603" s="882" t="str">
        <f t="shared" si="73"/>
        <v/>
      </c>
      <c r="H1603" s="925"/>
      <c r="I1603" s="919"/>
      <c r="J1603" s="919"/>
      <c r="K1603" s="919"/>
      <c r="L1603" s="919"/>
      <c r="O1603" s="339"/>
      <c r="T1603" s="75"/>
      <c r="U1603" s="75"/>
      <c r="V1603" s="75"/>
      <c r="W1603" s="75"/>
      <c r="X1603" s="75"/>
      <c r="Y1603" s="340"/>
      <c r="Z1603" s="341"/>
      <c r="AA1603" s="341"/>
      <c r="AB1603" s="341"/>
      <c r="AC1603" s="340"/>
      <c r="AD1603" s="75"/>
      <c r="AE1603" s="75"/>
      <c r="AF1603" s="75"/>
      <c r="AG1603" s="344"/>
      <c r="AH1603" s="344"/>
      <c r="AI1603" s="344"/>
      <c r="AJ1603" s="97"/>
      <c r="AK1603" s="4"/>
    </row>
    <row r="1604" spans="2:37" s="113" customFormat="1" x14ac:dyDescent="0.4">
      <c r="B1604" s="80"/>
      <c r="C1604" s="563">
        <v>1191</v>
      </c>
      <c r="D1604" s="907"/>
      <c r="E1604" s="906"/>
      <c r="F1604" s="921" t="str">
        <f t="shared" si="72"/>
        <v/>
      </c>
      <c r="G1604" s="882" t="str">
        <f t="shared" si="73"/>
        <v/>
      </c>
      <c r="H1604" s="925"/>
      <c r="I1604" s="919"/>
      <c r="J1604" s="919"/>
      <c r="K1604" s="919"/>
      <c r="L1604" s="919"/>
      <c r="O1604" s="339"/>
      <c r="T1604" s="75"/>
      <c r="U1604" s="75"/>
      <c r="V1604" s="75"/>
      <c r="W1604" s="75"/>
      <c r="X1604" s="75"/>
      <c r="Y1604" s="340"/>
      <c r="Z1604" s="341"/>
      <c r="AA1604" s="341"/>
      <c r="AB1604" s="341"/>
      <c r="AC1604" s="340"/>
      <c r="AD1604" s="75"/>
      <c r="AE1604" s="75"/>
      <c r="AF1604" s="75"/>
      <c r="AG1604" s="344"/>
      <c r="AH1604" s="344"/>
      <c r="AI1604" s="344"/>
      <c r="AJ1604" s="97"/>
      <c r="AK1604" s="4"/>
    </row>
    <row r="1605" spans="2:37" s="113" customFormat="1" x14ac:dyDescent="0.4">
      <c r="B1605" s="80"/>
      <c r="C1605" s="563">
        <v>1192</v>
      </c>
      <c r="D1605" s="907"/>
      <c r="E1605" s="906"/>
      <c r="F1605" s="921" t="str">
        <f t="shared" si="72"/>
        <v/>
      </c>
      <c r="G1605" s="882" t="str">
        <f t="shared" si="73"/>
        <v/>
      </c>
      <c r="H1605" s="925"/>
      <c r="I1605" s="919"/>
      <c r="J1605" s="919"/>
      <c r="K1605" s="919"/>
      <c r="L1605" s="919"/>
      <c r="O1605" s="339"/>
      <c r="T1605" s="75"/>
      <c r="U1605" s="75"/>
      <c r="V1605" s="75"/>
      <c r="W1605" s="75"/>
      <c r="X1605" s="75"/>
      <c r="Y1605" s="340"/>
      <c r="Z1605" s="341"/>
      <c r="AA1605" s="341"/>
      <c r="AB1605" s="341"/>
      <c r="AC1605" s="340"/>
      <c r="AD1605" s="75"/>
      <c r="AE1605" s="75"/>
      <c r="AF1605" s="75"/>
      <c r="AG1605" s="344"/>
      <c r="AH1605" s="344"/>
      <c r="AI1605" s="344"/>
      <c r="AJ1605" s="97"/>
      <c r="AK1605" s="4"/>
    </row>
    <row r="1606" spans="2:37" s="113" customFormat="1" x14ac:dyDescent="0.4">
      <c r="B1606" s="80"/>
      <c r="C1606" s="563">
        <v>1193</v>
      </c>
      <c r="D1606" s="907"/>
      <c r="E1606" s="906"/>
      <c r="F1606" s="921" t="str">
        <f t="shared" si="72"/>
        <v/>
      </c>
      <c r="G1606" s="882" t="str">
        <f t="shared" si="73"/>
        <v/>
      </c>
      <c r="H1606" s="925"/>
      <c r="I1606" s="919"/>
      <c r="J1606" s="919"/>
      <c r="K1606" s="919"/>
      <c r="L1606" s="919"/>
      <c r="O1606" s="339"/>
      <c r="T1606" s="75"/>
      <c r="U1606" s="75"/>
      <c r="V1606" s="75"/>
      <c r="W1606" s="75"/>
      <c r="X1606" s="75"/>
      <c r="Y1606" s="340"/>
      <c r="Z1606" s="341"/>
      <c r="AA1606" s="341"/>
      <c r="AB1606" s="341"/>
      <c r="AC1606" s="340"/>
      <c r="AD1606" s="75"/>
      <c r="AE1606" s="75"/>
      <c r="AF1606" s="75"/>
      <c r="AG1606" s="344"/>
      <c r="AH1606" s="344"/>
      <c r="AI1606" s="344"/>
      <c r="AJ1606" s="97"/>
      <c r="AK1606" s="4"/>
    </row>
    <row r="1607" spans="2:37" s="113" customFormat="1" x14ac:dyDescent="0.4">
      <c r="B1607" s="80"/>
      <c r="C1607" s="563">
        <v>1194</v>
      </c>
      <c r="D1607" s="907"/>
      <c r="E1607" s="906"/>
      <c r="F1607" s="921" t="str">
        <f t="shared" si="72"/>
        <v/>
      </c>
      <c r="G1607" s="882" t="str">
        <f t="shared" si="73"/>
        <v/>
      </c>
      <c r="H1607" s="925"/>
      <c r="I1607" s="919"/>
      <c r="J1607" s="919"/>
      <c r="K1607" s="919"/>
      <c r="L1607" s="919"/>
      <c r="O1607" s="339"/>
      <c r="T1607" s="75"/>
      <c r="U1607" s="75"/>
      <c r="V1607" s="75"/>
      <c r="W1607" s="75"/>
      <c r="X1607" s="75"/>
      <c r="Y1607" s="340"/>
      <c r="Z1607" s="341"/>
      <c r="AA1607" s="341"/>
      <c r="AB1607" s="341"/>
      <c r="AC1607" s="340"/>
      <c r="AD1607" s="75"/>
      <c r="AE1607" s="75"/>
      <c r="AF1607" s="75"/>
      <c r="AG1607" s="344"/>
      <c r="AH1607" s="344"/>
      <c r="AI1607" s="344"/>
      <c r="AJ1607" s="97"/>
      <c r="AK1607" s="4"/>
    </row>
    <row r="1608" spans="2:37" s="113" customFormat="1" x14ac:dyDescent="0.4">
      <c r="B1608" s="80"/>
      <c r="C1608" s="563">
        <v>1195</v>
      </c>
      <c r="D1608" s="907"/>
      <c r="E1608" s="906"/>
      <c r="F1608" s="921" t="str">
        <f t="shared" si="72"/>
        <v/>
      </c>
      <c r="G1608" s="882" t="str">
        <f t="shared" si="73"/>
        <v/>
      </c>
      <c r="H1608" s="925"/>
      <c r="I1608" s="919"/>
      <c r="J1608" s="919"/>
      <c r="K1608" s="919"/>
      <c r="L1608" s="919"/>
      <c r="O1608" s="339"/>
      <c r="T1608" s="75"/>
      <c r="U1608" s="75"/>
      <c r="V1608" s="75"/>
      <c r="W1608" s="75"/>
      <c r="X1608" s="75"/>
      <c r="Y1608" s="340"/>
      <c r="Z1608" s="341"/>
      <c r="AA1608" s="341"/>
      <c r="AB1608" s="341"/>
      <c r="AC1608" s="340"/>
      <c r="AD1608" s="75"/>
      <c r="AE1608" s="75"/>
      <c r="AF1608" s="75"/>
      <c r="AG1608" s="344"/>
      <c r="AH1608" s="344"/>
      <c r="AI1608" s="344"/>
      <c r="AJ1608" s="97"/>
      <c r="AK1608" s="4"/>
    </row>
    <row r="1609" spans="2:37" s="113" customFormat="1" x14ac:dyDescent="0.4">
      <c r="B1609" s="80"/>
      <c r="C1609" s="563">
        <v>1196</v>
      </c>
      <c r="D1609" s="907"/>
      <c r="E1609" s="906"/>
      <c r="F1609" s="921" t="str">
        <f t="shared" si="72"/>
        <v/>
      </c>
      <c r="G1609" s="882" t="str">
        <f t="shared" si="73"/>
        <v/>
      </c>
      <c r="H1609" s="925"/>
      <c r="I1609" s="919"/>
      <c r="J1609" s="919"/>
      <c r="K1609" s="919"/>
      <c r="L1609" s="919"/>
      <c r="O1609" s="339"/>
      <c r="T1609" s="75"/>
      <c r="U1609" s="75"/>
      <c r="V1609" s="75"/>
      <c r="W1609" s="75"/>
      <c r="X1609" s="75"/>
      <c r="Y1609" s="340"/>
      <c r="Z1609" s="341"/>
      <c r="AA1609" s="341"/>
      <c r="AB1609" s="341"/>
      <c r="AC1609" s="340"/>
      <c r="AD1609" s="75"/>
      <c r="AE1609" s="75"/>
      <c r="AF1609" s="75"/>
      <c r="AG1609" s="344"/>
      <c r="AH1609" s="344"/>
      <c r="AI1609" s="344"/>
      <c r="AJ1609" s="97"/>
      <c r="AK1609" s="4"/>
    </row>
    <row r="1610" spans="2:37" s="113" customFormat="1" x14ac:dyDescent="0.4">
      <c r="B1610" s="80"/>
      <c r="C1610" s="563">
        <v>1197</v>
      </c>
      <c r="D1610" s="907"/>
      <c r="E1610" s="906"/>
      <c r="F1610" s="921" t="str">
        <f t="shared" si="72"/>
        <v/>
      </c>
      <c r="G1610" s="882" t="str">
        <f t="shared" si="73"/>
        <v/>
      </c>
      <c r="H1610" s="925"/>
      <c r="I1610" s="919"/>
      <c r="J1610" s="919"/>
      <c r="K1610" s="919"/>
      <c r="L1610" s="919"/>
      <c r="O1610" s="339"/>
      <c r="T1610" s="75"/>
      <c r="U1610" s="75"/>
      <c r="V1610" s="75"/>
      <c r="W1610" s="75"/>
      <c r="X1610" s="75"/>
      <c r="Y1610" s="340"/>
      <c r="Z1610" s="341"/>
      <c r="AA1610" s="341"/>
      <c r="AB1610" s="341"/>
      <c r="AC1610" s="340"/>
      <c r="AD1610" s="75"/>
      <c r="AE1610" s="75"/>
      <c r="AF1610" s="75"/>
      <c r="AG1610" s="344"/>
      <c r="AH1610" s="344"/>
      <c r="AI1610" s="344"/>
      <c r="AJ1610" s="97"/>
      <c r="AK1610" s="4"/>
    </row>
    <row r="1611" spans="2:37" s="113" customFormat="1" x14ac:dyDescent="0.4">
      <c r="B1611" s="80"/>
      <c r="C1611" s="563">
        <v>1198</v>
      </c>
      <c r="D1611" s="907"/>
      <c r="E1611" s="906"/>
      <c r="F1611" s="921" t="str">
        <f t="shared" si="72"/>
        <v/>
      </c>
      <c r="G1611" s="882" t="str">
        <f t="shared" si="73"/>
        <v/>
      </c>
      <c r="H1611" s="925"/>
      <c r="I1611" s="919"/>
      <c r="J1611" s="919"/>
      <c r="K1611" s="919"/>
      <c r="L1611" s="919"/>
      <c r="O1611" s="339"/>
      <c r="T1611" s="75"/>
      <c r="U1611" s="75"/>
      <c r="V1611" s="75"/>
      <c r="W1611" s="75"/>
      <c r="X1611" s="75"/>
      <c r="Y1611" s="340"/>
      <c r="Z1611" s="341"/>
      <c r="AA1611" s="341"/>
      <c r="AB1611" s="341"/>
      <c r="AC1611" s="340"/>
      <c r="AD1611" s="75"/>
      <c r="AE1611" s="75"/>
      <c r="AF1611" s="75"/>
      <c r="AG1611" s="344"/>
      <c r="AH1611" s="344"/>
      <c r="AI1611" s="344"/>
      <c r="AJ1611" s="97"/>
      <c r="AK1611" s="4"/>
    </row>
    <row r="1612" spans="2:37" s="113" customFormat="1" x14ac:dyDescent="0.4">
      <c r="B1612" s="80"/>
      <c r="C1612" s="563">
        <v>1199</v>
      </c>
      <c r="D1612" s="907"/>
      <c r="E1612" s="906"/>
      <c r="F1612" s="921" t="str">
        <f t="shared" si="72"/>
        <v/>
      </c>
      <c r="G1612" s="882" t="str">
        <f t="shared" si="73"/>
        <v/>
      </c>
      <c r="H1612" s="925"/>
      <c r="I1612" s="919"/>
      <c r="J1612" s="919"/>
      <c r="K1612" s="919"/>
      <c r="L1612" s="919"/>
      <c r="O1612" s="339"/>
      <c r="T1612" s="75"/>
      <c r="U1612" s="75"/>
      <c r="V1612" s="75"/>
      <c r="W1612" s="75"/>
      <c r="X1612" s="75"/>
      <c r="Y1612" s="340"/>
      <c r="Z1612" s="341"/>
      <c r="AA1612" s="341"/>
      <c r="AB1612" s="341"/>
      <c r="AC1612" s="340"/>
      <c r="AD1612" s="75"/>
      <c r="AE1612" s="75"/>
      <c r="AF1612" s="75"/>
      <c r="AG1612" s="344"/>
      <c r="AH1612" s="344"/>
      <c r="AI1612" s="344"/>
      <c r="AJ1612" s="97"/>
      <c r="AK1612" s="4"/>
    </row>
    <row r="1613" spans="2:37" s="113" customFormat="1" x14ac:dyDescent="0.4">
      <c r="B1613" s="80"/>
      <c r="C1613" s="563">
        <v>1200</v>
      </c>
      <c r="D1613" s="907"/>
      <c r="E1613" s="906"/>
      <c r="F1613" s="921" t="str">
        <f t="shared" si="72"/>
        <v/>
      </c>
      <c r="G1613" s="882" t="str">
        <f t="shared" si="73"/>
        <v/>
      </c>
      <c r="H1613" s="925"/>
      <c r="I1613" s="919"/>
      <c r="J1613" s="919"/>
      <c r="K1613" s="919"/>
      <c r="L1613" s="919"/>
      <c r="O1613" s="339"/>
      <c r="T1613" s="75"/>
      <c r="U1613" s="75"/>
      <c r="V1613" s="75"/>
      <c r="W1613" s="75"/>
      <c r="X1613" s="75"/>
      <c r="Y1613" s="340"/>
      <c r="Z1613" s="341"/>
      <c r="AA1613" s="341"/>
      <c r="AB1613" s="341"/>
      <c r="AC1613" s="340"/>
      <c r="AD1613" s="75"/>
      <c r="AE1613" s="75"/>
      <c r="AF1613" s="75"/>
      <c r="AG1613" s="344"/>
      <c r="AH1613" s="344"/>
      <c r="AI1613" s="344"/>
      <c r="AJ1613" s="97"/>
      <c r="AK1613" s="4"/>
    </row>
    <row r="1614" spans="2:37" s="113" customFormat="1" x14ac:dyDescent="0.4">
      <c r="B1614" s="80"/>
      <c r="C1614" s="563">
        <v>1201</v>
      </c>
      <c r="D1614" s="907"/>
      <c r="E1614" s="906"/>
      <c r="F1614" s="921" t="str">
        <f t="shared" si="72"/>
        <v/>
      </c>
      <c r="G1614" s="882" t="str">
        <f t="shared" si="73"/>
        <v/>
      </c>
      <c r="H1614" s="925"/>
      <c r="I1614" s="919"/>
      <c r="J1614" s="919"/>
      <c r="K1614" s="919"/>
      <c r="L1614" s="919"/>
      <c r="O1614" s="339"/>
      <c r="T1614" s="75"/>
      <c r="U1614" s="75"/>
      <c r="V1614" s="75"/>
      <c r="W1614" s="75"/>
      <c r="X1614" s="75"/>
      <c r="Y1614" s="340"/>
      <c r="Z1614" s="341"/>
      <c r="AA1614" s="341"/>
      <c r="AB1614" s="341"/>
      <c r="AC1614" s="340"/>
      <c r="AD1614" s="75"/>
      <c r="AE1614" s="75"/>
      <c r="AF1614" s="75"/>
      <c r="AG1614" s="344"/>
      <c r="AH1614" s="344"/>
      <c r="AI1614" s="344"/>
      <c r="AJ1614" s="97"/>
      <c r="AK1614" s="4"/>
    </row>
    <row r="1615" spans="2:37" s="113" customFormat="1" x14ac:dyDescent="0.4">
      <c r="B1615" s="80"/>
      <c r="C1615" s="563">
        <v>1202</v>
      </c>
      <c r="D1615" s="907"/>
      <c r="E1615" s="906"/>
      <c r="F1615" s="921" t="str">
        <f t="shared" si="72"/>
        <v/>
      </c>
      <c r="G1615" s="882" t="str">
        <f t="shared" si="73"/>
        <v/>
      </c>
      <c r="H1615" s="925"/>
      <c r="I1615" s="919"/>
      <c r="J1615" s="919"/>
      <c r="K1615" s="919"/>
      <c r="L1615" s="919"/>
      <c r="O1615" s="339"/>
      <c r="T1615" s="75"/>
      <c r="U1615" s="75"/>
      <c r="V1615" s="75"/>
      <c r="W1615" s="75"/>
      <c r="X1615" s="75"/>
      <c r="Y1615" s="340"/>
      <c r="Z1615" s="341"/>
      <c r="AA1615" s="341"/>
      <c r="AB1615" s="341"/>
      <c r="AC1615" s="340"/>
      <c r="AD1615" s="75"/>
      <c r="AE1615" s="75"/>
      <c r="AF1615" s="75"/>
      <c r="AG1615" s="344"/>
      <c r="AH1615" s="344"/>
      <c r="AI1615" s="344"/>
      <c r="AJ1615" s="97"/>
      <c r="AK1615" s="4"/>
    </row>
    <row r="1616" spans="2:37" s="113" customFormat="1" x14ac:dyDescent="0.4">
      <c r="B1616" s="80"/>
      <c r="C1616" s="563">
        <v>1203</v>
      </c>
      <c r="D1616" s="907"/>
      <c r="E1616" s="906"/>
      <c r="F1616" s="921" t="str">
        <f t="shared" si="72"/>
        <v/>
      </c>
      <c r="G1616" s="882" t="str">
        <f t="shared" si="73"/>
        <v/>
      </c>
      <c r="H1616" s="925"/>
      <c r="I1616" s="919"/>
      <c r="J1616" s="919"/>
      <c r="K1616" s="919"/>
      <c r="L1616" s="919"/>
      <c r="O1616" s="339"/>
      <c r="T1616" s="75"/>
      <c r="U1616" s="75"/>
      <c r="V1616" s="75"/>
      <c r="W1616" s="75"/>
      <c r="X1616" s="75"/>
      <c r="Y1616" s="340"/>
      <c r="Z1616" s="341"/>
      <c r="AA1616" s="341"/>
      <c r="AB1616" s="341"/>
      <c r="AC1616" s="340"/>
      <c r="AD1616" s="75"/>
      <c r="AE1616" s="75"/>
      <c r="AF1616" s="75"/>
      <c r="AG1616" s="344"/>
      <c r="AH1616" s="344"/>
      <c r="AI1616" s="344"/>
      <c r="AJ1616" s="97"/>
      <c r="AK1616" s="4"/>
    </row>
    <row r="1617" spans="2:37" s="113" customFormat="1" x14ac:dyDescent="0.4">
      <c r="B1617" s="80"/>
      <c r="C1617" s="563">
        <v>1204</v>
      </c>
      <c r="D1617" s="907"/>
      <c r="E1617" s="906"/>
      <c r="F1617" s="921" t="str">
        <f t="shared" si="72"/>
        <v/>
      </c>
      <c r="G1617" s="882" t="str">
        <f t="shared" si="73"/>
        <v/>
      </c>
      <c r="H1617" s="925"/>
      <c r="I1617" s="919"/>
      <c r="J1617" s="919"/>
      <c r="K1617" s="919"/>
      <c r="L1617" s="919"/>
      <c r="O1617" s="339"/>
      <c r="T1617" s="75"/>
      <c r="U1617" s="75"/>
      <c r="V1617" s="75"/>
      <c r="W1617" s="75"/>
      <c r="X1617" s="75"/>
      <c r="Y1617" s="340"/>
      <c r="Z1617" s="341"/>
      <c r="AA1617" s="341"/>
      <c r="AB1617" s="341"/>
      <c r="AC1617" s="340"/>
      <c r="AD1617" s="75"/>
      <c r="AE1617" s="75"/>
      <c r="AF1617" s="75"/>
      <c r="AG1617" s="344"/>
      <c r="AH1617" s="344"/>
      <c r="AI1617" s="344"/>
      <c r="AJ1617" s="97"/>
      <c r="AK1617" s="4"/>
    </row>
    <row r="1618" spans="2:37" s="113" customFormat="1" x14ac:dyDescent="0.4">
      <c r="B1618" s="80"/>
      <c r="C1618" s="563">
        <v>1205</v>
      </c>
      <c r="D1618" s="907"/>
      <c r="E1618" s="906"/>
      <c r="F1618" s="921" t="str">
        <f t="shared" si="72"/>
        <v/>
      </c>
      <c r="G1618" s="882" t="str">
        <f t="shared" si="73"/>
        <v/>
      </c>
      <c r="H1618" s="925"/>
      <c r="I1618" s="919"/>
      <c r="J1618" s="919"/>
      <c r="K1618" s="919"/>
      <c r="L1618" s="919"/>
      <c r="O1618" s="339"/>
      <c r="T1618" s="75"/>
      <c r="U1618" s="75"/>
      <c r="V1618" s="75"/>
      <c r="W1618" s="75"/>
      <c r="X1618" s="75"/>
      <c r="Y1618" s="340"/>
      <c r="Z1618" s="341"/>
      <c r="AA1618" s="341"/>
      <c r="AB1618" s="341"/>
      <c r="AC1618" s="340"/>
      <c r="AD1618" s="75"/>
      <c r="AE1618" s="75"/>
      <c r="AF1618" s="75"/>
      <c r="AG1618" s="344"/>
      <c r="AH1618" s="344"/>
      <c r="AI1618" s="344"/>
      <c r="AJ1618" s="97"/>
      <c r="AK1618" s="4"/>
    </row>
    <row r="1619" spans="2:37" s="113" customFormat="1" x14ac:dyDescent="0.4">
      <c r="B1619" s="80"/>
      <c r="C1619" s="563">
        <v>1206</v>
      </c>
      <c r="D1619" s="907"/>
      <c r="E1619" s="906"/>
      <c r="F1619" s="921" t="str">
        <f t="shared" si="72"/>
        <v/>
      </c>
      <c r="G1619" s="882" t="str">
        <f t="shared" si="73"/>
        <v/>
      </c>
      <c r="H1619" s="925"/>
      <c r="I1619" s="919"/>
      <c r="J1619" s="919"/>
      <c r="K1619" s="919"/>
      <c r="L1619" s="919"/>
      <c r="O1619" s="339"/>
      <c r="T1619" s="75"/>
      <c r="U1619" s="75"/>
      <c r="V1619" s="75"/>
      <c r="W1619" s="75"/>
      <c r="X1619" s="75"/>
      <c r="Y1619" s="340"/>
      <c r="Z1619" s="341"/>
      <c r="AA1619" s="341"/>
      <c r="AB1619" s="341"/>
      <c r="AC1619" s="340"/>
      <c r="AD1619" s="75"/>
      <c r="AE1619" s="75"/>
      <c r="AF1619" s="75"/>
      <c r="AG1619" s="344"/>
      <c r="AH1619" s="344"/>
      <c r="AI1619" s="344"/>
      <c r="AJ1619" s="97"/>
      <c r="AK1619" s="4"/>
    </row>
    <row r="1620" spans="2:37" s="113" customFormat="1" x14ac:dyDescent="0.4">
      <c r="B1620" s="80"/>
      <c r="C1620" s="563">
        <v>1207</v>
      </c>
      <c r="D1620" s="907"/>
      <c r="E1620" s="906"/>
      <c r="F1620" s="921" t="str">
        <f t="shared" si="72"/>
        <v/>
      </c>
      <c r="G1620" s="882" t="str">
        <f t="shared" si="73"/>
        <v/>
      </c>
      <c r="H1620" s="925"/>
      <c r="I1620" s="919"/>
      <c r="J1620" s="919"/>
      <c r="K1620" s="919"/>
      <c r="L1620" s="919"/>
      <c r="O1620" s="339"/>
      <c r="T1620" s="75"/>
      <c r="U1620" s="75"/>
      <c r="V1620" s="75"/>
      <c r="W1620" s="75"/>
      <c r="X1620" s="75"/>
      <c r="Y1620" s="340"/>
      <c r="Z1620" s="341"/>
      <c r="AA1620" s="341"/>
      <c r="AB1620" s="341"/>
      <c r="AC1620" s="340"/>
      <c r="AD1620" s="75"/>
      <c r="AE1620" s="75"/>
      <c r="AF1620" s="75"/>
      <c r="AG1620" s="344"/>
      <c r="AH1620" s="344"/>
      <c r="AI1620" s="344"/>
      <c r="AJ1620" s="97"/>
      <c r="AK1620" s="4"/>
    </row>
    <row r="1621" spans="2:37" s="113" customFormat="1" x14ac:dyDescent="0.4">
      <c r="B1621" s="80"/>
      <c r="C1621" s="563">
        <v>1208</v>
      </c>
      <c r="D1621" s="907"/>
      <c r="E1621" s="906"/>
      <c r="F1621" s="921" t="str">
        <f t="shared" si="72"/>
        <v/>
      </c>
      <c r="G1621" s="882" t="str">
        <f t="shared" si="73"/>
        <v/>
      </c>
      <c r="H1621" s="925"/>
      <c r="I1621" s="919"/>
      <c r="J1621" s="919"/>
      <c r="K1621" s="919"/>
      <c r="L1621" s="919"/>
      <c r="O1621" s="339"/>
      <c r="T1621" s="75"/>
      <c r="U1621" s="75"/>
      <c r="V1621" s="75"/>
      <c r="W1621" s="75"/>
      <c r="X1621" s="75"/>
      <c r="Y1621" s="340"/>
      <c r="Z1621" s="341"/>
      <c r="AA1621" s="341"/>
      <c r="AB1621" s="341"/>
      <c r="AC1621" s="340"/>
      <c r="AD1621" s="75"/>
      <c r="AE1621" s="75"/>
      <c r="AF1621" s="75"/>
      <c r="AG1621" s="344"/>
      <c r="AH1621" s="344"/>
      <c r="AI1621" s="344"/>
      <c r="AJ1621" s="97"/>
      <c r="AK1621" s="4"/>
    </row>
    <row r="1622" spans="2:37" s="113" customFormat="1" x14ac:dyDescent="0.4">
      <c r="B1622" s="80"/>
      <c r="C1622" s="563">
        <v>1209</v>
      </c>
      <c r="D1622" s="907"/>
      <c r="E1622" s="906"/>
      <c r="F1622" s="921" t="str">
        <f t="shared" si="72"/>
        <v/>
      </c>
      <c r="G1622" s="882" t="str">
        <f t="shared" si="73"/>
        <v/>
      </c>
      <c r="H1622" s="925"/>
      <c r="I1622" s="919"/>
      <c r="J1622" s="919"/>
      <c r="K1622" s="919"/>
      <c r="L1622" s="919"/>
      <c r="O1622" s="339"/>
      <c r="T1622" s="75"/>
      <c r="U1622" s="75"/>
      <c r="V1622" s="75"/>
      <c r="W1622" s="75"/>
      <c r="X1622" s="75"/>
      <c r="Y1622" s="340"/>
      <c r="Z1622" s="341"/>
      <c r="AA1622" s="341"/>
      <c r="AB1622" s="341"/>
      <c r="AC1622" s="340"/>
      <c r="AD1622" s="75"/>
      <c r="AE1622" s="75"/>
      <c r="AF1622" s="75"/>
      <c r="AG1622" s="344"/>
      <c r="AH1622" s="344"/>
      <c r="AI1622" s="344"/>
      <c r="AJ1622" s="97"/>
      <c r="AK1622" s="4"/>
    </row>
    <row r="1623" spans="2:37" s="113" customFormat="1" x14ac:dyDescent="0.4">
      <c r="B1623" s="80"/>
      <c r="C1623" s="563">
        <v>1210</v>
      </c>
      <c r="D1623" s="907"/>
      <c r="E1623" s="906"/>
      <c r="F1623" s="921" t="str">
        <f t="shared" si="72"/>
        <v/>
      </c>
      <c r="G1623" s="882" t="str">
        <f t="shared" si="73"/>
        <v/>
      </c>
      <c r="H1623" s="925"/>
      <c r="I1623" s="919"/>
      <c r="J1623" s="919"/>
      <c r="K1623" s="919"/>
      <c r="L1623" s="919"/>
      <c r="O1623" s="339"/>
      <c r="T1623" s="75"/>
      <c r="U1623" s="75"/>
      <c r="V1623" s="75"/>
      <c r="W1623" s="75"/>
      <c r="X1623" s="75"/>
      <c r="Y1623" s="340"/>
      <c r="Z1623" s="341"/>
      <c r="AA1623" s="341"/>
      <c r="AB1623" s="341"/>
      <c r="AC1623" s="340"/>
      <c r="AD1623" s="75"/>
      <c r="AE1623" s="75"/>
      <c r="AF1623" s="75"/>
      <c r="AG1623" s="344"/>
      <c r="AH1623" s="344"/>
      <c r="AI1623" s="344"/>
      <c r="AJ1623" s="97"/>
      <c r="AK1623" s="4"/>
    </row>
    <row r="1624" spans="2:37" s="113" customFormat="1" x14ac:dyDescent="0.4">
      <c r="B1624" s="80"/>
      <c r="C1624" s="563">
        <v>1211</v>
      </c>
      <c r="D1624" s="907"/>
      <c r="E1624" s="906"/>
      <c r="F1624" s="921" t="str">
        <f t="shared" si="72"/>
        <v/>
      </c>
      <c r="G1624" s="882" t="str">
        <f t="shared" si="73"/>
        <v/>
      </c>
      <c r="H1624" s="925"/>
      <c r="I1624" s="919"/>
      <c r="J1624" s="919"/>
      <c r="K1624" s="919"/>
      <c r="L1624" s="919"/>
      <c r="O1624" s="339"/>
      <c r="T1624" s="75"/>
      <c r="U1624" s="75"/>
      <c r="V1624" s="75"/>
      <c r="W1624" s="75"/>
      <c r="X1624" s="75"/>
      <c r="Y1624" s="340"/>
      <c r="Z1624" s="341"/>
      <c r="AA1624" s="341"/>
      <c r="AB1624" s="341"/>
      <c r="AC1624" s="340"/>
      <c r="AD1624" s="75"/>
      <c r="AE1624" s="75"/>
      <c r="AF1624" s="75"/>
      <c r="AG1624" s="344"/>
      <c r="AH1624" s="344"/>
      <c r="AI1624" s="344"/>
      <c r="AJ1624" s="97"/>
      <c r="AK1624" s="4"/>
    </row>
    <row r="1625" spans="2:37" s="113" customFormat="1" x14ac:dyDescent="0.4">
      <c r="B1625" s="80"/>
      <c r="C1625" s="563">
        <v>1212</v>
      </c>
      <c r="D1625" s="907"/>
      <c r="E1625" s="906"/>
      <c r="F1625" s="921" t="str">
        <f t="shared" si="72"/>
        <v/>
      </c>
      <c r="G1625" s="882" t="str">
        <f t="shared" si="73"/>
        <v/>
      </c>
      <c r="H1625" s="925"/>
      <c r="I1625" s="919"/>
      <c r="J1625" s="919"/>
      <c r="K1625" s="919"/>
      <c r="L1625" s="919"/>
      <c r="O1625" s="339"/>
      <c r="T1625" s="75"/>
      <c r="U1625" s="75"/>
      <c r="V1625" s="75"/>
      <c r="W1625" s="75"/>
      <c r="X1625" s="75"/>
      <c r="Y1625" s="340"/>
      <c r="Z1625" s="341"/>
      <c r="AA1625" s="341"/>
      <c r="AB1625" s="341"/>
      <c r="AC1625" s="340"/>
      <c r="AD1625" s="75"/>
      <c r="AE1625" s="75"/>
      <c r="AF1625" s="75"/>
      <c r="AG1625" s="344"/>
      <c r="AH1625" s="344"/>
      <c r="AI1625" s="344"/>
      <c r="AJ1625" s="97"/>
      <c r="AK1625" s="4"/>
    </row>
    <row r="1626" spans="2:37" s="113" customFormat="1" x14ac:dyDescent="0.4">
      <c r="B1626" s="80"/>
      <c r="C1626" s="563">
        <v>1213</v>
      </c>
      <c r="D1626" s="907"/>
      <c r="E1626" s="906"/>
      <c r="F1626" s="921" t="str">
        <f t="shared" si="72"/>
        <v/>
      </c>
      <c r="G1626" s="882" t="str">
        <f t="shared" si="73"/>
        <v/>
      </c>
      <c r="H1626" s="925"/>
      <c r="I1626" s="919"/>
      <c r="J1626" s="919"/>
      <c r="K1626" s="919"/>
      <c r="L1626" s="919"/>
      <c r="O1626" s="339"/>
      <c r="T1626" s="75"/>
      <c r="U1626" s="75"/>
      <c r="V1626" s="75"/>
      <c r="W1626" s="75"/>
      <c r="X1626" s="75"/>
      <c r="Y1626" s="340"/>
      <c r="Z1626" s="341"/>
      <c r="AA1626" s="341"/>
      <c r="AB1626" s="341"/>
      <c r="AC1626" s="340"/>
      <c r="AD1626" s="75"/>
      <c r="AE1626" s="75"/>
      <c r="AF1626" s="75"/>
      <c r="AG1626" s="344"/>
      <c r="AH1626" s="344"/>
      <c r="AI1626" s="344"/>
      <c r="AJ1626" s="97"/>
      <c r="AK1626" s="4"/>
    </row>
    <row r="1627" spans="2:37" s="113" customFormat="1" x14ac:dyDescent="0.4">
      <c r="B1627" s="80"/>
      <c r="C1627" s="563">
        <v>1214</v>
      </c>
      <c r="D1627" s="907"/>
      <c r="E1627" s="906"/>
      <c r="F1627" s="921" t="str">
        <f t="shared" si="72"/>
        <v/>
      </c>
      <c r="G1627" s="882" t="str">
        <f t="shared" si="73"/>
        <v/>
      </c>
      <c r="H1627" s="925"/>
      <c r="I1627" s="919"/>
      <c r="J1627" s="919"/>
      <c r="K1627" s="919"/>
      <c r="L1627" s="919"/>
      <c r="O1627" s="339"/>
      <c r="T1627" s="75"/>
      <c r="U1627" s="75"/>
      <c r="V1627" s="75"/>
      <c r="W1627" s="75"/>
      <c r="X1627" s="75"/>
      <c r="Y1627" s="340"/>
      <c r="Z1627" s="341"/>
      <c r="AA1627" s="341"/>
      <c r="AB1627" s="341"/>
      <c r="AC1627" s="340"/>
      <c r="AD1627" s="75"/>
      <c r="AE1627" s="75"/>
      <c r="AF1627" s="75"/>
      <c r="AG1627" s="344"/>
      <c r="AH1627" s="344"/>
      <c r="AI1627" s="344"/>
      <c r="AJ1627" s="97"/>
      <c r="AK1627" s="4"/>
    </row>
    <row r="1628" spans="2:37" s="113" customFormat="1" x14ac:dyDescent="0.4">
      <c r="B1628" s="80"/>
      <c r="C1628" s="563">
        <v>1215</v>
      </c>
      <c r="D1628" s="907"/>
      <c r="E1628" s="906"/>
      <c r="F1628" s="921" t="str">
        <f t="shared" si="72"/>
        <v/>
      </c>
      <c r="G1628" s="882" t="str">
        <f t="shared" si="73"/>
        <v/>
      </c>
      <c r="H1628" s="925"/>
      <c r="I1628" s="919"/>
      <c r="J1628" s="919"/>
      <c r="K1628" s="919"/>
      <c r="L1628" s="919"/>
      <c r="O1628" s="339"/>
      <c r="T1628" s="75"/>
      <c r="U1628" s="75"/>
      <c r="V1628" s="75"/>
      <c r="W1628" s="75"/>
      <c r="X1628" s="75"/>
      <c r="Y1628" s="340"/>
      <c r="Z1628" s="341"/>
      <c r="AA1628" s="341"/>
      <c r="AB1628" s="341"/>
      <c r="AC1628" s="340"/>
      <c r="AD1628" s="75"/>
      <c r="AE1628" s="75"/>
      <c r="AF1628" s="75"/>
      <c r="AG1628" s="344"/>
      <c r="AH1628" s="344"/>
      <c r="AI1628" s="344"/>
      <c r="AJ1628" s="97"/>
      <c r="AK1628" s="4"/>
    </row>
    <row r="1629" spans="2:37" s="113" customFormat="1" x14ac:dyDescent="0.4">
      <c r="B1629" s="80"/>
      <c r="C1629" s="563">
        <v>1216</v>
      </c>
      <c r="D1629" s="907"/>
      <c r="E1629" s="906"/>
      <c r="F1629" s="921" t="str">
        <f t="shared" si="72"/>
        <v/>
      </c>
      <c r="G1629" s="882" t="str">
        <f t="shared" si="73"/>
        <v/>
      </c>
      <c r="H1629" s="925"/>
      <c r="I1629" s="919"/>
      <c r="J1629" s="919"/>
      <c r="K1629" s="919"/>
      <c r="L1629" s="919"/>
      <c r="O1629" s="339"/>
      <c r="T1629" s="75"/>
      <c r="U1629" s="75"/>
      <c r="V1629" s="75"/>
      <c r="W1629" s="75"/>
      <c r="X1629" s="75"/>
      <c r="Y1629" s="340"/>
      <c r="Z1629" s="341"/>
      <c r="AA1629" s="341"/>
      <c r="AB1629" s="341"/>
      <c r="AC1629" s="340"/>
      <c r="AD1629" s="75"/>
      <c r="AE1629" s="75"/>
      <c r="AF1629" s="75"/>
      <c r="AG1629" s="344"/>
      <c r="AH1629" s="344"/>
      <c r="AI1629" s="344"/>
      <c r="AJ1629" s="97"/>
      <c r="AK1629" s="4"/>
    </row>
    <row r="1630" spans="2:37" s="113" customFormat="1" x14ac:dyDescent="0.4">
      <c r="B1630" s="80"/>
      <c r="C1630" s="563">
        <v>1217</v>
      </c>
      <c r="D1630" s="907"/>
      <c r="E1630" s="906"/>
      <c r="F1630" s="921" t="str">
        <f t="shared" ref="F1630:F1693" si="74">IF($D$30="","",IF(OR(
AND(C1630&gt;=0,C1630&lt;=$D$32),
AND(C1630&gt;=$E$30,C1630&lt;=$E$32),
AND(C1630&gt;=$F$30,C1630&lt;=$F$32),
AND(C1630&gt;=$G$30,C1630&lt;=$G$32),
AND(C1630&gt;=$H$30,C1630&lt;=$H$32),
AND(C1630&gt;=$I$30,C1630&lt;=$I$32),
AND(C1630&gt;=$J$30,C1630&lt;=$J$32),
AND(C1630&gt;=$K$30,C1630&lt;=$K$32),
AND(C1630&gt;=$L$30,C1630&lt;=$L$32),
AND(C1630&gt;=$M$30,C1630&lt;=$M$32,$M$32&lt;&gt;""),
AND(C1630&gt;=$N$30,C1630&lt;=$N$32,$N$32&lt;&gt;""),
AND(C1630&gt;=$O$30,C1630&lt;=$O$32,$O$32&lt;&gt;""),
AND(C1630&gt;=$P$30,C1630&lt;=$P$32,$P$32&lt;&gt;""),
AND(C1630&gt;=$Q$30,C1630&lt;=$Q$32,$Q$32&lt;&gt;"")
),"ON","OFF"))</f>
        <v/>
      </c>
      <c r="G1630" s="882" t="str">
        <f t="shared" si="73"/>
        <v/>
      </c>
      <c r="H1630" s="925"/>
      <c r="I1630" s="919"/>
      <c r="J1630" s="919"/>
      <c r="K1630" s="919"/>
      <c r="L1630" s="919"/>
      <c r="O1630" s="339"/>
      <c r="T1630" s="75"/>
      <c r="U1630" s="75"/>
      <c r="V1630" s="75"/>
      <c r="W1630" s="75"/>
      <c r="X1630" s="75"/>
      <c r="Y1630" s="340"/>
      <c r="Z1630" s="341"/>
      <c r="AA1630" s="341"/>
      <c r="AB1630" s="341"/>
      <c r="AC1630" s="340"/>
      <c r="AD1630" s="75"/>
      <c r="AE1630" s="75"/>
      <c r="AF1630" s="75"/>
      <c r="AG1630" s="344"/>
      <c r="AH1630" s="344"/>
      <c r="AI1630" s="344"/>
      <c r="AJ1630" s="97"/>
      <c r="AK1630" s="4"/>
    </row>
    <row r="1631" spans="2:37" s="113" customFormat="1" x14ac:dyDescent="0.4">
      <c r="B1631" s="80"/>
      <c r="C1631" s="563">
        <v>1218</v>
      </c>
      <c r="D1631" s="907"/>
      <c r="E1631" s="906"/>
      <c r="F1631" s="921" t="str">
        <f t="shared" si="74"/>
        <v/>
      </c>
      <c r="G1631" s="882" t="str">
        <f t="shared" ref="G1631:G1694" si="75">IF(OR($D$47="",$D$48=""),"",IF(OR(
AND(C1631&gt;=$D$47,C1631&lt;=$D$48),
AND(C1631&gt;=$E$47,C1631&lt;=$E$48),
AND(C1631&gt;=$F$47,C1631&lt;=$F$48),
AND(C1631&gt;=$G$47,C1631&lt;=$G$48),
AND(C1631&gt;=$H$47,C1631&lt;=$H$48),
AND(C1631&gt;=$I$47,C1631&lt;=$I$48),
AND(C1631&gt;=$J$47,C1631&lt;=$J$48),
AND(C1631&gt;=$K$47,C1631&lt;=$K$48),
AND(C1631&gt;=$L$47,C1631&lt;=$L$48),
AND(C1631&gt;=$M$47,C1631&lt;=$M$48),
AND(C1631&gt;=$N$47,C1631&lt;=$N$48),
AND(C1631&gt;=$O$47,C1631&lt;=$O$48),
AND(C1631&gt;=$P$47,C1631&lt;=$P$48),
AND(C1631&gt;=$Q$47,C1631&lt;=$Q$48),
AND(C1631&gt;=$R$47,C1631&lt;=$R$48),
AND(C1631&gt;=$S$47,C1631&lt;=$S$48),
AND(C1631&gt;=$T$47,C1631&lt;=$T$48),
AND(C1631&gt;=$U$47,C1631&lt;=$U$48),
AND(C1631&gt;=$V$47,C1631&lt;=$V$48),
AND(C1631&gt;=$W$47,C1631&lt;=$W$48),
AND(C1631&gt;=$X$47,C1631&lt;=$X$48),
AND(C1631&gt;=$Y$47,C1631&lt;=$Y$48),
AND(C1631&gt;=$Z$47,C1631&lt;=$Z$48),
AND(C1631&gt;=$AA$47,C1631&lt;=$AA$48),
AND(C1631&gt;=$AB$47,C1631&lt;=$AB$48),
AND(C1631&gt;=$AC$47,C1631&lt;=$AC$48),
AND(C1631&gt;=$AD$47,C1631&lt;=$AD$48),
AND(C1631&gt;=$AE$47,C1631&lt;=$AE$48),
AND(C1631&gt;=$AF$47,C1631&lt;=$AF$48),
AND(C1631&gt;=$AG$47,C1631&lt;=$AG$48)
),"ON","OFF"))</f>
        <v/>
      </c>
      <c r="H1631" s="925"/>
      <c r="I1631" s="919"/>
      <c r="J1631" s="919"/>
      <c r="K1631" s="919"/>
      <c r="L1631" s="919"/>
      <c r="O1631" s="339"/>
      <c r="T1631" s="75"/>
      <c r="U1631" s="75"/>
      <c r="V1631" s="75"/>
      <c r="W1631" s="75"/>
      <c r="X1631" s="75"/>
      <c r="Y1631" s="340"/>
      <c r="Z1631" s="341"/>
      <c r="AA1631" s="341"/>
      <c r="AB1631" s="341"/>
      <c r="AC1631" s="340"/>
      <c r="AD1631" s="75"/>
      <c r="AE1631" s="75"/>
      <c r="AF1631" s="75"/>
      <c r="AG1631" s="344"/>
      <c r="AH1631" s="344"/>
      <c r="AI1631" s="344"/>
      <c r="AJ1631" s="97"/>
      <c r="AK1631" s="4"/>
    </row>
    <row r="1632" spans="2:37" s="113" customFormat="1" x14ac:dyDescent="0.4">
      <c r="B1632" s="80"/>
      <c r="C1632" s="563">
        <v>1219</v>
      </c>
      <c r="D1632" s="907"/>
      <c r="E1632" s="906"/>
      <c r="F1632" s="921" t="str">
        <f t="shared" si="74"/>
        <v/>
      </c>
      <c r="G1632" s="882" t="str">
        <f t="shared" si="75"/>
        <v/>
      </c>
      <c r="H1632" s="925"/>
      <c r="I1632" s="919"/>
      <c r="J1632" s="919"/>
      <c r="K1632" s="919"/>
      <c r="L1632" s="919"/>
      <c r="O1632" s="339"/>
      <c r="T1632" s="75"/>
      <c r="U1632" s="75"/>
      <c r="V1632" s="75"/>
      <c r="W1632" s="75"/>
      <c r="X1632" s="75"/>
      <c r="Y1632" s="340"/>
      <c r="Z1632" s="341"/>
      <c r="AA1632" s="341"/>
      <c r="AB1632" s="341"/>
      <c r="AC1632" s="340"/>
      <c r="AD1632" s="75"/>
      <c r="AE1632" s="75"/>
      <c r="AF1632" s="75"/>
      <c r="AG1632" s="344"/>
      <c r="AH1632" s="344"/>
      <c r="AI1632" s="344"/>
      <c r="AJ1632" s="97"/>
      <c r="AK1632" s="4"/>
    </row>
    <row r="1633" spans="2:37" s="113" customFormat="1" x14ac:dyDescent="0.4">
      <c r="B1633" s="80"/>
      <c r="C1633" s="563">
        <v>1220</v>
      </c>
      <c r="D1633" s="907"/>
      <c r="E1633" s="906"/>
      <c r="F1633" s="921" t="str">
        <f t="shared" si="74"/>
        <v/>
      </c>
      <c r="G1633" s="882" t="str">
        <f t="shared" si="75"/>
        <v/>
      </c>
      <c r="H1633" s="925"/>
      <c r="I1633" s="919"/>
      <c r="J1633" s="919"/>
      <c r="K1633" s="919"/>
      <c r="L1633" s="919"/>
      <c r="O1633" s="339"/>
      <c r="T1633" s="75"/>
      <c r="U1633" s="75"/>
      <c r="V1633" s="75"/>
      <c r="W1633" s="75"/>
      <c r="X1633" s="75"/>
      <c r="Y1633" s="340"/>
      <c r="Z1633" s="341"/>
      <c r="AA1633" s="341"/>
      <c r="AB1633" s="341"/>
      <c r="AC1633" s="340"/>
      <c r="AD1633" s="75"/>
      <c r="AE1633" s="75"/>
      <c r="AF1633" s="75"/>
      <c r="AG1633" s="344"/>
      <c r="AH1633" s="344"/>
      <c r="AI1633" s="344"/>
      <c r="AJ1633" s="97"/>
      <c r="AK1633" s="4"/>
    </row>
    <row r="1634" spans="2:37" s="113" customFormat="1" x14ac:dyDescent="0.4">
      <c r="B1634" s="80"/>
      <c r="C1634" s="563">
        <v>1221</v>
      </c>
      <c r="D1634" s="907"/>
      <c r="E1634" s="906"/>
      <c r="F1634" s="921" t="str">
        <f t="shared" si="74"/>
        <v/>
      </c>
      <c r="G1634" s="882" t="str">
        <f t="shared" si="75"/>
        <v/>
      </c>
      <c r="H1634" s="925"/>
      <c r="I1634" s="919"/>
      <c r="J1634" s="919"/>
      <c r="K1634" s="919"/>
      <c r="L1634" s="919"/>
      <c r="O1634" s="339"/>
      <c r="T1634" s="75"/>
      <c r="U1634" s="75"/>
      <c r="V1634" s="75"/>
      <c r="W1634" s="75"/>
      <c r="X1634" s="75"/>
      <c r="Y1634" s="340"/>
      <c r="Z1634" s="341"/>
      <c r="AA1634" s="341"/>
      <c r="AB1634" s="341"/>
      <c r="AC1634" s="340"/>
      <c r="AD1634" s="75"/>
      <c r="AE1634" s="75"/>
      <c r="AF1634" s="75"/>
      <c r="AG1634" s="344"/>
      <c r="AH1634" s="344"/>
      <c r="AI1634" s="344"/>
      <c r="AJ1634" s="97"/>
      <c r="AK1634" s="4"/>
    </row>
    <row r="1635" spans="2:37" s="113" customFormat="1" x14ac:dyDescent="0.4">
      <c r="B1635" s="80"/>
      <c r="C1635" s="563">
        <v>1222</v>
      </c>
      <c r="D1635" s="907"/>
      <c r="E1635" s="906"/>
      <c r="F1635" s="921" t="str">
        <f t="shared" si="74"/>
        <v/>
      </c>
      <c r="G1635" s="882" t="str">
        <f t="shared" si="75"/>
        <v/>
      </c>
      <c r="H1635" s="925"/>
      <c r="I1635" s="919"/>
      <c r="J1635" s="919"/>
      <c r="K1635" s="919"/>
      <c r="L1635" s="919"/>
      <c r="O1635" s="339"/>
      <c r="T1635" s="75"/>
      <c r="U1635" s="75"/>
      <c r="V1635" s="75"/>
      <c r="W1635" s="75"/>
      <c r="X1635" s="75"/>
      <c r="Y1635" s="340"/>
      <c r="Z1635" s="341"/>
      <c r="AA1635" s="341"/>
      <c r="AB1635" s="341"/>
      <c r="AC1635" s="340"/>
      <c r="AD1635" s="75"/>
      <c r="AE1635" s="75"/>
      <c r="AF1635" s="75"/>
      <c r="AG1635" s="344"/>
      <c r="AH1635" s="344"/>
      <c r="AI1635" s="344"/>
      <c r="AJ1635" s="97"/>
      <c r="AK1635" s="4"/>
    </row>
    <row r="1636" spans="2:37" s="113" customFormat="1" x14ac:dyDescent="0.4">
      <c r="B1636" s="80"/>
      <c r="C1636" s="563">
        <v>1223</v>
      </c>
      <c r="D1636" s="907"/>
      <c r="E1636" s="906"/>
      <c r="F1636" s="921" t="str">
        <f t="shared" si="74"/>
        <v/>
      </c>
      <c r="G1636" s="882" t="str">
        <f t="shared" si="75"/>
        <v/>
      </c>
      <c r="H1636" s="925"/>
      <c r="I1636" s="919"/>
      <c r="J1636" s="919"/>
      <c r="K1636" s="919"/>
      <c r="L1636" s="919"/>
      <c r="O1636" s="339"/>
      <c r="T1636" s="75"/>
      <c r="U1636" s="75"/>
      <c r="V1636" s="75"/>
      <c r="W1636" s="75"/>
      <c r="X1636" s="75"/>
      <c r="Y1636" s="340"/>
      <c r="Z1636" s="341"/>
      <c r="AA1636" s="341"/>
      <c r="AB1636" s="341"/>
      <c r="AC1636" s="340"/>
      <c r="AD1636" s="75"/>
      <c r="AE1636" s="75"/>
      <c r="AF1636" s="75"/>
      <c r="AG1636" s="344"/>
      <c r="AH1636" s="344"/>
      <c r="AI1636" s="344"/>
      <c r="AJ1636" s="97"/>
      <c r="AK1636" s="4"/>
    </row>
    <row r="1637" spans="2:37" s="113" customFormat="1" x14ac:dyDescent="0.4">
      <c r="B1637" s="80"/>
      <c r="C1637" s="563">
        <v>1224</v>
      </c>
      <c r="D1637" s="907"/>
      <c r="E1637" s="906"/>
      <c r="F1637" s="921" t="str">
        <f t="shared" si="74"/>
        <v/>
      </c>
      <c r="G1637" s="882" t="str">
        <f t="shared" si="75"/>
        <v/>
      </c>
      <c r="H1637" s="925"/>
      <c r="I1637" s="919"/>
      <c r="J1637" s="919"/>
      <c r="K1637" s="919"/>
      <c r="L1637" s="919"/>
      <c r="O1637" s="339"/>
      <c r="T1637" s="75"/>
      <c r="U1637" s="75"/>
      <c r="V1637" s="75"/>
      <c r="W1637" s="75"/>
      <c r="X1637" s="75"/>
      <c r="Y1637" s="340"/>
      <c r="Z1637" s="341"/>
      <c r="AA1637" s="341"/>
      <c r="AB1637" s="341"/>
      <c r="AC1637" s="340"/>
      <c r="AD1637" s="75"/>
      <c r="AE1637" s="75"/>
      <c r="AF1637" s="75"/>
      <c r="AG1637" s="344"/>
      <c r="AH1637" s="344"/>
      <c r="AI1637" s="344"/>
      <c r="AJ1637" s="97"/>
      <c r="AK1637" s="4"/>
    </row>
    <row r="1638" spans="2:37" s="113" customFormat="1" x14ac:dyDescent="0.4">
      <c r="B1638" s="80"/>
      <c r="C1638" s="563">
        <v>1225</v>
      </c>
      <c r="D1638" s="907"/>
      <c r="E1638" s="906"/>
      <c r="F1638" s="921" t="str">
        <f t="shared" si="74"/>
        <v/>
      </c>
      <c r="G1638" s="882" t="str">
        <f t="shared" si="75"/>
        <v/>
      </c>
      <c r="H1638" s="925"/>
      <c r="I1638" s="919"/>
      <c r="J1638" s="919"/>
      <c r="K1638" s="919"/>
      <c r="L1638" s="919"/>
      <c r="O1638" s="339"/>
      <c r="T1638" s="75"/>
      <c r="U1638" s="75"/>
      <c r="V1638" s="75"/>
      <c r="W1638" s="75"/>
      <c r="X1638" s="75"/>
      <c r="Y1638" s="340"/>
      <c r="Z1638" s="341"/>
      <c r="AA1638" s="341"/>
      <c r="AB1638" s="341"/>
      <c r="AC1638" s="340"/>
      <c r="AD1638" s="75"/>
      <c r="AE1638" s="75"/>
      <c r="AF1638" s="75"/>
      <c r="AG1638" s="344"/>
      <c r="AH1638" s="344"/>
      <c r="AI1638" s="344"/>
      <c r="AJ1638" s="97"/>
      <c r="AK1638" s="4"/>
    </row>
    <row r="1639" spans="2:37" s="113" customFormat="1" x14ac:dyDescent="0.4">
      <c r="B1639" s="80"/>
      <c r="C1639" s="563">
        <v>1226</v>
      </c>
      <c r="D1639" s="907"/>
      <c r="E1639" s="906"/>
      <c r="F1639" s="921" t="str">
        <f t="shared" si="74"/>
        <v/>
      </c>
      <c r="G1639" s="882" t="str">
        <f t="shared" si="75"/>
        <v/>
      </c>
      <c r="H1639" s="925"/>
      <c r="I1639" s="919"/>
      <c r="J1639" s="919"/>
      <c r="K1639" s="919"/>
      <c r="L1639" s="919"/>
      <c r="O1639" s="339"/>
      <c r="T1639" s="75"/>
      <c r="U1639" s="75"/>
      <c r="V1639" s="75"/>
      <c r="W1639" s="75"/>
      <c r="X1639" s="75"/>
      <c r="Y1639" s="340"/>
      <c r="Z1639" s="341"/>
      <c r="AA1639" s="341"/>
      <c r="AB1639" s="341"/>
      <c r="AC1639" s="340"/>
      <c r="AD1639" s="75"/>
      <c r="AE1639" s="75"/>
      <c r="AF1639" s="75"/>
      <c r="AG1639" s="344"/>
      <c r="AH1639" s="344"/>
      <c r="AI1639" s="344"/>
      <c r="AJ1639" s="97"/>
      <c r="AK1639" s="4"/>
    </row>
    <row r="1640" spans="2:37" s="113" customFormat="1" x14ac:dyDescent="0.4">
      <c r="B1640" s="80"/>
      <c r="C1640" s="563">
        <v>1227</v>
      </c>
      <c r="D1640" s="907"/>
      <c r="E1640" s="906"/>
      <c r="F1640" s="921" t="str">
        <f t="shared" si="74"/>
        <v/>
      </c>
      <c r="G1640" s="882" t="str">
        <f t="shared" si="75"/>
        <v/>
      </c>
      <c r="H1640" s="925"/>
      <c r="I1640" s="919"/>
      <c r="J1640" s="919"/>
      <c r="K1640" s="919"/>
      <c r="L1640" s="919"/>
      <c r="O1640" s="339"/>
      <c r="T1640" s="75"/>
      <c r="U1640" s="75"/>
      <c r="V1640" s="75"/>
      <c r="W1640" s="75"/>
      <c r="X1640" s="75"/>
      <c r="Y1640" s="340"/>
      <c r="Z1640" s="341"/>
      <c r="AA1640" s="341"/>
      <c r="AB1640" s="341"/>
      <c r="AC1640" s="340"/>
      <c r="AD1640" s="75"/>
      <c r="AE1640" s="75"/>
      <c r="AF1640" s="75"/>
      <c r="AG1640" s="344"/>
      <c r="AH1640" s="344"/>
      <c r="AI1640" s="344"/>
      <c r="AJ1640" s="97"/>
      <c r="AK1640" s="4"/>
    </row>
    <row r="1641" spans="2:37" s="113" customFormat="1" x14ac:dyDescent="0.4">
      <c r="B1641" s="80"/>
      <c r="C1641" s="563">
        <v>1228</v>
      </c>
      <c r="D1641" s="907"/>
      <c r="E1641" s="906"/>
      <c r="F1641" s="921" t="str">
        <f t="shared" si="74"/>
        <v/>
      </c>
      <c r="G1641" s="882" t="str">
        <f t="shared" si="75"/>
        <v/>
      </c>
      <c r="H1641" s="925"/>
      <c r="I1641" s="919"/>
      <c r="J1641" s="919"/>
      <c r="K1641" s="919"/>
      <c r="L1641" s="919"/>
      <c r="O1641" s="339"/>
      <c r="T1641" s="75"/>
      <c r="U1641" s="75"/>
      <c r="V1641" s="75"/>
      <c r="W1641" s="75"/>
      <c r="X1641" s="75"/>
      <c r="Y1641" s="340"/>
      <c r="Z1641" s="341"/>
      <c r="AA1641" s="341"/>
      <c r="AB1641" s="341"/>
      <c r="AC1641" s="340"/>
      <c r="AD1641" s="75"/>
      <c r="AE1641" s="75"/>
      <c r="AF1641" s="75"/>
      <c r="AG1641" s="344"/>
      <c r="AH1641" s="344"/>
      <c r="AI1641" s="344"/>
      <c r="AJ1641" s="97"/>
      <c r="AK1641" s="4"/>
    </row>
    <row r="1642" spans="2:37" s="113" customFormat="1" x14ac:dyDescent="0.4">
      <c r="B1642" s="80"/>
      <c r="C1642" s="563">
        <v>1229</v>
      </c>
      <c r="D1642" s="907"/>
      <c r="E1642" s="906"/>
      <c r="F1642" s="921" t="str">
        <f t="shared" si="74"/>
        <v/>
      </c>
      <c r="G1642" s="882" t="str">
        <f t="shared" si="75"/>
        <v/>
      </c>
      <c r="H1642" s="925"/>
      <c r="I1642" s="919"/>
      <c r="J1642" s="919"/>
      <c r="K1642" s="919"/>
      <c r="L1642" s="919"/>
      <c r="O1642" s="339"/>
      <c r="T1642" s="75"/>
      <c r="U1642" s="75"/>
      <c r="V1642" s="75"/>
      <c r="W1642" s="75"/>
      <c r="X1642" s="75"/>
      <c r="Y1642" s="340"/>
      <c r="Z1642" s="341"/>
      <c r="AA1642" s="341"/>
      <c r="AB1642" s="341"/>
      <c r="AC1642" s="340"/>
      <c r="AD1642" s="75"/>
      <c r="AE1642" s="75"/>
      <c r="AF1642" s="75"/>
      <c r="AG1642" s="344"/>
      <c r="AH1642" s="344"/>
      <c r="AI1642" s="344"/>
      <c r="AJ1642" s="97"/>
      <c r="AK1642" s="4"/>
    </row>
    <row r="1643" spans="2:37" s="113" customFormat="1" x14ac:dyDescent="0.4">
      <c r="B1643" s="80"/>
      <c r="C1643" s="563">
        <v>1230</v>
      </c>
      <c r="D1643" s="907"/>
      <c r="E1643" s="906"/>
      <c r="F1643" s="921" t="str">
        <f t="shared" si="74"/>
        <v/>
      </c>
      <c r="G1643" s="882" t="str">
        <f t="shared" si="75"/>
        <v/>
      </c>
      <c r="H1643" s="925"/>
      <c r="I1643" s="919"/>
      <c r="J1643" s="919"/>
      <c r="K1643" s="919"/>
      <c r="L1643" s="919"/>
      <c r="O1643" s="339"/>
      <c r="T1643" s="75"/>
      <c r="U1643" s="75"/>
      <c r="V1643" s="75"/>
      <c r="W1643" s="75"/>
      <c r="X1643" s="75"/>
      <c r="Y1643" s="340"/>
      <c r="Z1643" s="341"/>
      <c r="AA1643" s="341"/>
      <c r="AB1643" s="341"/>
      <c r="AC1643" s="340"/>
      <c r="AD1643" s="75"/>
      <c r="AE1643" s="75"/>
      <c r="AF1643" s="75"/>
      <c r="AG1643" s="344"/>
      <c r="AH1643" s="344"/>
      <c r="AI1643" s="344"/>
      <c r="AJ1643" s="97"/>
      <c r="AK1643" s="4"/>
    </row>
    <row r="1644" spans="2:37" s="113" customFormat="1" x14ac:dyDescent="0.4">
      <c r="B1644" s="80"/>
      <c r="C1644" s="563">
        <v>1231</v>
      </c>
      <c r="D1644" s="907"/>
      <c r="E1644" s="906"/>
      <c r="F1644" s="921" t="str">
        <f t="shared" si="74"/>
        <v/>
      </c>
      <c r="G1644" s="882" t="str">
        <f t="shared" si="75"/>
        <v/>
      </c>
      <c r="H1644" s="925"/>
      <c r="I1644" s="919"/>
      <c r="J1644" s="919"/>
      <c r="K1644" s="919"/>
      <c r="L1644" s="919"/>
      <c r="O1644" s="339"/>
      <c r="T1644" s="75"/>
      <c r="U1644" s="75"/>
      <c r="V1644" s="75"/>
      <c r="W1644" s="75"/>
      <c r="X1644" s="75"/>
      <c r="Y1644" s="340"/>
      <c r="Z1644" s="341"/>
      <c r="AA1644" s="341"/>
      <c r="AB1644" s="341"/>
      <c r="AC1644" s="340"/>
      <c r="AD1644" s="75"/>
      <c r="AE1644" s="75"/>
      <c r="AF1644" s="75"/>
      <c r="AG1644" s="344"/>
      <c r="AH1644" s="344"/>
      <c r="AI1644" s="344"/>
      <c r="AJ1644" s="97"/>
      <c r="AK1644" s="4"/>
    </row>
    <row r="1645" spans="2:37" s="113" customFormat="1" x14ac:dyDescent="0.4">
      <c r="B1645" s="80"/>
      <c r="C1645" s="563">
        <v>1232</v>
      </c>
      <c r="D1645" s="907"/>
      <c r="E1645" s="906"/>
      <c r="F1645" s="921" t="str">
        <f t="shared" si="74"/>
        <v/>
      </c>
      <c r="G1645" s="882" t="str">
        <f t="shared" si="75"/>
        <v/>
      </c>
      <c r="H1645" s="925"/>
      <c r="I1645" s="919"/>
      <c r="J1645" s="919"/>
      <c r="K1645" s="919"/>
      <c r="L1645" s="919"/>
      <c r="O1645" s="339"/>
      <c r="T1645" s="75"/>
      <c r="U1645" s="75"/>
      <c r="V1645" s="75"/>
      <c r="W1645" s="75"/>
      <c r="X1645" s="75"/>
      <c r="Y1645" s="340"/>
      <c r="Z1645" s="341"/>
      <c r="AA1645" s="341"/>
      <c r="AB1645" s="341"/>
      <c r="AC1645" s="340"/>
      <c r="AD1645" s="75"/>
      <c r="AE1645" s="75"/>
      <c r="AF1645" s="75"/>
      <c r="AG1645" s="344"/>
      <c r="AH1645" s="344"/>
      <c r="AI1645" s="344"/>
      <c r="AJ1645" s="97"/>
      <c r="AK1645" s="4"/>
    </row>
    <row r="1646" spans="2:37" s="113" customFormat="1" x14ac:dyDescent="0.4">
      <c r="B1646" s="80"/>
      <c r="C1646" s="563">
        <v>1233</v>
      </c>
      <c r="D1646" s="907"/>
      <c r="E1646" s="906"/>
      <c r="F1646" s="921" t="str">
        <f t="shared" si="74"/>
        <v/>
      </c>
      <c r="G1646" s="882" t="str">
        <f t="shared" si="75"/>
        <v/>
      </c>
      <c r="H1646" s="925"/>
      <c r="I1646" s="919"/>
      <c r="J1646" s="919"/>
      <c r="K1646" s="919"/>
      <c r="L1646" s="919"/>
      <c r="O1646" s="339"/>
      <c r="T1646" s="75"/>
      <c r="U1646" s="75"/>
      <c r="V1646" s="75"/>
      <c r="W1646" s="75"/>
      <c r="X1646" s="75"/>
      <c r="Y1646" s="340"/>
      <c r="Z1646" s="341"/>
      <c r="AA1646" s="341"/>
      <c r="AB1646" s="341"/>
      <c r="AC1646" s="340"/>
      <c r="AD1646" s="75"/>
      <c r="AE1646" s="75"/>
      <c r="AF1646" s="75"/>
      <c r="AG1646" s="344"/>
      <c r="AH1646" s="344"/>
      <c r="AI1646" s="344"/>
      <c r="AJ1646" s="97"/>
      <c r="AK1646" s="4"/>
    </row>
    <row r="1647" spans="2:37" s="113" customFormat="1" x14ac:dyDescent="0.4">
      <c r="B1647" s="80"/>
      <c r="C1647" s="563">
        <v>1234</v>
      </c>
      <c r="D1647" s="907"/>
      <c r="E1647" s="906"/>
      <c r="F1647" s="921" t="str">
        <f t="shared" si="74"/>
        <v/>
      </c>
      <c r="G1647" s="882" t="str">
        <f t="shared" si="75"/>
        <v/>
      </c>
      <c r="H1647" s="925"/>
      <c r="I1647" s="919"/>
      <c r="J1647" s="919"/>
      <c r="K1647" s="919"/>
      <c r="L1647" s="919"/>
      <c r="O1647" s="339"/>
      <c r="T1647" s="75"/>
      <c r="U1647" s="75"/>
      <c r="V1647" s="75"/>
      <c r="W1647" s="75"/>
      <c r="X1647" s="75"/>
      <c r="Y1647" s="340"/>
      <c r="Z1647" s="341"/>
      <c r="AA1647" s="341"/>
      <c r="AB1647" s="341"/>
      <c r="AC1647" s="340"/>
      <c r="AD1647" s="75"/>
      <c r="AE1647" s="75"/>
      <c r="AF1647" s="75"/>
      <c r="AG1647" s="344"/>
      <c r="AH1647" s="344"/>
      <c r="AI1647" s="344"/>
      <c r="AJ1647" s="97"/>
      <c r="AK1647" s="4"/>
    </row>
    <row r="1648" spans="2:37" s="113" customFormat="1" x14ac:dyDescent="0.4">
      <c r="B1648" s="80"/>
      <c r="C1648" s="563">
        <v>1235</v>
      </c>
      <c r="D1648" s="907"/>
      <c r="E1648" s="906"/>
      <c r="F1648" s="921" t="str">
        <f t="shared" si="74"/>
        <v/>
      </c>
      <c r="G1648" s="882" t="str">
        <f t="shared" si="75"/>
        <v/>
      </c>
      <c r="H1648" s="925"/>
      <c r="I1648" s="919"/>
      <c r="J1648" s="919"/>
      <c r="K1648" s="919"/>
      <c r="L1648" s="919"/>
      <c r="O1648" s="339"/>
      <c r="T1648" s="75"/>
      <c r="U1648" s="75"/>
      <c r="V1648" s="75"/>
      <c r="W1648" s="75"/>
      <c r="X1648" s="75"/>
      <c r="Y1648" s="340"/>
      <c r="Z1648" s="341"/>
      <c r="AA1648" s="341"/>
      <c r="AB1648" s="341"/>
      <c r="AC1648" s="340"/>
      <c r="AD1648" s="75"/>
      <c r="AE1648" s="75"/>
      <c r="AF1648" s="75"/>
      <c r="AG1648" s="344"/>
      <c r="AH1648" s="344"/>
      <c r="AI1648" s="344"/>
      <c r="AJ1648" s="97"/>
      <c r="AK1648" s="4"/>
    </row>
    <row r="1649" spans="2:37" s="113" customFormat="1" x14ac:dyDescent="0.4">
      <c r="B1649" s="80"/>
      <c r="C1649" s="563">
        <v>1236</v>
      </c>
      <c r="D1649" s="907"/>
      <c r="E1649" s="906"/>
      <c r="F1649" s="921" t="str">
        <f t="shared" si="74"/>
        <v/>
      </c>
      <c r="G1649" s="882" t="str">
        <f t="shared" si="75"/>
        <v/>
      </c>
      <c r="H1649" s="925"/>
      <c r="I1649" s="919"/>
      <c r="J1649" s="919"/>
      <c r="K1649" s="919"/>
      <c r="L1649" s="919"/>
      <c r="O1649" s="339"/>
      <c r="T1649" s="75"/>
      <c r="U1649" s="75"/>
      <c r="V1649" s="75"/>
      <c r="W1649" s="75"/>
      <c r="X1649" s="75"/>
      <c r="Y1649" s="340"/>
      <c r="Z1649" s="341"/>
      <c r="AA1649" s="341"/>
      <c r="AB1649" s="341"/>
      <c r="AC1649" s="340"/>
      <c r="AD1649" s="75"/>
      <c r="AE1649" s="75"/>
      <c r="AF1649" s="75"/>
      <c r="AG1649" s="344"/>
      <c r="AH1649" s="344"/>
      <c r="AI1649" s="344"/>
      <c r="AJ1649" s="97"/>
      <c r="AK1649" s="4"/>
    </row>
    <row r="1650" spans="2:37" s="113" customFormat="1" x14ac:dyDescent="0.4">
      <c r="B1650" s="80"/>
      <c r="C1650" s="563">
        <v>1237</v>
      </c>
      <c r="D1650" s="907"/>
      <c r="E1650" s="906"/>
      <c r="F1650" s="921" t="str">
        <f t="shared" si="74"/>
        <v/>
      </c>
      <c r="G1650" s="882" t="str">
        <f t="shared" si="75"/>
        <v/>
      </c>
      <c r="H1650" s="925"/>
      <c r="I1650" s="919"/>
      <c r="J1650" s="919"/>
      <c r="K1650" s="919"/>
      <c r="L1650" s="919"/>
      <c r="O1650" s="339"/>
      <c r="T1650" s="75"/>
      <c r="U1650" s="75"/>
      <c r="V1650" s="75"/>
      <c r="W1650" s="75"/>
      <c r="X1650" s="75"/>
      <c r="Y1650" s="340"/>
      <c r="Z1650" s="341"/>
      <c r="AA1650" s="341"/>
      <c r="AB1650" s="341"/>
      <c r="AC1650" s="340"/>
      <c r="AD1650" s="75"/>
      <c r="AE1650" s="75"/>
      <c r="AF1650" s="75"/>
      <c r="AG1650" s="344"/>
      <c r="AH1650" s="344"/>
      <c r="AI1650" s="344"/>
      <c r="AJ1650" s="97"/>
      <c r="AK1650" s="4"/>
    </row>
    <row r="1651" spans="2:37" s="113" customFormat="1" x14ac:dyDescent="0.4">
      <c r="B1651" s="80"/>
      <c r="C1651" s="563">
        <v>1238</v>
      </c>
      <c r="D1651" s="907"/>
      <c r="E1651" s="906"/>
      <c r="F1651" s="921" t="str">
        <f t="shared" si="74"/>
        <v/>
      </c>
      <c r="G1651" s="882" t="str">
        <f t="shared" si="75"/>
        <v/>
      </c>
      <c r="H1651" s="925"/>
      <c r="I1651" s="919"/>
      <c r="J1651" s="919"/>
      <c r="K1651" s="919"/>
      <c r="L1651" s="919"/>
      <c r="O1651" s="339"/>
      <c r="T1651" s="75"/>
      <c r="U1651" s="75"/>
      <c r="V1651" s="75"/>
      <c r="W1651" s="75"/>
      <c r="X1651" s="75"/>
      <c r="Y1651" s="340"/>
      <c r="Z1651" s="341"/>
      <c r="AA1651" s="341"/>
      <c r="AB1651" s="341"/>
      <c r="AC1651" s="340"/>
      <c r="AD1651" s="75"/>
      <c r="AE1651" s="75"/>
      <c r="AF1651" s="75"/>
      <c r="AG1651" s="344"/>
      <c r="AH1651" s="344"/>
      <c r="AI1651" s="344"/>
      <c r="AJ1651" s="97"/>
      <c r="AK1651" s="4"/>
    </row>
    <row r="1652" spans="2:37" s="113" customFormat="1" x14ac:dyDescent="0.4">
      <c r="B1652" s="80"/>
      <c r="C1652" s="563">
        <v>1239</v>
      </c>
      <c r="D1652" s="907"/>
      <c r="E1652" s="906"/>
      <c r="F1652" s="921" t="str">
        <f t="shared" si="74"/>
        <v/>
      </c>
      <c r="G1652" s="882" t="str">
        <f t="shared" si="75"/>
        <v/>
      </c>
      <c r="H1652" s="925"/>
      <c r="I1652" s="919"/>
      <c r="J1652" s="919"/>
      <c r="K1652" s="919"/>
      <c r="L1652" s="919"/>
      <c r="O1652" s="339"/>
      <c r="T1652" s="75"/>
      <c r="U1652" s="75"/>
      <c r="V1652" s="75"/>
      <c r="W1652" s="75"/>
      <c r="X1652" s="75"/>
      <c r="Y1652" s="340"/>
      <c r="Z1652" s="341"/>
      <c r="AA1652" s="341"/>
      <c r="AB1652" s="341"/>
      <c r="AC1652" s="340"/>
      <c r="AD1652" s="75"/>
      <c r="AE1652" s="75"/>
      <c r="AF1652" s="75"/>
      <c r="AG1652" s="344"/>
      <c r="AH1652" s="344"/>
      <c r="AI1652" s="344"/>
      <c r="AJ1652" s="97"/>
      <c r="AK1652" s="4"/>
    </row>
    <row r="1653" spans="2:37" s="113" customFormat="1" x14ac:dyDescent="0.4">
      <c r="B1653" s="80"/>
      <c r="C1653" s="563">
        <v>1240</v>
      </c>
      <c r="D1653" s="907"/>
      <c r="E1653" s="906"/>
      <c r="F1653" s="921" t="str">
        <f t="shared" si="74"/>
        <v/>
      </c>
      <c r="G1653" s="882" t="str">
        <f t="shared" si="75"/>
        <v/>
      </c>
      <c r="H1653" s="925"/>
      <c r="I1653" s="919"/>
      <c r="J1653" s="919"/>
      <c r="K1653" s="919"/>
      <c r="L1653" s="919"/>
      <c r="O1653" s="339"/>
      <c r="T1653" s="75"/>
      <c r="U1653" s="75"/>
      <c r="V1653" s="75"/>
      <c r="W1653" s="75"/>
      <c r="X1653" s="75"/>
      <c r="Y1653" s="340"/>
      <c r="Z1653" s="341"/>
      <c r="AA1653" s="341"/>
      <c r="AB1653" s="341"/>
      <c r="AC1653" s="340"/>
      <c r="AD1653" s="75"/>
      <c r="AE1653" s="75"/>
      <c r="AF1653" s="75"/>
      <c r="AG1653" s="344"/>
      <c r="AH1653" s="344"/>
      <c r="AI1653" s="344"/>
      <c r="AJ1653" s="97"/>
      <c r="AK1653" s="4"/>
    </row>
    <row r="1654" spans="2:37" s="113" customFormat="1" x14ac:dyDescent="0.4">
      <c r="B1654" s="80"/>
      <c r="C1654" s="563">
        <v>1241</v>
      </c>
      <c r="D1654" s="907"/>
      <c r="E1654" s="906"/>
      <c r="F1654" s="921" t="str">
        <f t="shared" si="74"/>
        <v/>
      </c>
      <c r="G1654" s="882" t="str">
        <f t="shared" si="75"/>
        <v/>
      </c>
      <c r="H1654" s="925"/>
      <c r="I1654" s="919"/>
      <c r="J1654" s="919"/>
      <c r="K1654" s="919"/>
      <c r="L1654" s="919"/>
      <c r="O1654" s="339"/>
      <c r="T1654" s="75"/>
      <c r="U1654" s="75"/>
      <c r="V1654" s="75"/>
      <c r="W1654" s="75"/>
      <c r="X1654" s="75"/>
      <c r="Y1654" s="340"/>
      <c r="Z1654" s="341"/>
      <c r="AA1654" s="341"/>
      <c r="AB1654" s="341"/>
      <c r="AC1654" s="340"/>
      <c r="AD1654" s="75"/>
      <c r="AE1654" s="75"/>
      <c r="AF1654" s="75"/>
      <c r="AG1654" s="344"/>
      <c r="AH1654" s="344"/>
      <c r="AI1654" s="344"/>
      <c r="AJ1654" s="97"/>
      <c r="AK1654" s="4"/>
    </row>
    <row r="1655" spans="2:37" s="113" customFormat="1" x14ac:dyDescent="0.4">
      <c r="B1655" s="80"/>
      <c r="C1655" s="563">
        <v>1242</v>
      </c>
      <c r="D1655" s="907"/>
      <c r="E1655" s="906"/>
      <c r="F1655" s="921" t="str">
        <f t="shared" si="74"/>
        <v/>
      </c>
      <c r="G1655" s="882" t="str">
        <f t="shared" si="75"/>
        <v/>
      </c>
      <c r="H1655" s="925"/>
      <c r="I1655" s="919"/>
      <c r="J1655" s="919"/>
      <c r="K1655" s="919"/>
      <c r="L1655" s="919"/>
      <c r="O1655" s="339"/>
      <c r="T1655" s="75"/>
      <c r="U1655" s="75"/>
      <c r="V1655" s="75"/>
      <c r="W1655" s="75"/>
      <c r="X1655" s="75"/>
      <c r="Y1655" s="340"/>
      <c r="Z1655" s="341"/>
      <c r="AA1655" s="341"/>
      <c r="AB1655" s="341"/>
      <c r="AC1655" s="340"/>
      <c r="AD1655" s="75"/>
      <c r="AE1655" s="75"/>
      <c r="AF1655" s="75"/>
      <c r="AG1655" s="344"/>
      <c r="AH1655" s="344"/>
      <c r="AI1655" s="344"/>
      <c r="AJ1655" s="97"/>
      <c r="AK1655" s="4"/>
    </row>
    <row r="1656" spans="2:37" s="113" customFormat="1" x14ac:dyDescent="0.4">
      <c r="B1656" s="80"/>
      <c r="C1656" s="563">
        <v>1243</v>
      </c>
      <c r="D1656" s="907"/>
      <c r="E1656" s="906"/>
      <c r="F1656" s="921" t="str">
        <f t="shared" si="74"/>
        <v/>
      </c>
      <c r="G1656" s="882" t="str">
        <f t="shared" si="75"/>
        <v/>
      </c>
      <c r="H1656" s="925"/>
      <c r="I1656" s="919"/>
      <c r="J1656" s="919"/>
      <c r="K1656" s="919"/>
      <c r="L1656" s="919"/>
      <c r="O1656" s="339"/>
      <c r="T1656" s="75"/>
      <c r="U1656" s="75"/>
      <c r="V1656" s="75"/>
      <c r="W1656" s="75"/>
      <c r="X1656" s="75"/>
      <c r="Y1656" s="340"/>
      <c r="Z1656" s="341"/>
      <c r="AA1656" s="341"/>
      <c r="AB1656" s="341"/>
      <c r="AC1656" s="340"/>
      <c r="AD1656" s="75"/>
      <c r="AE1656" s="75"/>
      <c r="AF1656" s="75"/>
      <c r="AG1656" s="344"/>
      <c r="AH1656" s="344"/>
      <c r="AI1656" s="344"/>
      <c r="AJ1656" s="97"/>
      <c r="AK1656" s="4"/>
    </row>
    <row r="1657" spans="2:37" s="113" customFormat="1" x14ac:dyDescent="0.4">
      <c r="B1657" s="80"/>
      <c r="C1657" s="563">
        <v>1244</v>
      </c>
      <c r="D1657" s="907"/>
      <c r="E1657" s="906"/>
      <c r="F1657" s="921" t="str">
        <f t="shared" si="74"/>
        <v/>
      </c>
      <c r="G1657" s="882" t="str">
        <f t="shared" si="75"/>
        <v/>
      </c>
      <c r="H1657" s="925"/>
      <c r="I1657" s="919"/>
      <c r="J1657" s="919"/>
      <c r="K1657" s="919"/>
      <c r="L1657" s="919"/>
      <c r="O1657" s="339"/>
      <c r="T1657" s="75"/>
      <c r="U1657" s="75"/>
      <c r="V1657" s="75"/>
      <c r="W1657" s="75"/>
      <c r="X1657" s="75"/>
      <c r="Y1657" s="340"/>
      <c r="Z1657" s="341"/>
      <c r="AA1657" s="341"/>
      <c r="AB1657" s="341"/>
      <c r="AC1657" s="340"/>
      <c r="AD1657" s="75"/>
      <c r="AE1657" s="75"/>
      <c r="AF1657" s="75"/>
      <c r="AG1657" s="344"/>
      <c r="AH1657" s="344"/>
      <c r="AI1657" s="344"/>
      <c r="AJ1657" s="97"/>
      <c r="AK1657" s="4"/>
    </row>
    <row r="1658" spans="2:37" s="113" customFormat="1" x14ac:dyDescent="0.4">
      <c r="B1658" s="80"/>
      <c r="C1658" s="563">
        <v>1245</v>
      </c>
      <c r="D1658" s="907"/>
      <c r="E1658" s="906"/>
      <c r="F1658" s="921" t="str">
        <f t="shared" si="74"/>
        <v/>
      </c>
      <c r="G1658" s="882" t="str">
        <f t="shared" si="75"/>
        <v/>
      </c>
      <c r="H1658" s="925"/>
      <c r="I1658" s="919"/>
      <c r="J1658" s="919"/>
      <c r="K1658" s="919"/>
      <c r="L1658" s="919"/>
      <c r="O1658" s="339"/>
      <c r="T1658" s="75"/>
      <c r="U1658" s="75"/>
      <c r="V1658" s="75"/>
      <c r="W1658" s="75"/>
      <c r="X1658" s="75"/>
      <c r="Y1658" s="340"/>
      <c r="Z1658" s="341"/>
      <c r="AA1658" s="341"/>
      <c r="AB1658" s="341"/>
      <c r="AC1658" s="340"/>
      <c r="AD1658" s="75"/>
      <c r="AE1658" s="75"/>
      <c r="AF1658" s="75"/>
      <c r="AG1658" s="344"/>
      <c r="AH1658" s="344"/>
      <c r="AI1658" s="344"/>
      <c r="AJ1658" s="97"/>
      <c r="AK1658" s="4"/>
    </row>
    <row r="1659" spans="2:37" s="113" customFormat="1" x14ac:dyDescent="0.4">
      <c r="B1659" s="80"/>
      <c r="C1659" s="563">
        <v>1246</v>
      </c>
      <c r="D1659" s="907"/>
      <c r="E1659" s="906"/>
      <c r="F1659" s="921" t="str">
        <f t="shared" si="74"/>
        <v/>
      </c>
      <c r="G1659" s="882" t="str">
        <f t="shared" si="75"/>
        <v/>
      </c>
      <c r="H1659" s="925"/>
      <c r="I1659" s="919"/>
      <c r="J1659" s="919"/>
      <c r="K1659" s="919"/>
      <c r="L1659" s="919"/>
      <c r="O1659" s="339"/>
      <c r="T1659" s="75"/>
      <c r="U1659" s="75"/>
      <c r="V1659" s="75"/>
      <c r="W1659" s="75"/>
      <c r="X1659" s="75"/>
      <c r="Y1659" s="340"/>
      <c r="Z1659" s="341"/>
      <c r="AA1659" s="341"/>
      <c r="AB1659" s="341"/>
      <c r="AC1659" s="340"/>
      <c r="AD1659" s="75"/>
      <c r="AE1659" s="75"/>
      <c r="AF1659" s="75"/>
      <c r="AG1659" s="344"/>
      <c r="AH1659" s="344"/>
      <c r="AI1659" s="344"/>
      <c r="AJ1659" s="97"/>
      <c r="AK1659" s="4"/>
    </row>
    <row r="1660" spans="2:37" s="113" customFormat="1" x14ac:dyDescent="0.4">
      <c r="B1660" s="80"/>
      <c r="C1660" s="563">
        <v>1247</v>
      </c>
      <c r="D1660" s="907"/>
      <c r="E1660" s="906"/>
      <c r="F1660" s="921" t="str">
        <f t="shared" si="74"/>
        <v/>
      </c>
      <c r="G1660" s="882" t="str">
        <f t="shared" si="75"/>
        <v/>
      </c>
      <c r="H1660" s="925"/>
      <c r="I1660" s="919"/>
      <c r="J1660" s="919"/>
      <c r="K1660" s="919"/>
      <c r="L1660" s="919"/>
      <c r="O1660" s="339"/>
      <c r="T1660" s="75"/>
      <c r="U1660" s="75"/>
      <c r="V1660" s="75"/>
      <c r="W1660" s="75"/>
      <c r="X1660" s="75"/>
      <c r="Y1660" s="340"/>
      <c r="Z1660" s="341"/>
      <c r="AA1660" s="341"/>
      <c r="AB1660" s="341"/>
      <c r="AC1660" s="340"/>
      <c r="AD1660" s="75"/>
      <c r="AE1660" s="75"/>
      <c r="AF1660" s="75"/>
      <c r="AG1660" s="344"/>
      <c r="AH1660" s="344"/>
      <c r="AI1660" s="344"/>
      <c r="AJ1660" s="97"/>
      <c r="AK1660" s="4"/>
    </row>
    <row r="1661" spans="2:37" s="113" customFormat="1" x14ac:dyDescent="0.4">
      <c r="B1661" s="80"/>
      <c r="C1661" s="563">
        <v>1248</v>
      </c>
      <c r="D1661" s="907"/>
      <c r="E1661" s="906"/>
      <c r="F1661" s="921" t="str">
        <f t="shared" si="74"/>
        <v/>
      </c>
      <c r="G1661" s="882" t="str">
        <f t="shared" si="75"/>
        <v/>
      </c>
      <c r="H1661" s="925"/>
      <c r="I1661" s="919"/>
      <c r="J1661" s="919"/>
      <c r="K1661" s="919"/>
      <c r="L1661" s="919"/>
      <c r="O1661" s="339"/>
      <c r="T1661" s="75"/>
      <c r="U1661" s="75"/>
      <c r="V1661" s="75"/>
      <c r="W1661" s="75"/>
      <c r="X1661" s="75"/>
      <c r="Y1661" s="340"/>
      <c r="Z1661" s="341"/>
      <c r="AA1661" s="341"/>
      <c r="AB1661" s="341"/>
      <c r="AC1661" s="340"/>
      <c r="AD1661" s="75"/>
      <c r="AE1661" s="75"/>
      <c r="AF1661" s="75"/>
      <c r="AG1661" s="344"/>
      <c r="AH1661" s="344"/>
      <c r="AI1661" s="344"/>
      <c r="AJ1661" s="97"/>
      <c r="AK1661" s="4"/>
    </row>
    <row r="1662" spans="2:37" s="113" customFormat="1" x14ac:dyDescent="0.4">
      <c r="B1662" s="80"/>
      <c r="C1662" s="563">
        <v>1249</v>
      </c>
      <c r="D1662" s="907"/>
      <c r="E1662" s="906"/>
      <c r="F1662" s="921" t="str">
        <f t="shared" si="74"/>
        <v/>
      </c>
      <c r="G1662" s="882" t="str">
        <f t="shared" si="75"/>
        <v/>
      </c>
      <c r="H1662" s="925"/>
      <c r="I1662" s="919"/>
      <c r="J1662" s="919"/>
      <c r="K1662" s="919"/>
      <c r="L1662" s="919"/>
      <c r="O1662" s="339"/>
      <c r="T1662" s="75"/>
      <c r="U1662" s="75"/>
      <c r="V1662" s="75"/>
      <c r="W1662" s="75"/>
      <c r="X1662" s="75"/>
      <c r="Y1662" s="340"/>
      <c r="Z1662" s="341"/>
      <c r="AA1662" s="341"/>
      <c r="AB1662" s="341"/>
      <c r="AC1662" s="340"/>
      <c r="AD1662" s="75"/>
      <c r="AE1662" s="75"/>
      <c r="AF1662" s="75"/>
      <c r="AG1662" s="344"/>
      <c r="AH1662" s="344"/>
      <c r="AI1662" s="344"/>
      <c r="AJ1662" s="97"/>
      <c r="AK1662" s="4"/>
    </row>
    <row r="1663" spans="2:37" s="113" customFormat="1" x14ac:dyDescent="0.4">
      <c r="B1663" s="80"/>
      <c r="C1663" s="563">
        <v>1250</v>
      </c>
      <c r="D1663" s="907"/>
      <c r="E1663" s="906"/>
      <c r="F1663" s="921" t="str">
        <f t="shared" si="74"/>
        <v/>
      </c>
      <c r="G1663" s="882" t="str">
        <f t="shared" si="75"/>
        <v/>
      </c>
      <c r="H1663" s="925"/>
      <c r="I1663" s="919"/>
      <c r="J1663" s="919"/>
      <c r="K1663" s="919"/>
      <c r="L1663" s="919"/>
      <c r="O1663" s="339"/>
      <c r="T1663" s="75"/>
      <c r="U1663" s="75"/>
      <c r="V1663" s="75"/>
      <c r="W1663" s="75"/>
      <c r="X1663" s="75"/>
      <c r="Y1663" s="340"/>
      <c r="Z1663" s="341"/>
      <c r="AA1663" s="341"/>
      <c r="AB1663" s="341"/>
      <c r="AC1663" s="340"/>
      <c r="AD1663" s="75"/>
      <c r="AE1663" s="75"/>
      <c r="AF1663" s="75"/>
      <c r="AG1663" s="344"/>
      <c r="AH1663" s="344"/>
      <c r="AI1663" s="344"/>
      <c r="AJ1663" s="97"/>
      <c r="AK1663" s="4"/>
    </row>
    <row r="1664" spans="2:37" s="113" customFormat="1" x14ac:dyDescent="0.4">
      <c r="B1664" s="80"/>
      <c r="C1664" s="563">
        <v>1251</v>
      </c>
      <c r="D1664" s="907"/>
      <c r="E1664" s="906"/>
      <c r="F1664" s="921" t="str">
        <f t="shared" si="74"/>
        <v/>
      </c>
      <c r="G1664" s="882" t="str">
        <f t="shared" si="75"/>
        <v/>
      </c>
      <c r="H1664" s="925"/>
      <c r="I1664" s="919"/>
      <c r="J1664" s="919"/>
      <c r="K1664" s="919"/>
      <c r="L1664" s="919"/>
      <c r="O1664" s="339"/>
      <c r="T1664" s="75"/>
      <c r="U1664" s="75"/>
      <c r="V1664" s="75"/>
      <c r="W1664" s="75"/>
      <c r="X1664" s="75"/>
      <c r="Y1664" s="340"/>
      <c r="Z1664" s="341"/>
      <c r="AA1664" s="341"/>
      <c r="AB1664" s="341"/>
      <c r="AC1664" s="340"/>
      <c r="AD1664" s="75"/>
      <c r="AE1664" s="75"/>
      <c r="AF1664" s="75"/>
      <c r="AG1664" s="344"/>
      <c r="AH1664" s="344"/>
      <c r="AI1664" s="344"/>
      <c r="AJ1664" s="97"/>
      <c r="AK1664" s="4"/>
    </row>
    <row r="1665" spans="2:37" s="113" customFormat="1" x14ac:dyDescent="0.4">
      <c r="B1665" s="80"/>
      <c r="C1665" s="563">
        <v>1252</v>
      </c>
      <c r="D1665" s="907"/>
      <c r="E1665" s="906"/>
      <c r="F1665" s="921" t="str">
        <f t="shared" si="74"/>
        <v/>
      </c>
      <c r="G1665" s="882" t="str">
        <f t="shared" si="75"/>
        <v/>
      </c>
      <c r="H1665" s="925"/>
      <c r="I1665" s="919"/>
      <c r="J1665" s="919"/>
      <c r="K1665" s="919"/>
      <c r="L1665" s="919"/>
      <c r="O1665" s="339"/>
      <c r="T1665" s="75"/>
      <c r="U1665" s="75"/>
      <c r="V1665" s="75"/>
      <c r="W1665" s="75"/>
      <c r="X1665" s="75"/>
      <c r="Y1665" s="340"/>
      <c r="Z1665" s="341"/>
      <c r="AA1665" s="341"/>
      <c r="AB1665" s="341"/>
      <c r="AC1665" s="340"/>
      <c r="AD1665" s="75"/>
      <c r="AE1665" s="75"/>
      <c r="AF1665" s="75"/>
      <c r="AG1665" s="344"/>
      <c r="AH1665" s="344"/>
      <c r="AI1665" s="344"/>
      <c r="AJ1665" s="97"/>
      <c r="AK1665" s="4"/>
    </row>
    <row r="1666" spans="2:37" s="113" customFormat="1" x14ac:dyDescent="0.4">
      <c r="B1666" s="80"/>
      <c r="C1666" s="563">
        <v>1253</v>
      </c>
      <c r="D1666" s="907"/>
      <c r="E1666" s="906"/>
      <c r="F1666" s="921" t="str">
        <f t="shared" si="74"/>
        <v/>
      </c>
      <c r="G1666" s="882" t="str">
        <f t="shared" si="75"/>
        <v/>
      </c>
      <c r="H1666" s="925"/>
      <c r="I1666" s="919"/>
      <c r="J1666" s="919"/>
      <c r="K1666" s="919"/>
      <c r="L1666" s="919"/>
      <c r="O1666" s="339"/>
      <c r="T1666" s="75"/>
      <c r="U1666" s="75"/>
      <c r="V1666" s="75"/>
      <c r="W1666" s="75"/>
      <c r="X1666" s="75"/>
      <c r="Y1666" s="340"/>
      <c r="Z1666" s="341"/>
      <c r="AA1666" s="341"/>
      <c r="AB1666" s="341"/>
      <c r="AC1666" s="340"/>
      <c r="AD1666" s="75"/>
      <c r="AE1666" s="75"/>
      <c r="AF1666" s="75"/>
      <c r="AG1666" s="344"/>
      <c r="AH1666" s="344"/>
      <c r="AI1666" s="344"/>
      <c r="AJ1666" s="97"/>
      <c r="AK1666" s="4"/>
    </row>
    <row r="1667" spans="2:37" s="113" customFormat="1" x14ac:dyDescent="0.4">
      <c r="B1667" s="80"/>
      <c r="C1667" s="563">
        <v>1254</v>
      </c>
      <c r="D1667" s="907"/>
      <c r="E1667" s="906"/>
      <c r="F1667" s="921" t="str">
        <f t="shared" si="74"/>
        <v/>
      </c>
      <c r="G1667" s="882" t="str">
        <f t="shared" si="75"/>
        <v/>
      </c>
      <c r="H1667" s="925"/>
      <c r="I1667" s="919"/>
      <c r="J1667" s="919"/>
      <c r="K1667" s="919"/>
      <c r="L1667" s="919"/>
      <c r="O1667" s="339"/>
      <c r="T1667" s="75"/>
      <c r="U1667" s="75"/>
      <c r="V1667" s="75"/>
      <c r="W1667" s="75"/>
      <c r="X1667" s="75"/>
      <c r="Y1667" s="340"/>
      <c r="Z1667" s="341"/>
      <c r="AA1667" s="341"/>
      <c r="AB1667" s="341"/>
      <c r="AC1667" s="340"/>
      <c r="AD1667" s="75"/>
      <c r="AE1667" s="75"/>
      <c r="AF1667" s="75"/>
      <c r="AG1667" s="344"/>
      <c r="AH1667" s="344"/>
      <c r="AI1667" s="344"/>
      <c r="AJ1667" s="97"/>
      <c r="AK1667" s="4"/>
    </row>
    <row r="1668" spans="2:37" s="113" customFormat="1" x14ac:dyDescent="0.4">
      <c r="B1668" s="80"/>
      <c r="C1668" s="563">
        <v>1255</v>
      </c>
      <c r="D1668" s="907"/>
      <c r="E1668" s="906"/>
      <c r="F1668" s="921" t="str">
        <f t="shared" si="74"/>
        <v/>
      </c>
      <c r="G1668" s="882" t="str">
        <f t="shared" si="75"/>
        <v/>
      </c>
      <c r="H1668" s="925"/>
      <c r="I1668" s="919"/>
      <c r="J1668" s="919"/>
      <c r="K1668" s="919"/>
      <c r="L1668" s="919"/>
      <c r="O1668" s="339"/>
      <c r="T1668" s="75"/>
      <c r="U1668" s="75"/>
      <c r="V1668" s="75"/>
      <c r="W1668" s="75"/>
      <c r="X1668" s="75"/>
      <c r="Y1668" s="340"/>
      <c r="Z1668" s="341"/>
      <c r="AA1668" s="341"/>
      <c r="AB1668" s="341"/>
      <c r="AC1668" s="340"/>
      <c r="AD1668" s="75"/>
      <c r="AE1668" s="75"/>
      <c r="AF1668" s="75"/>
      <c r="AG1668" s="344"/>
      <c r="AH1668" s="344"/>
      <c r="AI1668" s="344"/>
      <c r="AJ1668" s="97"/>
      <c r="AK1668" s="4"/>
    </row>
    <row r="1669" spans="2:37" s="113" customFormat="1" x14ac:dyDescent="0.4">
      <c r="B1669" s="80"/>
      <c r="C1669" s="563">
        <v>1256</v>
      </c>
      <c r="D1669" s="907"/>
      <c r="E1669" s="906"/>
      <c r="F1669" s="921" t="str">
        <f t="shared" si="74"/>
        <v/>
      </c>
      <c r="G1669" s="882" t="str">
        <f t="shared" si="75"/>
        <v/>
      </c>
      <c r="H1669" s="925"/>
      <c r="I1669" s="919"/>
      <c r="J1669" s="919"/>
      <c r="K1669" s="919"/>
      <c r="L1669" s="919"/>
      <c r="O1669" s="339"/>
      <c r="T1669" s="75"/>
      <c r="U1669" s="75"/>
      <c r="V1669" s="75"/>
      <c r="W1669" s="75"/>
      <c r="X1669" s="75"/>
      <c r="Y1669" s="340"/>
      <c r="Z1669" s="341"/>
      <c r="AA1669" s="341"/>
      <c r="AB1669" s="341"/>
      <c r="AC1669" s="340"/>
      <c r="AD1669" s="75"/>
      <c r="AE1669" s="75"/>
      <c r="AF1669" s="75"/>
      <c r="AG1669" s="344"/>
      <c r="AH1669" s="344"/>
      <c r="AI1669" s="344"/>
      <c r="AJ1669" s="97"/>
      <c r="AK1669" s="4"/>
    </row>
    <row r="1670" spans="2:37" s="113" customFormat="1" x14ac:dyDescent="0.4">
      <c r="B1670" s="80"/>
      <c r="C1670" s="563">
        <v>1257</v>
      </c>
      <c r="D1670" s="907"/>
      <c r="E1670" s="906"/>
      <c r="F1670" s="921" t="str">
        <f t="shared" si="74"/>
        <v/>
      </c>
      <c r="G1670" s="882" t="str">
        <f t="shared" si="75"/>
        <v/>
      </c>
      <c r="H1670" s="925"/>
      <c r="I1670" s="919"/>
      <c r="J1670" s="919"/>
      <c r="K1670" s="919"/>
      <c r="L1670" s="919"/>
      <c r="O1670" s="339"/>
      <c r="T1670" s="75"/>
      <c r="U1670" s="75"/>
      <c r="V1670" s="75"/>
      <c r="W1670" s="75"/>
      <c r="X1670" s="75"/>
      <c r="Y1670" s="340"/>
      <c r="Z1670" s="341"/>
      <c r="AA1670" s="341"/>
      <c r="AB1670" s="341"/>
      <c r="AC1670" s="340"/>
      <c r="AD1670" s="75"/>
      <c r="AE1670" s="75"/>
      <c r="AF1670" s="75"/>
      <c r="AG1670" s="344"/>
      <c r="AH1670" s="344"/>
      <c r="AI1670" s="344"/>
      <c r="AJ1670" s="97"/>
      <c r="AK1670" s="4"/>
    </row>
    <row r="1671" spans="2:37" s="113" customFormat="1" x14ac:dyDescent="0.4">
      <c r="B1671" s="80"/>
      <c r="C1671" s="563">
        <v>1258</v>
      </c>
      <c r="D1671" s="907"/>
      <c r="E1671" s="906"/>
      <c r="F1671" s="921" t="str">
        <f t="shared" si="74"/>
        <v/>
      </c>
      <c r="G1671" s="882" t="str">
        <f t="shared" si="75"/>
        <v/>
      </c>
      <c r="H1671" s="925"/>
      <c r="I1671" s="919"/>
      <c r="J1671" s="919"/>
      <c r="K1671" s="919"/>
      <c r="L1671" s="919"/>
      <c r="O1671" s="339"/>
      <c r="T1671" s="75"/>
      <c r="U1671" s="75"/>
      <c r="V1671" s="75"/>
      <c r="W1671" s="75"/>
      <c r="X1671" s="75"/>
      <c r="Y1671" s="340"/>
      <c r="Z1671" s="341"/>
      <c r="AA1671" s="341"/>
      <c r="AB1671" s="341"/>
      <c r="AC1671" s="340"/>
      <c r="AD1671" s="75"/>
      <c r="AE1671" s="75"/>
      <c r="AF1671" s="75"/>
      <c r="AG1671" s="344"/>
      <c r="AH1671" s="344"/>
      <c r="AI1671" s="344"/>
      <c r="AJ1671" s="97"/>
      <c r="AK1671" s="4"/>
    </row>
    <row r="1672" spans="2:37" s="113" customFormat="1" x14ac:dyDescent="0.4">
      <c r="B1672" s="80"/>
      <c r="C1672" s="563">
        <v>1259</v>
      </c>
      <c r="D1672" s="907"/>
      <c r="E1672" s="906"/>
      <c r="F1672" s="921" t="str">
        <f t="shared" si="74"/>
        <v/>
      </c>
      <c r="G1672" s="882" t="str">
        <f t="shared" si="75"/>
        <v/>
      </c>
      <c r="H1672" s="925"/>
      <c r="I1672" s="919"/>
      <c r="J1672" s="919"/>
      <c r="K1672" s="919"/>
      <c r="L1672" s="919"/>
      <c r="O1672" s="339"/>
      <c r="T1672" s="75"/>
      <c r="U1672" s="75"/>
      <c r="V1672" s="75"/>
      <c r="W1672" s="75"/>
      <c r="X1672" s="75"/>
      <c r="Y1672" s="340"/>
      <c r="Z1672" s="341"/>
      <c r="AA1672" s="341"/>
      <c r="AB1672" s="341"/>
      <c r="AC1672" s="340"/>
      <c r="AD1672" s="75"/>
      <c r="AE1672" s="75"/>
      <c r="AF1672" s="75"/>
      <c r="AG1672" s="344"/>
      <c r="AH1672" s="344"/>
      <c r="AI1672" s="344"/>
      <c r="AJ1672" s="97"/>
      <c r="AK1672" s="4"/>
    </row>
    <row r="1673" spans="2:37" s="113" customFormat="1" x14ac:dyDescent="0.4">
      <c r="B1673" s="80"/>
      <c r="C1673" s="563">
        <v>1260</v>
      </c>
      <c r="D1673" s="907"/>
      <c r="E1673" s="906"/>
      <c r="F1673" s="921" t="str">
        <f t="shared" si="74"/>
        <v/>
      </c>
      <c r="G1673" s="882" t="str">
        <f t="shared" si="75"/>
        <v/>
      </c>
      <c r="H1673" s="925"/>
      <c r="I1673" s="919"/>
      <c r="J1673" s="919"/>
      <c r="K1673" s="919"/>
      <c r="L1673" s="919"/>
      <c r="O1673" s="339"/>
      <c r="T1673" s="75"/>
      <c r="U1673" s="75"/>
      <c r="V1673" s="75"/>
      <c r="W1673" s="75"/>
      <c r="X1673" s="75"/>
      <c r="Y1673" s="340"/>
      <c r="Z1673" s="341"/>
      <c r="AA1673" s="341"/>
      <c r="AB1673" s="341"/>
      <c r="AC1673" s="340"/>
      <c r="AD1673" s="75"/>
      <c r="AE1673" s="75"/>
      <c r="AF1673" s="75"/>
      <c r="AG1673" s="344"/>
      <c r="AH1673" s="344"/>
      <c r="AI1673" s="344"/>
      <c r="AJ1673" s="97"/>
      <c r="AK1673" s="4"/>
    </row>
    <row r="1674" spans="2:37" s="113" customFormat="1" x14ac:dyDescent="0.4">
      <c r="B1674" s="80"/>
      <c r="C1674" s="563">
        <v>1261</v>
      </c>
      <c r="D1674" s="907"/>
      <c r="E1674" s="906"/>
      <c r="F1674" s="921" t="str">
        <f t="shared" si="74"/>
        <v/>
      </c>
      <c r="G1674" s="882" t="str">
        <f t="shared" si="75"/>
        <v/>
      </c>
      <c r="H1674" s="925"/>
      <c r="I1674" s="919"/>
      <c r="J1674" s="919"/>
      <c r="K1674" s="919"/>
      <c r="L1674" s="919"/>
      <c r="O1674" s="339"/>
      <c r="T1674" s="75"/>
      <c r="U1674" s="75"/>
      <c r="V1674" s="75"/>
      <c r="W1674" s="75"/>
      <c r="X1674" s="75"/>
      <c r="Y1674" s="340"/>
      <c r="Z1674" s="341"/>
      <c r="AA1674" s="341"/>
      <c r="AB1674" s="341"/>
      <c r="AC1674" s="340"/>
      <c r="AD1674" s="75"/>
      <c r="AE1674" s="75"/>
      <c r="AF1674" s="75"/>
      <c r="AG1674" s="344"/>
      <c r="AH1674" s="344"/>
      <c r="AI1674" s="344"/>
      <c r="AJ1674" s="97"/>
      <c r="AK1674" s="4"/>
    </row>
    <row r="1675" spans="2:37" s="113" customFormat="1" x14ac:dyDescent="0.4">
      <c r="B1675" s="80"/>
      <c r="C1675" s="563">
        <v>1262</v>
      </c>
      <c r="D1675" s="907"/>
      <c r="E1675" s="906"/>
      <c r="F1675" s="921" t="str">
        <f t="shared" si="74"/>
        <v/>
      </c>
      <c r="G1675" s="882" t="str">
        <f t="shared" si="75"/>
        <v/>
      </c>
      <c r="H1675" s="925"/>
      <c r="I1675" s="919"/>
      <c r="J1675" s="919"/>
      <c r="K1675" s="919"/>
      <c r="L1675" s="919"/>
      <c r="O1675" s="339"/>
      <c r="T1675" s="75"/>
      <c r="U1675" s="75"/>
      <c r="V1675" s="75"/>
      <c r="W1675" s="75"/>
      <c r="X1675" s="75"/>
      <c r="Y1675" s="340"/>
      <c r="Z1675" s="341"/>
      <c r="AA1675" s="341"/>
      <c r="AB1675" s="341"/>
      <c r="AC1675" s="340"/>
      <c r="AD1675" s="75"/>
      <c r="AE1675" s="75"/>
      <c r="AF1675" s="75"/>
      <c r="AG1675" s="344"/>
      <c r="AH1675" s="344"/>
      <c r="AI1675" s="344"/>
      <c r="AJ1675" s="97"/>
      <c r="AK1675" s="4"/>
    </row>
    <row r="1676" spans="2:37" s="113" customFormat="1" x14ac:dyDescent="0.4">
      <c r="B1676" s="80"/>
      <c r="C1676" s="563">
        <v>1263</v>
      </c>
      <c r="D1676" s="907"/>
      <c r="E1676" s="906"/>
      <c r="F1676" s="921" t="str">
        <f t="shared" si="74"/>
        <v/>
      </c>
      <c r="G1676" s="882" t="str">
        <f t="shared" si="75"/>
        <v/>
      </c>
      <c r="H1676" s="925"/>
      <c r="I1676" s="919"/>
      <c r="J1676" s="919"/>
      <c r="K1676" s="919"/>
      <c r="L1676" s="919"/>
      <c r="O1676" s="339"/>
      <c r="T1676" s="75"/>
      <c r="U1676" s="75"/>
      <c r="V1676" s="75"/>
      <c r="W1676" s="75"/>
      <c r="X1676" s="75"/>
      <c r="Y1676" s="340"/>
      <c r="Z1676" s="341"/>
      <c r="AA1676" s="341"/>
      <c r="AB1676" s="341"/>
      <c r="AC1676" s="340"/>
      <c r="AD1676" s="75"/>
      <c r="AE1676" s="75"/>
      <c r="AF1676" s="75"/>
      <c r="AG1676" s="344"/>
      <c r="AH1676" s="344"/>
      <c r="AI1676" s="344"/>
      <c r="AJ1676" s="97"/>
      <c r="AK1676" s="4"/>
    </row>
    <row r="1677" spans="2:37" s="113" customFormat="1" x14ac:dyDescent="0.4">
      <c r="B1677" s="80"/>
      <c r="C1677" s="563">
        <v>1264</v>
      </c>
      <c r="D1677" s="907"/>
      <c r="E1677" s="906"/>
      <c r="F1677" s="921" t="str">
        <f t="shared" si="74"/>
        <v/>
      </c>
      <c r="G1677" s="882" t="str">
        <f t="shared" si="75"/>
        <v/>
      </c>
      <c r="H1677" s="925"/>
      <c r="I1677" s="919"/>
      <c r="J1677" s="919"/>
      <c r="K1677" s="919"/>
      <c r="L1677" s="919"/>
      <c r="O1677" s="339"/>
      <c r="T1677" s="75"/>
      <c r="U1677" s="75"/>
      <c r="V1677" s="75"/>
      <c r="W1677" s="75"/>
      <c r="X1677" s="75"/>
      <c r="Y1677" s="340"/>
      <c r="Z1677" s="341"/>
      <c r="AA1677" s="341"/>
      <c r="AB1677" s="341"/>
      <c r="AC1677" s="340"/>
      <c r="AD1677" s="75"/>
      <c r="AE1677" s="75"/>
      <c r="AF1677" s="75"/>
      <c r="AG1677" s="344"/>
      <c r="AH1677" s="344"/>
      <c r="AI1677" s="344"/>
      <c r="AJ1677" s="97"/>
      <c r="AK1677" s="4"/>
    </row>
    <row r="1678" spans="2:37" s="113" customFormat="1" x14ac:dyDescent="0.4">
      <c r="B1678" s="80"/>
      <c r="C1678" s="563">
        <v>1265</v>
      </c>
      <c r="D1678" s="907"/>
      <c r="E1678" s="906"/>
      <c r="F1678" s="921" t="str">
        <f t="shared" si="74"/>
        <v/>
      </c>
      <c r="G1678" s="882" t="str">
        <f t="shared" si="75"/>
        <v/>
      </c>
      <c r="H1678" s="925"/>
      <c r="I1678" s="919"/>
      <c r="J1678" s="919"/>
      <c r="K1678" s="919"/>
      <c r="L1678" s="919"/>
      <c r="O1678" s="339"/>
      <c r="T1678" s="75"/>
      <c r="U1678" s="75"/>
      <c r="V1678" s="75"/>
      <c r="W1678" s="75"/>
      <c r="X1678" s="75"/>
      <c r="Y1678" s="340"/>
      <c r="Z1678" s="341"/>
      <c r="AA1678" s="341"/>
      <c r="AB1678" s="341"/>
      <c r="AC1678" s="340"/>
      <c r="AD1678" s="75"/>
      <c r="AE1678" s="75"/>
      <c r="AF1678" s="75"/>
      <c r="AG1678" s="344"/>
      <c r="AH1678" s="344"/>
      <c r="AI1678" s="344"/>
      <c r="AJ1678" s="97"/>
      <c r="AK1678" s="4"/>
    </row>
    <row r="1679" spans="2:37" s="113" customFormat="1" x14ac:dyDescent="0.4">
      <c r="B1679" s="80"/>
      <c r="C1679" s="563">
        <v>1266</v>
      </c>
      <c r="D1679" s="907"/>
      <c r="E1679" s="906"/>
      <c r="F1679" s="921" t="str">
        <f t="shared" si="74"/>
        <v/>
      </c>
      <c r="G1679" s="882" t="str">
        <f t="shared" si="75"/>
        <v/>
      </c>
      <c r="H1679" s="925"/>
      <c r="I1679" s="919"/>
      <c r="J1679" s="919"/>
      <c r="K1679" s="919"/>
      <c r="L1679" s="919"/>
      <c r="O1679" s="339"/>
      <c r="T1679" s="75"/>
      <c r="U1679" s="75"/>
      <c r="V1679" s="75"/>
      <c r="W1679" s="75"/>
      <c r="X1679" s="75"/>
      <c r="Y1679" s="340"/>
      <c r="Z1679" s="341"/>
      <c r="AA1679" s="341"/>
      <c r="AB1679" s="341"/>
      <c r="AC1679" s="340"/>
      <c r="AD1679" s="75"/>
      <c r="AE1679" s="75"/>
      <c r="AF1679" s="75"/>
      <c r="AG1679" s="344"/>
      <c r="AH1679" s="344"/>
      <c r="AI1679" s="344"/>
      <c r="AJ1679" s="97"/>
      <c r="AK1679" s="4"/>
    </row>
    <row r="1680" spans="2:37" s="113" customFormat="1" x14ac:dyDescent="0.4">
      <c r="B1680" s="80"/>
      <c r="C1680" s="563">
        <v>1267</v>
      </c>
      <c r="D1680" s="907"/>
      <c r="E1680" s="906"/>
      <c r="F1680" s="921" t="str">
        <f t="shared" si="74"/>
        <v/>
      </c>
      <c r="G1680" s="882" t="str">
        <f t="shared" si="75"/>
        <v/>
      </c>
      <c r="H1680" s="925"/>
      <c r="I1680" s="919"/>
      <c r="J1680" s="919"/>
      <c r="K1680" s="919"/>
      <c r="L1680" s="919"/>
      <c r="O1680" s="339"/>
      <c r="T1680" s="75"/>
      <c r="U1680" s="75"/>
      <c r="V1680" s="75"/>
      <c r="W1680" s="75"/>
      <c r="X1680" s="75"/>
      <c r="Y1680" s="340"/>
      <c r="Z1680" s="341"/>
      <c r="AA1680" s="341"/>
      <c r="AB1680" s="341"/>
      <c r="AC1680" s="340"/>
      <c r="AD1680" s="75"/>
      <c r="AE1680" s="75"/>
      <c r="AF1680" s="75"/>
      <c r="AG1680" s="344"/>
      <c r="AH1680" s="344"/>
      <c r="AI1680" s="344"/>
      <c r="AJ1680" s="97"/>
      <c r="AK1680" s="4"/>
    </row>
    <row r="1681" spans="2:37" s="113" customFormat="1" x14ac:dyDescent="0.4">
      <c r="B1681" s="80"/>
      <c r="C1681" s="563">
        <v>1268</v>
      </c>
      <c r="D1681" s="907"/>
      <c r="E1681" s="906"/>
      <c r="F1681" s="921" t="str">
        <f t="shared" si="74"/>
        <v/>
      </c>
      <c r="G1681" s="882" t="str">
        <f t="shared" si="75"/>
        <v/>
      </c>
      <c r="H1681" s="925"/>
      <c r="I1681" s="919"/>
      <c r="J1681" s="919"/>
      <c r="K1681" s="919"/>
      <c r="L1681" s="919"/>
      <c r="O1681" s="339"/>
      <c r="T1681" s="75"/>
      <c r="U1681" s="75"/>
      <c r="V1681" s="75"/>
      <c r="W1681" s="75"/>
      <c r="X1681" s="75"/>
      <c r="Y1681" s="340"/>
      <c r="Z1681" s="341"/>
      <c r="AA1681" s="341"/>
      <c r="AB1681" s="341"/>
      <c r="AC1681" s="340"/>
      <c r="AD1681" s="75"/>
      <c r="AE1681" s="75"/>
      <c r="AF1681" s="75"/>
      <c r="AG1681" s="344"/>
      <c r="AH1681" s="344"/>
      <c r="AI1681" s="344"/>
      <c r="AJ1681" s="97"/>
      <c r="AK1681" s="4"/>
    </row>
    <row r="1682" spans="2:37" s="113" customFormat="1" x14ac:dyDescent="0.4">
      <c r="B1682" s="80"/>
      <c r="C1682" s="563">
        <v>1269</v>
      </c>
      <c r="D1682" s="907"/>
      <c r="E1682" s="906"/>
      <c r="F1682" s="921" t="str">
        <f t="shared" si="74"/>
        <v/>
      </c>
      <c r="G1682" s="882" t="str">
        <f t="shared" si="75"/>
        <v/>
      </c>
      <c r="H1682" s="925"/>
      <c r="I1682" s="919"/>
      <c r="J1682" s="919"/>
      <c r="K1682" s="919"/>
      <c r="L1682" s="919"/>
      <c r="O1682" s="339"/>
      <c r="T1682" s="75"/>
      <c r="U1682" s="75"/>
      <c r="V1682" s="75"/>
      <c r="W1682" s="75"/>
      <c r="X1682" s="75"/>
      <c r="Y1682" s="340"/>
      <c r="Z1682" s="341"/>
      <c r="AA1682" s="341"/>
      <c r="AB1682" s="341"/>
      <c r="AC1682" s="340"/>
      <c r="AD1682" s="75"/>
      <c r="AE1682" s="75"/>
      <c r="AF1682" s="75"/>
      <c r="AG1682" s="344"/>
      <c r="AH1682" s="344"/>
      <c r="AI1682" s="344"/>
      <c r="AJ1682" s="97"/>
      <c r="AK1682" s="4"/>
    </row>
    <row r="1683" spans="2:37" s="113" customFormat="1" x14ac:dyDescent="0.4">
      <c r="B1683" s="80"/>
      <c r="C1683" s="563">
        <v>1270</v>
      </c>
      <c r="D1683" s="907"/>
      <c r="E1683" s="906"/>
      <c r="F1683" s="921" t="str">
        <f t="shared" si="74"/>
        <v/>
      </c>
      <c r="G1683" s="882" t="str">
        <f t="shared" si="75"/>
        <v/>
      </c>
      <c r="H1683" s="925"/>
      <c r="I1683" s="919"/>
      <c r="J1683" s="919"/>
      <c r="K1683" s="919"/>
      <c r="L1683" s="919"/>
      <c r="O1683" s="339"/>
      <c r="T1683" s="75"/>
      <c r="U1683" s="75"/>
      <c r="V1683" s="75"/>
      <c r="W1683" s="75"/>
      <c r="X1683" s="75"/>
      <c r="Y1683" s="340"/>
      <c r="Z1683" s="341"/>
      <c r="AA1683" s="341"/>
      <c r="AB1683" s="341"/>
      <c r="AC1683" s="340"/>
      <c r="AD1683" s="75"/>
      <c r="AE1683" s="75"/>
      <c r="AF1683" s="75"/>
      <c r="AG1683" s="344"/>
      <c r="AH1683" s="344"/>
      <c r="AI1683" s="344"/>
      <c r="AJ1683" s="97"/>
      <c r="AK1683" s="4"/>
    </row>
    <row r="1684" spans="2:37" s="113" customFormat="1" x14ac:dyDescent="0.4">
      <c r="B1684" s="80"/>
      <c r="C1684" s="563">
        <v>1271</v>
      </c>
      <c r="D1684" s="907"/>
      <c r="E1684" s="906"/>
      <c r="F1684" s="921" t="str">
        <f t="shared" si="74"/>
        <v/>
      </c>
      <c r="G1684" s="882" t="str">
        <f t="shared" si="75"/>
        <v/>
      </c>
      <c r="H1684" s="925"/>
      <c r="I1684" s="919"/>
      <c r="J1684" s="919"/>
      <c r="K1684" s="919"/>
      <c r="L1684" s="919"/>
      <c r="O1684" s="339"/>
      <c r="T1684" s="75"/>
      <c r="U1684" s="75"/>
      <c r="V1684" s="75"/>
      <c r="W1684" s="75"/>
      <c r="X1684" s="75"/>
      <c r="Y1684" s="340"/>
      <c r="Z1684" s="341"/>
      <c r="AA1684" s="341"/>
      <c r="AB1684" s="341"/>
      <c r="AC1684" s="340"/>
      <c r="AD1684" s="75"/>
      <c r="AE1684" s="75"/>
      <c r="AF1684" s="75"/>
      <c r="AG1684" s="344"/>
      <c r="AH1684" s="344"/>
      <c r="AI1684" s="344"/>
      <c r="AJ1684" s="97"/>
      <c r="AK1684" s="4"/>
    </row>
    <row r="1685" spans="2:37" s="113" customFormat="1" x14ac:dyDescent="0.4">
      <c r="B1685" s="80"/>
      <c r="C1685" s="563">
        <v>1272</v>
      </c>
      <c r="D1685" s="907"/>
      <c r="E1685" s="906"/>
      <c r="F1685" s="921" t="str">
        <f t="shared" si="74"/>
        <v/>
      </c>
      <c r="G1685" s="882" t="str">
        <f t="shared" si="75"/>
        <v/>
      </c>
      <c r="H1685" s="925"/>
      <c r="I1685" s="919"/>
      <c r="J1685" s="919"/>
      <c r="K1685" s="919"/>
      <c r="L1685" s="919"/>
      <c r="O1685" s="339"/>
      <c r="T1685" s="75"/>
      <c r="U1685" s="75"/>
      <c r="V1685" s="75"/>
      <c r="W1685" s="75"/>
      <c r="X1685" s="75"/>
      <c r="Y1685" s="340"/>
      <c r="Z1685" s="341"/>
      <c r="AA1685" s="341"/>
      <c r="AB1685" s="341"/>
      <c r="AC1685" s="340"/>
      <c r="AD1685" s="75"/>
      <c r="AE1685" s="75"/>
      <c r="AF1685" s="75"/>
      <c r="AG1685" s="344"/>
      <c r="AH1685" s="344"/>
      <c r="AI1685" s="344"/>
      <c r="AJ1685" s="97"/>
      <c r="AK1685" s="4"/>
    </row>
    <row r="1686" spans="2:37" s="113" customFormat="1" x14ac:dyDescent="0.4">
      <c r="B1686" s="80"/>
      <c r="C1686" s="563">
        <v>1273</v>
      </c>
      <c r="D1686" s="907"/>
      <c r="E1686" s="906"/>
      <c r="F1686" s="921" t="str">
        <f t="shared" si="74"/>
        <v/>
      </c>
      <c r="G1686" s="882" t="str">
        <f t="shared" si="75"/>
        <v/>
      </c>
      <c r="H1686" s="925"/>
      <c r="I1686" s="919"/>
      <c r="J1686" s="919"/>
      <c r="K1686" s="919"/>
      <c r="L1686" s="919"/>
      <c r="O1686" s="339"/>
      <c r="T1686" s="75"/>
      <c r="U1686" s="75"/>
      <c r="V1686" s="75"/>
      <c r="W1686" s="75"/>
      <c r="X1686" s="75"/>
      <c r="Y1686" s="340"/>
      <c r="Z1686" s="341"/>
      <c r="AA1686" s="341"/>
      <c r="AB1686" s="341"/>
      <c r="AC1686" s="340"/>
      <c r="AD1686" s="75"/>
      <c r="AE1686" s="75"/>
      <c r="AF1686" s="75"/>
      <c r="AG1686" s="344"/>
      <c r="AH1686" s="344"/>
      <c r="AI1686" s="344"/>
      <c r="AJ1686" s="97"/>
      <c r="AK1686" s="4"/>
    </row>
    <row r="1687" spans="2:37" s="113" customFormat="1" x14ac:dyDescent="0.4">
      <c r="B1687" s="80"/>
      <c r="C1687" s="563">
        <v>1274</v>
      </c>
      <c r="D1687" s="907"/>
      <c r="E1687" s="906"/>
      <c r="F1687" s="921" t="str">
        <f t="shared" si="74"/>
        <v/>
      </c>
      <c r="G1687" s="882" t="str">
        <f t="shared" si="75"/>
        <v/>
      </c>
      <c r="H1687" s="925"/>
      <c r="I1687" s="919"/>
      <c r="J1687" s="919"/>
      <c r="K1687" s="919"/>
      <c r="L1687" s="919"/>
      <c r="O1687" s="339"/>
      <c r="T1687" s="75"/>
      <c r="U1687" s="75"/>
      <c r="V1687" s="75"/>
      <c r="W1687" s="75"/>
      <c r="X1687" s="75"/>
      <c r="Y1687" s="340"/>
      <c r="Z1687" s="341"/>
      <c r="AA1687" s="341"/>
      <c r="AB1687" s="341"/>
      <c r="AC1687" s="340"/>
      <c r="AD1687" s="75"/>
      <c r="AE1687" s="75"/>
      <c r="AF1687" s="75"/>
      <c r="AG1687" s="344"/>
      <c r="AH1687" s="344"/>
      <c r="AI1687" s="344"/>
      <c r="AJ1687" s="97"/>
      <c r="AK1687" s="4"/>
    </row>
    <row r="1688" spans="2:37" s="113" customFormat="1" x14ac:dyDescent="0.4">
      <c r="B1688" s="80"/>
      <c r="C1688" s="563">
        <v>1275</v>
      </c>
      <c r="D1688" s="907"/>
      <c r="E1688" s="906"/>
      <c r="F1688" s="921" t="str">
        <f t="shared" si="74"/>
        <v/>
      </c>
      <c r="G1688" s="882" t="str">
        <f t="shared" si="75"/>
        <v/>
      </c>
      <c r="H1688" s="925"/>
      <c r="I1688" s="919"/>
      <c r="J1688" s="919"/>
      <c r="K1688" s="919"/>
      <c r="L1688" s="919"/>
      <c r="O1688" s="339"/>
      <c r="T1688" s="75"/>
      <c r="U1688" s="75"/>
      <c r="V1688" s="75"/>
      <c r="W1688" s="75"/>
      <c r="X1688" s="75"/>
      <c r="Y1688" s="340"/>
      <c r="Z1688" s="341"/>
      <c r="AA1688" s="341"/>
      <c r="AB1688" s="341"/>
      <c r="AC1688" s="340"/>
      <c r="AD1688" s="75"/>
      <c r="AE1688" s="75"/>
      <c r="AF1688" s="75"/>
      <c r="AG1688" s="344"/>
      <c r="AH1688" s="344"/>
      <c r="AI1688" s="344"/>
      <c r="AJ1688" s="97"/>
      <c r="AK1688" s="4"/>
    </row>
    <row r="1689" spans="2:37" s="113" customFormat="1" x14ac:dyDescent="0.4">
      <c r="B1689" s="80"/>
      <c r="C1689" s="563">
        <v>1276</v>
      </c>
      <c r="D1689" s="907"/>
      <c r="E1689" s="906"/>
      <c r="F1689" s="921" t="str">
        <f t="shared" si="74"/>
        <v/>
      </c>
      <c r="G1689" s="882" t="str">
        <f t="shared" si="75"/>
        <v/>
      </c>
      <c r="H1689" s="925"/>
      <c r="I1689" s="919"/>
      <c r="J1689" s="919"/>
      <c r="K1689" s="919"/>
      <c r="L1689" s="919"/>
      <c r="O1689" s="339"/>
      <c r="T1689" s="75"/>
      <c r="U1689" s="75"/>
      <c r="V1689" s="75"/>
      <c r="W1689" s="75"/>
      <c r="X1689" s="75"/>
      <c r="Y1689" s="340"/>
      <c r="Z1689" s="341"/>
      <c r="AA1689" s="341"/>
      <c r="AB1689" s="341"/>
      <c r="AC1689" s="340"/>
      <c r="AD1689" s="75"/>
      <c r="AE1689" s="75"/>
      <c r="AF1689" s="75"/>
      <c r="AG1689" s="344"/>
      <c r="AH1689" s="344"/>
      <c r="AI1689" s="344"/>
      <c r="AJ1689" s="97"/>
      <c r="AK1689" s="4"/>
    </row>
    <row r="1690" spans="2:37" s="113" customFormat="1" x14ac:dyDescent="0.4">
      <c r="B1690" s="80"/>
      <c r="C1690" s="563">
        <v>1277</v>
      </c>
      <c r="D1690" s="907"/>
      <c r="E1690" s="906"/>
      <c r="F1690" s="921" t="str">
        <f t="shared" si="74"/>
        <v/>
      </c>
      <c r="G1690" s="882" t="str">
        <f t="shared" si="75"/>
        <v/>
      </c>
      <c r="H1690" s="925"/>
      <c r="I1690" s="919"/>
      <c r="J1690" s="919"/>
      <c r="K1690" s="919"/>
      <c r="L1690" s="919"/>
      <c r="O1690" s="339"/>
      <c r="T1690" s="75"/>
      <c r="U1690" s="75"/>
      <c r="V1690" s="75"/>
      <c r="W1690" s="75"/>
      <c r="X1690" s="75"/>
      <c r="Y1690" s="340"/>
      <c r="Z1690" s="341"/>
      <c r="AA1690" s="341"/>
      <c r="AB1690" s="341"/>
      <c r="AC1690" s="340"/>
      <c r="AD1690" s="75"/>
      <c r="AE1690" s="75"/>
      <c r="AF1690" s="75"/>
      <c r="AG1690" s="344"/>
      <c r="AH1690" s="344"/>
      <c r="AI1690" s="344"/>
      <c r="AJ1690" s="97"/>
      <c r="AK1690" s="4"/>
    </row>
    <row r="1691" spans="2:37" s="113" customFormat="1" x14ac:dyDescent="0.4">
      <c r="B1691" s="80"/>
      <c r="C1691" s="563">
        <v>1278</v>
      </c>
      <c r="D1691" s="907"/>
      <c r="E1691" s="906"/>
      <c r="F1691" s="921" t="str">
        <f t="shared" si="74"/>
        <v/>
      </c>
      <c r="G1691" s="882" t="str">
        <f t="shared" si="75"/>
        <v/>
      </c>
      <c r="H1691" s="925"/>
      <c r="I1691" s="919"/>
      <c r="J1691" s="919"/>
      <c r="K1691" s="919"/>
      <c r="L1691" s="919"/>
      <c r="O1691" s="339"/>
      <c r="T1691" s="75"/>
      <c r="U1691" s="75"/>
      <c r="V1691" s="75"/>
      <c r="W1691" s="75"/>
      <c r="X1691" s="75"/>
      <c r="Y1691" s="340"/>
      <c r="Z1691" s="341"/>
      <c r="AA1691" s="341"/>
      <c r="AB1691" s="341"/>
      <c r="AC1691" s="340"/>
      <c r="AD1691" s="75"/>
      <c r="AE1691" s="75"/>
      <c r="AF1691" s="75"/>
      <c r="AG1691" s="344"/>
      <c r="AH1691" s="344"/>
      <c r="AI1691" s="344"/>
      <c r="AJ1691" s="97"/>
      <c r="AK1691" s="4"/>
    </row>
    <row r="1692" spans="2:37" s="113" customFormat="1" x14ac:dyDescent="0.4">
      <c r="B1692" s="80"/>
      <c r="C1692" s="563">
        <v>1279</v>
      </c>
      <c r="D1692" s="907"/>
      <c r="E1692" s="906"/>
      <c r="F1692" s="921" t="str">
        <f t="shared" si="74"/>
        <v/>
      </c>
      <c r="G1692" s="882" t="str">
        <f t="shared" si="75"/>
        <v/>
      </c>
      <c r="H1692" s="925"/>
      <c r="I1692" s="919"/>
      <c r="J1692" s="919"/>
      <c r="K1692" s="919"/>
      <c r="L1692" s="919"/>
      <c r="O1692" s="339"/>
      <c r="T1692" s="75"/>
      <c r="U1692" s="75"/>
      <c r="V1692" s="75"/>
      <c r="W1692" s="75"/>
      <c r="X1692" s="75"/>
      <c r="Y1692" s="340"/>
      <c r="Z1692" s="341"/>
      <c r="AA1692" s="341"/>
      <c r="AB1692" s="341"/>
      <c r="AC1692" s="340"/>
      <c r="AD1692" s="75"/>
      <c r="AE1692" s="75"/>
      <c r="AF1692" s="75"/>
      <c r="AG1692" s="344"/>
      <c r="AH1692" s="344"/>
      <c r="AI1692" s="344"/>
      <c r="AJ1692" s="97"/>
      <c r="AK1692" s="4"/>
    </row>
    <row r="1693" spans="2:37" s="113" customFormat="1" x14ac:dyDescent="0.4">
      <c r="B1693" s="80"/>
      <c r="C1693" s="563">
        <v>1280</v>
      </c>
      <c r="D1693" s="907"/>
      <c r="E1693" s="906"/>
      <c r="F1693" s="921" t="str">
        <f t="shared" si="74"/>
        <v/>
      </c>
      <c r="G1693" s="882" t="str">
        <f t="shared" si="75"/>
        <v/>
      </c>
      <c r="H1693" s="925"/>
      <c r="I1693" s="919"/>
      <c r="J1693" s="919"/>
      <c r="K1693" s="919"/>
      <c r="L1693" s="919"/>
      <c r="O1693" s="339"/>
      <c r="T1693" s="75"/>
      <c r="U1693" s="75"/>
      <c r="V1693" s="75"/>
      <c r="W1693" s="75"/>
      <c r="X1693" s="75"/>
      <c r="Y1693" s="340"/>
      <c r="Z1693" s="341"/>
      <c r="AA1693" s="341"/>
      <c r="AB1693" s="341"/>
      <c r="AC1693" s="340"/>
      <c r="AD1693" s="75"/>
      <c r="AE1693" s="75"/>
      <c r="AF1693" s="75"/>
      <c r="AG1693" s="344"/>
      <c r="AH1693" s="344"/>
      <c r="AI1693" s="344"/>
      <c r="AJ1693" s="97"/>
      <c r="AK1693" s="4"/>
    </row>
    <row r="1694" spans="2:37" s="113" customFormat="1" x14ac:dyDescent="0.4">
      <c r="B1694" s="80"/>
      <c r="C1694" s="563">
        <v>1281</v>
      </c>
      <c r="D1694" s="907"/>
      <c r="E1694" s="906"/>
      <c r="F1694" s="921" t="str">
        <f t="shared" ref="F1694:F1757" si="76">IF($D$30="","",IF(OR(
AND(C1694&gt;=0,C1694&lt;=$D$32),
AND(C1694&gt;=$E$30,C1694&lt;=$E$32),
AND(C1694&gt;=$F$30,C1694&lt;=$F$32),
AND(C1694&gt;=$G$30,C1694&lt;=$G$32),
AND(C1694&gt;=$H$30,C1694&lt;=$H$32),
AND(C1694&gt;=$I$30,C1694&lt;=$I$32),
AND(C1694&gt;=$J$30,C1694&lt;=$J$32),
AND(C1694&gt;=$K$30,C1694&lt;=$K$32),
AND(C1694&gt;=$L$30,C1694&lt;=$L$32),
AND(C1694&gt;=$M$30,C1694&lt;=$M$32,$M$32&lt;&gt;""),
AND(C1694&gt;=$N$30,C1694&lt;=$N$32,$N$32&lt;&gt;""),
AND(C1694&gt;=$O$30,C1694&lt;=$O$32,$O$32&lt;&gt;""),
AND(C1694&gt;=$P$30,C1694&lt;=$P$32,$P$32&lt;&gt;""),
AND(C1694&gt;=$Q$30,C1694&lt;=$Q$32,$Q$32&lt;&gt;"")
),"ON","OFF"))</f>
        <v/>
      </c>
      <c r="G1694" s="882" t="str">
        <f t="shared" si="75"/>
        <v/>
      </c>
      <c r="H1694" s="925"/>
      <c r="I1694" s="919"/>
      <c r="J1694" s="919"/>
      <c r="K1694" s="919"/>
      <c r="L1694" s="919"/>
      <c r="O1694" s="339"/>
      <c r="T1694" s="75"/>
      <c r="U1694" s="75"/>
      <c r="V1694" s="75"/>
      <c r="W1694" s="75"/>
      <c r="X1694" s="75"/>
      <c r="Y1694" s="340"/>
      <c r="Z1694" s="341"/>
      <c r="AA1694" s="341"/>
      <c r="AB1694" s="341"/>
      <c r="AC1694" s="340"/>
      <c r="AD1694" s="75"/>
      <c r="AE1694" s="75"/>
      <c r="AF1694" s="75"/>
      <c r="AG1694" s="344"/>
      <c r="AH1694" s="344"/>
      <c r="AI1694" s="344"/>
      <c r="AJ1694" s="97"/>
      <c r="AK1694" s="4"/>
    </row>
    <row r="1695" spans="2:37" s="113" customFormat="1" x14ac:dyDescent="0.4">
      <c r="B1695" s="80"/>
      <c r="C1695" s="563">
        <v>1282</v>
      </c>
      <c r="D1695" s="907"/>
      <c r="E1695" s="906"/>
      <c r="F1695" s="921" t="str">
        <f t="shared" si="76"/>
        <v/>
      </c>
      <c r="G1695" s="882" t="str">
        <f t="shared" ref="G1695:G1758" si="77">IF(OR($D$47="",$D$48=""),"",IF(OR(
AND(C1695&gt;=$D$47,C1695&lt;=$D$48),
AND(C1695&gt;=$E$47,C1695&lt;=$E$48),
AND(C1695&gt;=$F$47,C1695&lt;=$F$48),
AND(C1695&gt;=$G$47,C1695&lt;=$G$48),
AND(C1695&gt;=$H$47,C1695&lt;=$H$48),
AND(C1695&gt;=$I$47,C1695&lt;=$I$48),
AND(C1695&gt;=$J$47,C1695&lt;=$J$48),
AND(C1695&gt;=$K$47,C1695&lt;=$K$48),
AND(C1695&gt;=$L$47,C1695&lt;=$L$48),
AND(C1695&gt;=$M$47,C1695&lt;=$M$48),
AND(C1695&gt;=$N$47,C1695&lt;=$N$48),
AND(C1695&gt;=$O$47,C1695&lt;=$O$48),
AND(C1695&gt;=$P$47,C1695&lt;=$P$48),
AND(C1695&gt;=$Q$47,C1695&lt;=$Q$48),
AND(C1695&gt;=$R$47,C1695&lt;=$R$48),
AND(C1695&gt;=$S$47,C1695&lt;=$S$48),
AND(C1695&gt;=$T$47,C1695&lt;=$T$48),
AND(C1695&gt;=$U$47,C1695&lt;=$U$48),
AND(C1695&gt;=$V$47,C1695&lt;=$V$48),
AND(C1695&gt;=$W$47,C1695&lt;=$W$48),
AND(C1695&gt;=$X$47,C1695&lt;=$X$48),
AND(C1695&gt;=$Y$47,C1695&lt;=$Y$48),
AND(C1695&gt;=$Z$47,C1695&lt;=$Z$48),
AND(C1695&gt;=$AA$47,C1695&lt;=$AA$48),
AND(C1695&gt;=$AB$47,C1695&lt;=$AB$48),
AND(C1695&gt;=$AC$47,C1695&lt;=$AC$48),
AND(C1695&gt;=$AD$47,C1695&lt;=$AD$48),
AND(C1695&gt;=$AE$47,C1695&lt;=$AE$48),
AND(C1695&gt;=$AF$47,C1695&lt;=$AF$48),
AND(C1695&gt;=$AG$47,C1695&lt;=$AG$48)
),"ON","OFF"))</f>
        <v/>
      </c>
      <c r="H1695" s="925"/>
      <c r="I1695" s="919"/>
      <c r="J1695" s="919"/>
      <c r="K1695" s="919"/>
      <c r="L1695" s="919"/>
      <c r="O1695" s="339"/>
      <c r="T1695" s="75"/>
      <c r="U1695" s="75"/>
      <c r="V1695" s="75"/>
      <c r="W1695" s="75"/>
      <c r="X1695" s="75"/>
      <c r="Y1695" s="340"/>
      <c r="Z1695" s="341"/>
      <c r="AA1695" s="341"/>
      <c r="AB1695" s="341"/>
      <c r="AC1695" s="340"/>
      <c r="AD1695" s="75"/>
      <c r="AE1695" s="75"/>
      <c r="AF1695" s="75"/>
      <c r="AG1695" s="344"/>
      <c r="AH1695" s="344"/>
      <c r="AI1695" s="344"/>
      <c r="AJ1695" s="97"/>
      <c r="AK1695" s="4"/>
    </row>
    <row r="1696" spans="2:37" s="113" customFormat="1" x14ac:dyDescent="0.4">
      <c r="B1696" s="80"/>
      <c r="C1696" s="563">
        <v>1283</v>
      </c>
      <c r="D1696" s="907"/>
      <c r="E1696" s="906"/>
      <c r="F1696" s="921" t="str">
        <f t="shared" si="76"/>
        <v/>
      </c>
      <c r="G1696" s="882" t="str">
        <f t="shared" si="77"/>
        <v/>
      </c>
      <c r="H1696" s="925"/>
      <c r="I1696" s="919"/>
      <c r="J1696" s="919"/>
      <c r="K1696" s="919"/>
      <c r="L1696" s="919"/>
      <c r="O1696" s="339"/>
      <c r="T1696" s="75"/>
      <c r="U1696" s="75"/>
      <c r="V1696" s="75"/>
      <c r="W1696" s="75"/>
      <c r="X1696" s="75"/>
      <c r="Y1696" s="340"/>
      <c r="Z1696" s="341"/>
      <c r="AA1696" s="341"/>
      <c r="AB1696" s="341"/>
      <c r="AC1696" s="340"/>
      <c r="AD1696" s="75"/>
      <c r="AE1696" s="75"/>
      <c r="AF1696" s="75"/>
      <c r="AG1696" s="344"/>
      <c r="AH1696" s="344"/>
      <c r="AI1696" s="344"/>
      <c r="AJ1696" s="97"/>
      <c r="AK1696" s="4"/>
    </row>
    <row r="1697" spans="2:37" s="113" customFormat="1" x14ac:dyDescent="0.4">
      <c r="B1697" s="80"/>
      <c r="C1697" s="563">
        <v>1284</v>
      </c>
      <c r="D1697" s="907"/>
      <c r="E1697" s="906"/>
      <c r="F1697" s="921" t="str">
        <f t="shared" si="76"/>
        <v/>
      </c>
      <c r="G1697" s="882" t="str">
        <f t="shared" si="77"/>
        <v/>
      </c>
      <c r="H1697" s="925"/>
      <c r="I1697" s="919"/>
      <c r="J1697" s="919"/>
      <c r="K1697" s="919"/>
      <c r="L1697" s="919"/>
      <c r="O1697" s="339"/>
      <c r="T1697" s="75"/>
      <c r="U1697" s="75"/>
      <c r="V1697" s="75"/>
      <c r="W1697" s="75"/>
      <c r="X1697" s="75"/>
      <c r="Y1697" s="340"/>
      <c r="Z1697" s="341"/>
      <c r="AA1697" s="341"/>
      <c r="AB1697" s="341"/>
      <c r="AC1697" s="340"/>
      <c r="AD1697" s="75"/>
      <c r="AE1697" s="75"/>
      <c r="AF1697" s="75"/>
      <c r="AG1697" s="344"/>
      <c r="AH1697" s="344"/>
      <c r="AI1697" s="344"/>
      <c r="AJ1697" s="97"/>
      <c r="AK1697" s="4"/>
    </row>
    <row r="1698" spans="2:37" s="113" customFormat="1" x14ac:dyDescent="0.4">
      <c r="B1698" s="80"/>
      <c r="C1698" s="563">
        <v>1285</v>
      </c>
      <c r="D1698" s="907"/>
      <c r="E1698" s="906"/>
      <c r="F1698" s="921" t="str">
        <f t="shared" si="76"/>
        <v/>
      </c>
      <c r="G1698" s="882" t="str">
        <f t="shared" si="77"/>
        <v/>
      </c>
      <c r="H1698" s="925"/>
      <c r="I1698" s="919"/>
      <c r="J1698" s="919"/>
      <c r="K1698" s="919"/>
      <c r="L1698" s="919"/>
      <c r="O1698" s="339"/>
      <c r="T1698" s="75"/>
      <c r="U1698" s="75"/>
      <c r="V1698" s="75"/>
      <c r="W1698" s="75"/>
      <c r="X1698" s="75"/>
      <c r="Y1698" s="340"/>
      <c r="Z1698" s="341"/>
      <c r="AA1698" s="341"/>
      <c r="AB1698" s="341"/>
      <c r="AC1698" s="340"/>
      <c r="AD1698" s="75"/>
      <c r="AE1698" s="75"/>
      <c r="AF1698" s="75"/>
      <c r="AG1698" s="344"/>
      <c r="AH1698" s="344"/>
      <c r="AI1698" s="344"/>
      <c r="AJ1698" s="97"/>
      <c r="AK1698" s="4"/>
    </row>
    <row r="1699" spans="2:37" s="113" customFormat="1" x14ac:dyDescent="0.4">
      <c r="B1699" s="80"/>
      <c r="C1699" s="563">
        <v>1286</v>
      </c>
      <c r="D1699" s="907"/>
      <c r="E1699" s="906"/>
      <c r="F1699" s="921" t="str">
        <f t="shared" si="76"/>
        <v/>
      </c>
      <c r="G1699" s="882" t="str">
        <f t="shared" si="77"/>
        <v/>
      </c>
      <c r="H1699" s="925"/>
      <c r="I1699" s="919"/>
      <c r="J1699" s="919"/>
      <c r="K1699" s="919"/>
      <c r="L1699" s="919"/>
      <c r="O1699" s="339"/>
      <c r="T1699" s="75"/>
      <c r="U1699" s="75"/>
      <c r="V1699" s="75"/>
      <c r="W1699" s="75"/>
      <c r="X1699" s="75"/>
      <c r="Y1699" s="340"/>
      <c r="Z1699" s="341"/>
      <c r="AA1699" s="341"/>
      <c r="AB1699" s="341"/>
      <c r="AC1699" s="340"/>
      <c r="AD1699" s="75"/>
      <c r="AE1699" s="75"/>
      <c r="AF1699" s="75"/>
      <c r="AG1699" s="344"/>
      <c r="AH1699" s="344"/>
      <c r="AI1699" s="344"/>
      <c r="AJ1699" s="97"/>
      <c r="AK1699" s="4"/>
    </row>
    <row r="1700" spans="2:37" s="113" customFormat="1" x14ac:dyDescent="0.4">
      <c r="B1700" s="80"/>
      <c r="C1700" s="563">
        <v>1287</v>
      </c>
      <c r="D1700" s="907"/>
      <c r="E1700" s="906"/>
      <c r="F1700" s="921" t="str">
        <f t="shared" si="76"/>
        <v/>
      </c>
      <c r="G1700" s="882" t="str">
        <f t="shared" si="77"/>
        <v/>
      </c>
      <c r="H1700" s="925"/>
      <c r="I1700" s="919"/>
      <c r="J1700" s="919"/>
      <c r="K1700" s="919"/>
      <c r="L1700" s="919"/>
      <c r="O1700" s="339"/>
      <c r="T1700" s="75"/>
      <c r="U1700" s="75"/>
      <c r="V1700" s="75"/>
      <c r="W1700" s="75"/>
      <c r="X1700" s="75"/>
      <c r="Y1700" s="340"/>
      <c r="Z1700" s="341"/>
      <c r="AA1700" s="341"/>
      <c r="AB1700" s="341"/>
      <c r="AC1700" s="340"/>
      <c r="AD1700" s="75"/>
      <c r="AE1700" s="75"/>
      <c r="AF1700" s="75"/>
      <c r="AG1700" s="344"/>
      <c r="AH1700" s="344"/>
      <c r="AI1700" s="344"/>
      <c r="AJ1700" s="97"/>
      <c r="AK1700" s="4"/>
    </row>
    <row r="1701" spans="2:37" s="113" customFormat="1" x14ac:dyDescent="0.4">
      <c r="B1701" s="80"/>
      <c r="C1701" s="563">
        <v>1288</v>
      </c>
      <c r="D1701" s="907"/>
      <c r="E1701" s="906"/>
      <c r="F1701" s="921" t="str">
        <f t="shared" si="76"/>
        <v/>
      </c>
      <c r="G1701" s="882" t="str">
        <f t="shared" si="77"/>
        <v/>
      </c>
      <c r="H1701" s="925"/>
      <c r="I1701" s="919"/>
      <c r="J1701" s="919"/>
      <c r="K1701" s="919"/>
      <c r="L1701" s="919"/>
      <c r="O1701" s="339"/>
      <c r="T1701" s="75"/>
      <c r="U1701" s="75"/>
      <c r="V1701" s="75"/>
      <c r="W1701" s="75"/>
      <c r="X1701" s="75"/>
      <c r="Y1701" s="340"/>
      <c r="Z1701" s="341"/>
      <c r="AA1701" s="341"/>
      <c r="AB1701" s="341"/>
      <c r="AC1701" s="340"/>
      <c r="AD1701" s="75"/>
      <c r="AE1701" s="75"/>
      <c r="AF1701" s="75"/>
      <c r="AG1701" s="344"/>
      <c r="AH1701" s="344"/>
      <c r="AI1701" s="344"/>
      <c r="AJ1701" s="97"/>
      <c r="AK1701" s="4"/>
    </row>
    <row r="1702" spans="2:37" s="113" customFormat="1" x14ac:dyDescent="0.4">
      <c r="B1702" s="80"/>
      <c r="C1702" s="563">
        <v>1289</v>
      </c>
      <c r="D1702" s="907"/>
      <c r="E1702" s="906"/>
      <c r="F1702" s="921" t="str">
        <f t="shared" si="76"/>
        <v/>
      </c>
      <c r="G1702" s="882" t="str">
        <f t="shared" si="77"/>
        <v/>
      </c>
      <c r="H1702" s="925"/>
      <c r="I1702" s="919"/>
      <c r="J1702" s="919"/>
      <c r="K1702" s="919"/>
      <c r="L1702" s="919"/>
      <c r="O1702" s="339"/>
      <c r="T1702" s="75"/>
      <c r="U1702" s="75"/>
      <c r="V1702" s="75"/>
      <c r="W1702" s="75"/>
      <c r="X1702" s="75"/>
      <c r="Y1702" s="340"/>
      <c r="Z1702" s="341"/>
      <c r="AA1702" s="341"/>
      <c r="AB1702" s="341"/>
      <c r="AC1702" s="340"/>
      <c r="AD1702" s="75"/>
      <c r="AE1702" s="75"/>
      <c r="AF1702" s="75"/>
      <c r="AG1702" s="344"/>
      <c r="AH1702" s="344"/>
      <c r="AI1702" s="344"/>
      <c r="AJ1702" s="97"/>
      <c r="AK1702" s="4"/>
    </row>
    <row r="1703" spans="2:37" s="113" customFormat="1" x14ac:dyDescent="0.4">
      <c r="B1703" s="80"/>
      <c r="C1703" s="563">
        <v>1290</v>
      </c>
      <c r="D1703" s="907"/>
      <c r="E1703" s="906"/>
      <c r="F1703" s="921" t="str">
        <f t="shared" si="76"/>
        <v/>
      </c>
      <c r="G1703" s="882" t="str">
        <f t="shared" si="77"/>
        <v/>
      </c>
      <c r="H1703" s="925"/>
      <c r="I1703" s="919"/>
      <c r="J1703" s="919"/>
      <c r="K1703" s="919"/>
      <c r="L1703" s="919"/>
      <c r="O1703" s="339"/>
      <c r="T1703" s="75"/>
      <c r="U1703" s="75"/>
      <c r="V1703" s="75"/>
      <c r="W1703" s="75"/>
      <c r="X1703" s="75"/>
      <c r="Y1703" s="340"/>
      <c r="Z1703" s="341"/>
      <c r="AA1703" s="341"/>
      <c r="AB1703" s="341"/>
      <c r="AC1703" s="340"/>
      <c r="AD1703" s="75"/>
      <c r="AE1703" s="75"/>
      <c r="AF1703" s="75"/>
      <c r="AG1703" s="344"/>
      <c r="AH1703" s="344"/>
      <c r="AI1703" s="344"/>
      <c r="AJ1703" s="97"/>
      <c r="AK1703" s="4"/>
    </row>
    <row r="1704" spans="2:37" s="113" customFormat="1" x14ac:dyDescent="0.4">
      <c r="B1704" s="80"/>
      <c r="C1704" s="563">
        <v>1291</v>
      </c>
      <c r="D1704" s="907"/>
      <c r="E1704" s="906"/>
      <c r="F1704" s="921" t="str">
        <f t="shared" si="76"/>
        <v/>
      </c>
      <c r="G1704" s="882" t="str">
        <f t="shared" si="77"/>
        <v/>
      </c>
      <c r="H1704" s="925"/>
      <c r="I1704" s="919"/>
      <c r="J1704" s="919"/>
      <c r="K1704" s="919"/>
      <c r="L1704" s="919"/>
      <c r="O1704" s="339"/>
      <c r="T1704" s="75"/>
      <c r="U1704" s="75"/>
      <c r="V1704" s="75"/>
      <c r="W1704" s="75"/>
      <c r="X1704" s="75"/>
      <c r="Y1704" s="340"/>
      <c r="Z1704" s="341"/>
      <c r="AA1704" s="341"/>
      <c r="AB1704" s="341"/>
      <c r="AC1704" s="340"/>
      <c r="AD1704" s="75"/>
      <c r="AE1704" s="75"/>
      <c r="AF1704" s="75"/>
      <c r="AG1704" s="344"/>
      <c r="AH1704" s="344"/>
      <c r="AI1704" s="344"/>
      <c r="AJ1704" s="97"/>
      <c r="AK1704" s="4"/>
    </row>
    <row r="1705" spans="2:37" s="113" customFormat="1" x14ac:dyDescent="0.4">
      <c r="B1705" s="80"/>
      <c r="C1705" s="563">
        <v>1292</v>
      </c>
      <c r="D1705" s="907"/>
      <c r="E1705" s="906"/>
      <c r="F1705" s="921" t="str">
        <f t="shared" si="76"/>
        <v/>
      </c>
      <c r="G1705" s="882" t="str">
        <f t="shared" si="77"/>
        <v/>
      </c>
      <c r="H1705" s="925"/>
      <c r="I1705" s="919"/>
      <c r="J1705" s="919"/>
      <c r="K1705" s="919"/>
      <c r="L1705" s="919"/>
      <c r="O1705" s="339"/>
      <c r="T1705" s="75"/>
      <c r="U1705" s="75"/>
      <c r="V1705" s="75"/>
      <c r="W1705" s="75"/>
      <c r="X1705" s="75"/>
      <c r="Y1705" s="340"/>
      <c r="Z1705" s="341"/>
      <c r="AA1705" s="341"/>
      <c r="AB1705" s="341"/>
      <c r="AC1705" s="340"/>
      <c r="AD1705" s="75"/>
      <c r="AE1705" s="75"/>
      <c r="AF1705" s="75"/>
      <c r="AG1705" s="344"/>
      <c r="AH1705" s="344"/>
      <c r="AI1705" s="344"/>
      <c r="AJ1705" s="97"/>
      <c r="AK1705" s="4"/>
    </row>
    <row r="1706" spans="2:37" s="113" customFormat="1" x14ac:dyDescent="0.4">
      <c r="B1706" s="80"/>
      <c r="C1706" s="563">
        <v>1293</v>
      </c>
      <c r="D1706" s="907"/>
      <c r="E1706" s="906"/>
      <c r="F1706" s="921" t="str">
        <f t="shared" si="76"/>
        <v/>
      </c>
      <c r="G1706" s="882" t="str">
        <f t="shared" si="77"/>
        <v/>
      </c>
      <c r="H1706" s="925"/>
      <c r="I1706" s="919"/>
      <c r="J1706" s="919"/>
      <c r="K1706" s="919"/>
      <c r="L1706" s="919"/>
      <c r="O1706" s="339"/>
      <c r="T1706" s="75"/>
      <c r="U1706" s="75"/>
      <c r="V1706" s="75"/>
      <c r="W1706" s="75"/>
      <c r="X1706" s="75"/>
      <c r="Y1706" s="340"/>
      <c r="Z1706" s="341"/>
      <c r="AA1706" s="341"/>
      <c r="AB1706" s="341"/>
      <c r="AC1706" s="340"/>
      <c r="AD1706" s="75"/>
      <c r="AE1706" s="75"/>
      <c r="AF1706" s="75"/>
      <c r="AG1706" s="344"/>
      <c r="AH1706" s="344"/>
      <c r="AI1706" s="344"/>
      <c r="AJ1706" s="97"/>
      <c r="AK1706" s="4"/>
    </row>
    <row r="1707" spans="2:37" s="113" customFormat="1" x14ac:dyDescent="0.4">
      <c r="B1707" s="80"/>
      <c r="C1707" s="563">
        <v>1294</v>
      </c>
      <c r="D1707" s="907"/>
      <c r="E1707" s="906"/>
      <c r="F1707" s="921" t="str">
        <f t="shared" si="76"/>
        <v/>
      </c>
      <c r="G1707" s="882" t="str">
        <f t="shared" si="77"/>
        <v/>
      </c>
      <c r="H1707" s="925"/>
      <c r="I1707" s="919"/>
      <c r="J1707" s="919"/>
      <c r="K1707" s="919"/>
      <c r="L1707" s="919"/>
      <c r="O1707" s="339"/>
      <c r="T1707" s="75"/>
      <c r="U1707" s="75"/>
      <c r="V1707" s="75"/>
      <c r="W1707" s="75"/>
      <c r="X1707" s="75"/>
      <c r="Y1707" s="340"/>
      <c r="Z1707" s="341"/>
      <c r="AA1707" s="341"/>
      <c r="AB1707" s="341"/>
      <c r="AC1707" s="340"/>
      <c r="AD1707" s="75"/>
      <c r="AE1707" s="75"/>
      <c r="AF1707" s="75"/>
      <c r="AG1707" s="344"/>
      <c r="AH1707" s="344"/>
      <c r="AI1707" s="344"/>
      <c r="AJ1707" s="97"/>
      <c r="AK1707" s="4"/>
    </row>
    <row r="1708" spans="2:37" s="113" customFormat="1" x14ac:dyDescent="0.4">
      <c r="B1708" s="80"/>
      <c r="C1708" s="563">
        <v>1295</v>
      </c>
      <c r="D1708" s="907"/>
      <c r="E1708" s="906"/>
      <c r="F1708" s="921" t="str">
        <f t="shared" si="76"/>
        <v/>
      </c>
      <c r="G1708" s="882" t="str">
        <f t="shared" si="77"/>
        <v/>
      </c>
      <c r="H1708" s="925"/>
      <c r="I1708" s="919"/>
      <c r="J1708" s="919"/>
      <c r="K1708" s="919"/>
      <c r="L1708" s="919"/>
      <c r="O1708" s="339"/>
      <c r="T1708" s="75"/>
      <c r="U1708" s="75"/>
      <c r="V1708" s="75"/>
      <c r="W1708" s="75"/>
      <c r="X1708" s="75"/>
      <c r="Y1708" s="340"/>
      <c r="Z1708" s="341"/>
      <c r="AA1708" s="341"/>
      <c r="AB1708" s="341"/>
      <c r="AC1708" s="340"/>
      <c r="AD1708" s="75"/>
      <c r="AE1708" s="75"/>
      <c r="AF1708" s="75"/>
      <c r="AG1708" s="344"/>
      <c r="AH1708" s="344"/>
      <c r="AI1708" s="344"/>
      <c r="AJ1708" s="97"/>
      <c r="AK1708" s="4"/>
    </row>
    <row r="1709" spans="2:37" s="113" customFormat="1" x14ac:dyDescent="0.4">
      <c r="B1709" s="80"/>
      <c r="C1709" s="563">
        <v>1296</v>
      </c>
      <c r="D1709" s="907"/>
      <c r="E1709" s="906"/>
      <c r="F1709" s="921" t="str">
        <f t="shared" si="76"/>
        <v/>
      </c>
      <c r="G1709" s="882" t="str">
        <f t="shared" si="77"/>
        <v/>
      </c>
      <c r="H1709" s="925"/>
      <c r="I1709" s="919"/>
      <c r="J1709" s="919"/>
      <c r="K1709" s="919"/>
      <c r="L1709" s="919"/>
      <c r="O1709" s="339"/>
      <c r="T1709" s="75"/>
      <c r="U1709" s="75"/>
      <c r="V1709" s="75"/>
      <c r="W1709" s="75"/>
      <c r="X1709" s="75"/>
      <c r="Y1709" s="340"/>
      <c r="Z1709" s="341"/>
      <c r="AA1709" s="341"/>
      <c r="AB1709" s="341"/>
      <c r="AC1709" s="340"/>
      <c r="AD1709" s="75"/>
      <c r="AE1709" s="75"/>
      <c r="AF1709" s="75"/>
      <c r="AG1709" s="344"/>
      <c r="AH1709" s="344"/>
      <c r="AI1709" s="344"/>
      <c r="AJ1709" s="97"/>
      <c r="AK1709" s="4"/>
    </row>
    <row r="1710" spans="2:37" s="113" customFormat="1" x14ac:dyDescent="0.4">
      <c r="B1710" s="80"/>
      <c r="C1710" s="563">
        <v>1297</v>
      </c>
      <c r="D1710" s="907"/>
      <c r="E1710" s="906"/>
      <c r="F1710" s="921" t="str">
        <f t="shared" si="76"/>
        <v/>
      </c>
      <c r="G1710" s="882" t="str">
        <f t="shared" si="77"/>
        <v/>
      </c>
      <c r="H1710" s="925"/>
      <c r="I1710" s="919"/>
      <c r="J1710" s="919"/>
      <c r="K1710" s="919"/>
      <c r="L1710" s="919"/>
      <c r="O1710" s="339"/>
      <c r="T1710" s="75"/>
      <c r="U1710" s="75"/>
      <c r="V1710" s="75"/>
      <c r="W1710" s="75"/>
      <c r="X1710" s="75"/>
      <c r="Y1710" s="340"/>
      <c r="Z1710" s="341"/>
      <c r="AA1710" s="341"/>
      <c r="AB1710" s="341"/>
      <c r="AC1710" s="340"/>
      <c r="AD1710" s="75"/>
      <c r="AE1710" s="75"/>
      <c r="AF1710" s="75"/>
      <c r="AG1710" s="344"/>
      <c r="AH1710" s="344"/>
      <c r="AI1710" s="344"/>
      <c r="AJ1710" s="97"/>
      <c r="AK1710" s="4"/>
    </row>
    <row r="1711" spans="2:37" s="113" customFormat="1" x14ac:dyDescent="0.4">
      <c r="B1711" s="80"/>
      <c r="C1711" s="563">
        <v>1298</v>
      </c>
      <c r="D1711" s="907"/>
      <c r="E1711" s="906"/>
      <c r="F1711" s="921" t="str">
        <f t="shared" si="76"/>
        <v/>
      </c>
      <c r="G1711" s="882" t="str">
        <f t="shared" si="77"/>
        <v/>
      </c>
      <c r="H1711" s="925"/>
      <c r="I1711" s="919"/>
      <c r="J1711" s="919"/>
      <c r="K1711" s="919"/>
      <c r="L1711" s="919"/>
      <c r="O1711" s="339"/>
      <c r="T1711" s="75"/>
      <c r="U1711" s="75"/>
      <c r="V1711" s="75"/>
      <c r="W1711" s="75"/>
      <c r="X1711" s="75"/>
      <c r="Y1711" s="340"/>
      <c r="Z1711" s="341"/>
      <c r="AA1711" s="341"/>
      <c r="AB1711" s="341"/>
      <c r="AC1711" s="340"/>
      <c r="AD1711" s="75"/>
      <c r="AE1711" s="75"/>
      <c r="AF1711" s="75"/>
      <c r="AG1711" s="344"/>
      <c r="AH1711" s="344"/>
      <c r="AI1711" s="344"/>
      <c r="AJ1711" s="97"/>
      <c r="AK1711" s="4"/>
    </row>
    <row r="1712" spans="2:37" s="113" customFormat="1" x14ac:dyDescent="0.4">
      <c r="B1712" s="80"/>
      <c r="C1712" s="563">
        <v>1299</v>
      </c>
      <c r="D1712" s="907"/>
      <c r="E1712" s="906"/>
      <c r="F1712" s="921" t="str">
        <f t="shared" si="76"/>
        <v/>
      </c>
      <c r="G1712" s="882" t="str">
        <f t="shared" si="77"/>
        <v/>
      </c>
      <c r="H1712" s="925"/>
      <c r="I1712" s="919"/>
      <c r="J1712" s="919"/>
      <c r="K1712" s="919"/>
      <c r="L1712" s="919"/>
      <c r="O1712" s="339"/>
      <c r="T1712" s="75"/>
      <c r="U1712" s="75"/>
      <c r="V1712" s="75"/>
      <c r="W1712" s="75"/>
      <c r="X1712" s="75"/>
      <c r="Y1712" s="340"/>
      <c r="Z1712" s="341"/>
      <c r="AA1712" s="341"/>
      <c r="AB1712" s="341"/>
      <c r="AC1712" s="340"/>
      <c r="AD1712" s="75"/>
      <c r="AE1712" s="75"/>
      <c r="AF1712" s="75"/>
      <c r="AG1712" s="344"/>
      <c r="AH1712" s="344"/>
      <c r="AI1712" s="344"/>
      <c r="AJ1712" s="97"/>
      <c r="AK1712" s="4"/>
    </row>
    <row r="1713" spans="2:37" s="113" customFormat="1" x14ac:dyDescent="0.4">
      <c r="B1713" s="80"/>
      <c r="C1713" s="563">
        <v>1300</v>
      </c>
      <c r="D1713" s="907"/>
      <c r="E1713" s="906"/>
      <c r="F1713" s="921" t="str">
        <f t="shared" si="76"/>
        <v/>
      </c>
      <c r="G1713" s="882" t="str">
        <f t="shared" si="77"/>
        <v/>
      </c>
      <c r="H1713" s="925"/>
      <c r="I1713" s="919"/>
      <c r="J1713" s="919"/>
      <c r="K1713" s="919"/>
      <c r="L1713" s="919"/>
      <c r="O1713" s="339"/>
      <c r="T1713" s="75"/>
      <c r="U1713" s="75"/>
      <c r="V1713" s="75"/>
      <c r="W1713" s="75"/>
      <c r="X1713" s="75"/>
      <c r="Y1713" s="340"/>
      <c r="Z1713" s="341"/>
      <c r="AA1713" s="341"/>
      <c r="AB1713" s="341"/>
      <c r="AC1713" s="340"/>
      <c r="AD1713" s="75"/>
      <c r="AE1713" s="75"/>
      <c r="AF1713" s="75"/>
      <c r="AG1713" s="344"/>
      <c r="AH1713" s="344"/>
      <c r="AI1713" s="344"/>
      <c r="AJ1713" s="97"/>
      <c r="AK1713" s="4"/>
    </row>
    <row r="1714" spans="2:37" s="113" customFormat="1" x14ac:dyDescent="0.4">
      <c r="B1714" s="80"/>
      <c r="C1714" s="563">
        <v>1301</v>
      </c>
      <c r="D1714" s="907"/>
      <c r="E1714" s="906"/>
      <c r="F1714" s="921" t="str">
        <f t="shared" si="76"/>
        <v/>
      </c>
      <c r="G1714" s="882" t="str">
        <f t="shared" si="77"/>
        <v/>
      </c>
      <c r="H1714" s="925"/>
      <c r="I1714" s="919"/>
      <c r="J1714" s="919"/>
      <c r="K1714" s="919"/>
      <c r="L1714" s="919"/>
      <c r="O1714" s="339"/>
      <c r="T1714" s="75"/>
      <c r="U1714" s="75"/>
      <c r="V1714" s="75"/>
      <c r="W1714" s="75"/>
      <c r="X1714" s="75"/>
      <c r="Y1714" s="340"/>
      <c r="Z1714" s="341"/>
      <c r="AA1714" s="341"/>
      <c r="AB1714" s="341"/>
      <c r="AC1714" s="340"/>
      <c r="AD1714" s="75"/>
      <c r="AE1714" s="75"/>
      <c r="AF1714" s="75"/>
      <c r="AG1714" s="344"/>
      <c r="AH1714" s="344"/>
      <c r="AI1714" s="344"/>
      <c r="AJ1714" s="97"/>
      <c r="AK1714" s="4"/>
    </row>
    <row r="1715" spans="2:37" s="113" customFormat="1" x14ac:dyDescent="0.4">
      <c r="B1715" s="80"/>
      <c r="C1715" s="563">
        <v>1302</v>
      </c>
      <c r="D1715" s="907"/>
      <c r="E1715" s="906"/>
      <c r="F1715" s="921" t="str">
        <f t="shared" si="76"/>
        <v/>
      </c>
      <c r="G1715" s="882" t="str">
        <f t="shared" si="77"/>
        <v/>
      </c>
      <c r="H1715" s="925"/>
      <c r="I1715" s="919"/>
      <c r="J1715" s="919"/>
      <c r="K1715" s="919"/>
      <c r="L1715" s="919"/>
      <c r="O1715" s="339"/>
      <c r="T1715" s="75"/>
      <c r="U1715" s="75"/>
      <c r="V1715" s="75"/>
      <c r="W1715" s="75"/>
      <c r="X1715" s="75"/>
      <c r="Y1715" s="340"/>
      <c r="Z1715" s="341"/>
      <c r="AA1715" s="341"/>
      <c r="AB1715" s="341"/>
      <c r="AC1715" s="340"/>
      <c r="AD1715" s="75"/>
      <c r="AE1715" s="75"/>
      <c r="AF1715" s="75"/>
      <c r="AG1715" s="344"/>
      <c r="AH1715" s="344"/>
      <c r="AI1715" s="344"/>
      <c r="AJ1715" s="97"/>
      <c r="AK1715" s="4"/>
    </row>
    <row r="1716" spans="2:37" s="113" customFormat="1" x14ac:dyDescent="0.4">
      <c r="B1716" s="80"/>
      <c r="C1716" s="563">
        <v>1303</v>
      </c>
      <c r="D1716" s="907"/>
      <c r="E1716" s="906"/>
      <c r="F1716" s="921" t="str">
        <f t="shared" si="76"/>
        <v/>
      </c>
      <c r="G1716" s="882" t="str">
        <f t="shared" si="77"/>
        <v/>
      </c>
      <c r="H1716" s="925"/>
      <c r="I1716" s="919"/>
      <c r="J1716" s="919"/>
      <c r="K1716" s="919"/>
      <c r="L1716" s="919"/>
      <c r="O1716" s="339"/>
      <c r="T1716" s="75"/>
      <c r="U1716" s="75"/>
      <c r="V1716" s="75"/>
      <c r="W1716" s="75"/>
      <c r="X1716" s="75"/>
      <c r="Y1716" s="340"/>
      <c r="Z1716" s="341"/>
      <c r="AA1716" s="341"/>
      <c r="AB1716" s="341"/>
      <c r="AC1716" s="340"/>
      <c r="AD1716" s="75"/>
      <c r="AE1716" s="75"/>
      <c r="AF1716" s="75"/>
      <c r="AG1716" s="344"/>
      <c r="AH1716" s="344"/>
      <c r="AI1716" s="344"/>
      <c r="AJ1716" s="97"/>
      <c r="AK1716" s="4"/>
    </row>
    <row r="1717" spans="2:37" s="113" customFormat="1" x14ac:dyDescent="0.4">
      <c r="B1717" s="80"/>
      <c r="C1717" s="563">
        <v>1304</v>
      </c>
      <c r="D1717" s="907"/>
      <c r="E1717" s="906"/>
      <c r="F1717" s="921" t="str">
        <f t="shared" si="76"/>
        <v/>
      </c>
      <c r="G1717" s="882" t="str">
        <f t="shared" si="77"/>
        <v/>
      </c>
      <c r="H1717" s="925"/>
      <c r="I1717" s="919"/>
      <c r="J1717" s="919"/>
      <c r="K1717" s="919"/>
      <c r="L1717" s="919"/>
      <c r="O1717" s="339"/>
      <c r="T1717" s="75"/>
      <c r="U1717" s="75"/>
      <c r="V1717" s="75"/>
      <c r="W1717" s="75"/>
      <c r="X1717" s="75"/>
      <c r="Y1717" s="340"/>
      <c r="Z1717" s="341"/>
      <c r="AA1717" s="341"/>
      <c r="AB1717" s="341"/>
      <c r="AC1717" s="340"/>
      <c r="AD1717" s="75"/>
      <c r="AE1717" s="75"/>
      <c r="AF1717" s="75"/>
      <c r="AG1717" s="344"/>
      <c r="AH1717" s="344"/>
      <c r="AI1717" s="344"/>
      <c r="AJ1717" s="97"/>
      <c r="AK1717" s="4"/>
    </row>
    <row r="1718" spans="2:37" s="113" customFormat="1" x14ac:dyDescent="0.4">
      <c r="B1718" s="80"/>
      <c r="C1718" s="563">
        <v>1305</v>
      </c>
      <c r="D1718" s="907"/>
      <c r="E1718" s="906"/>
      <c r="F1718" s="921" t="str">
        <f t="shared" si="76"/>
        <v/>
      </c>
      <c r="G1718" s="882" t="str">
        <f t="shared" si="77"/>
        <v/>
      </c>
      <c r="H1718" s="925"/>
      <c r="I1718" s="919"/>
      <c r="J1718" s="919"/>
      <c r="K1718" s="919"/>
      <c r="L1718" s="919"/>
      <c r="O1718" s="339"/>
      <c r="T1718" s="75"/>
      <c r="U1718" s="75"/>
      <c r="V1718" s="75"/>
      <c r="W1718" s="75"/>
      <c r="X1718" s="75"/>
      <c r="Y1718" s="340"/>
      <c r="Z1718" s="341"/>
      <c r="AA1718" s="341"/>
      <c r="AB1718" s="341"/>
      <c r="AC1718" s="340"/>
      <c r="AD1718" s="75"/>
      <c r="AE1718" s="75"/>
      <c r="AF1718" s="75"/>
      <c r="AG1718" s="344"/>
      <c r="AH1718" s="344"/>
      <c r="AI1718" s="344"/>
      <c r="AJ1718" s="97"/>
      <c r="AK1718" s="4"/>
    </row>
    <row r="1719" spans="2:37" s="113" customFormat="1" x14ac:dyDescent="0.4">
      <c r="B1719" s="80"/>
      <c r="C1719" s="563">
        <v>1306</v>
      </c>
      <c r="D1719" s="907"/>
      <c r="E1719" s="906"/>
      <c r="F1719" s="921" t="str">
        <f t="shared" si="76"/>
        <v/>
      </c>
      <c r="G1719" s="882" t="str">
        <f t="shared" si="77"/>
        <v/>
      </c>
      <c r="H1719" s="925"/>
      <c r="I1719" s="919"/>
      <c r="J1719" s="919"/>
      <c r="K1719" s="919"/>
      <c r="L1719" s="919"/>
      <c r="O1719" s="339"/>
      <c r="T1719" s="75"/>
      <c r="U1719" s="75"/>
      <c r="V1719" s="75"/>
      <c r="W1719" s="75"/>
      <c r="X1719" s="75"/>
      <c r="Y1719" s="340"/>
      <c r="Z1719" s="341"/>
      <c r="AA1719" s="341"/>
      <c r="AB1719" s="341"/>
      <c r="AC1719" s="340"/>
      <c r="AD1719" s="75"/>
      <c r="AE1719" s="75"/>
      <c r="AF1719" s="75"/>
      <c r="AG1719" s="344"/>
      <c r="AH1719" s="344"/>
      <c r="AI1719" s="344"/>
      <c r="AJ1719" s="97"/>
      <c r="AK1719" s="4"/>
    </row>
    <row r="1720" spans="2:37" s="113" customFormat="1" x14ac:dyDescent="0.4">
      <c r="B1720" s="80"/>
      <c r="C1720" s="563">
        <v>1307</v>
      </c>
      <c r="D1720" s="907"/>
      <c r="E1720" s="906"/>
      <c r="F1720" s="921" t="str">
        <f t="shared" si="76"/>
        <v/>
      </c>
      <c r="G1720" s="882" t="str">
        <f t="shared" si="77"/>
        <v/>
      </c>
      <c r="H1720" s="925"/>
      <c r="I1720" s="919"/>
      <c r="J1720" s="919"/>
      <c r="K1720" s="919"/>
      <c r="L1720" s="919"/>
      <c r="O1720" s="339"/>
      <c r="T1720" s="75"/>
      <c r="U1720" s="75"/>
      <c r="V1720" s="75"/>
      <c r="W1720" s="75"/>
      <c r="X1720" s="75"/>
      <c r="Y1720" s="340"/>
      <c r="Z1720" s="341"/>
      <c r="AA1720" s="341"/>
      <c r="AB1720" s="341"/>
      <c r="AC1720" s="340"/>
      <c r="AD1720" s="75"/>
      <c r="AE1720" s="75"/>
      <c r="AF1720" s="75"/>
      <c r="AG1720" s="344"/>
      <c r="AH1720" s="344"/>
      <c r="AI1720" s="344"/>
      <c r="AJ1720" s="97"/>
      <c r="AK1720" s="4"/>
    </row>
    <row r="1721" spans="2:37" s="113" customFormat="1" x14ac:dyDescent="0.4">
      <c r="B1721" s="80"/>
      <c r="C1721" s="563">
        <v>1308</v>
      </c>
      <c r="D1721" s="907"/>
      <c r="E1721" s="906"/>
      <c r="F1721" s="921" t="str">
        <f t="shared" si="76"/>
        <v/>
      </c>
      <c r="G1721" s="882" t="str">
        <f t="shared" si="77"/>
        <v/>
      </c>
      <c r="H1721" s="925"/>
      <c r="I1721" s="919"/>
      <c r="J1721" s="919"/>
      <c r="K1721" s="919"/>
      <c r="L1721" s="919"/>
      <c r="O1721" s="339"/>
      <c r="T1721" s="75"/>
      <c r="U1721" s="75"/>
      <c r="V1721" s="75"/>
      <c r="W1721" s="75"/>
      <c r="X1721" s="75"/>
      <c r="Y1721" s="340"/>
      <c r="Z1721" s="341"/>
      <c r="AA1721" s="341"/>
      <c r="AB1721" s="341"/>
      <c r="AC1721" s="340"/>
      <c r="AD1721" s="75"/>
      <c r="AE1721" s="75"/>
      <c r="AF1721" s="75"/>
      <c r="AG1721" s="344"/>
      <c r="AH1721" s="344"/>
      <c r="AI1721" s="344"/>
      <c r="AJ1721" s="97"/>
      <c r="AK1721" s="4"/>
    </row>
    <row r="1722" spans="2:37" s="113" customFormat="1" x14ac:dyDescent="0.4">
      <c r="B1722" s="80"/>
      <c r="C1722" s="563">
        <v>1309</v>
      </c>
      <c r="D1722" s="907"/>
      <c r="E1722" s="906"/>
      <c r="F1722" s="921" t="str">
        <f t="shared" si="76"/>
        <v/>
      </c>
      <c r="G1722" s="882" t="str">
        <f t="shared" si="77"/>
        <v/>
      </c>
      <c r="H1722" s="925"/>
      <c r="I1722" s="919"/>
      <c r="J1722" s="919"/>
      <c r="K1722" s="919"/>
      <c r="L1722" s="919"/>
      <c r="O1722" s="339"/>
      <c r="T1722" s="75"/>
      <c r="U1722" s="75"/>
      <c r="V1722" s="75"/>
      <c r="W1722" s="75"/>
      <c r="X1722" s="75"/>
      <c r="Y1722" s="340"/>
      <c r="Z1722" s="341"/>
      <c r="AA1722" s="341"/>
      <c r="AB1722" s="341"/>
      <c r="AC1722" s="340"/>
      <c r="AD1722" s="75"/>
      <c r="AE1722" s="75"/>
      <c r="AF1722" s="75"/>
      <c r="AG1722" s="344"/>
      <c r="AH1722" s="344"/>
      <c r="AI1722" s="344"/>
      <c r="AJ1722" s="97"/>
      <c r="AK1722" s="4"/>
    </row>
    <row r="1723" spans="2:37" s="113" customFormat="1" x14ac:dyDescent="0.4">
      <c r="B1723" s="80"/>
      <c r="C1723" s="563">
        <v>1310</v>
      </c>
      <c r="D1723" s="907"/>
      <c r="E1723" s="906"/>
      <c r="F1723" s="921" t="str">
        <f t="shared" si="76"/>
        <v/>
      </c>
      <c r="G1723" s="882" t="str">
        <f t="shared" si="77"/>
        <v/>
      </c>
      <c r="H1723" s="925"/>
      <c r="I1723" s="919"/>
      <c r="J1723" s="919"/>
      <c r="K1723" s="919"/>
      <c r="L1723" s="919"/>
      <c r="O1723" s="339"/>
      <c r="T1723" s="75"/>
      <c r="U1723" s="75"/>
      <c r="V1723" s="75"/>
      <c r="W1723" s="75"/>
      <c r="X1723" s="75"/>
      <c r="Y1723" s="340"/>
      <c r="Z1723" s="341"/>
      <c r="AA1723" s="341"/>
      <c r="AB1723" s="341"/>
      <c r="AC1723" s="340"/>
      <c r="AD1723" s="75"/>
      <c r="AE1723" s="75"/>
      <c r="AF1723" s="75"/>
      <c r="AG1723" s="344"/>
      <c r="AH1723" s="344"/>
      <c r="AI1723" s="344"/>
      <c r="AJ1723" s="97"/>
      <c r="AK1723" s="4"/>
    </row>
    <row r="1724" spans="2:37" s="113" customFormat="1" x14ac:dyDescent="0.4">
      <c r="B1724" s="80"/>
      <c r="C1724" s="563">
        <v>1311</v>
      </c>
      <c r="D1724" s="907"/>
      <c r="E1724" s="906"/>
      <c r="F1724" s="921" t="str">
        <f t="shared" si="76"/>
        <v/>
      </c>
      <c r="G1724" s="882" t="str">
        <f t="shared" si="77"/>
        <v/>
      </c>
      <c r="H1724" s="925"/>
      <c r="I1724" s="919"/>
      <c r="J1724" s="919"/>
      <c r="K1724" s="919"/>
      <c r="L1724" s="919"/>
      <c r="O1724" s="339"/>
      <c r="T1724" s="75"/>
      <c r="U1724" s="75"/>
      <c r="V1724" s="75"/>
      <c r="W1724" s="75"/>
      <c r="X1724" s="75"/>
      <c r="Y1724" s="340"/>
      <c r="Z1724" s="341"/>
      <c r="AA1724" s="341"/>
      <c r="AB1724" s="341"/>
      <c r="AC1724" s="340"/>
      <c r="AD1724" s="75"/>
      <c r="AE1724" s="75"/>
      <c r="AF1724" s="75"/>
      <c r="AG1724" s="344"/>
      <c r="AH1724" s="344"/>
      <c r="AI1724" s="344"/>
      <c r="AJ1724" s="97"/>
      <c r="AK1724" s="4"/>
    </row>
    <row r="1725" spans="2:37" s="113" customFormat="1" x14ac:dyDescent="0.4">
      <c r="B1725" s="80"/>
      <c r="C1725" s="563">
        <v>1312</v>
      </c>
      <c r="D1725" s="907"/>
      <c r="E1725" s="906"/>
      <c r="F1725" s="921" t="str">
        <f t="shared" si="76"/>
        <v/>
      </c>
      <c r="G1725" s="882" t="str">
        <f t="shared" si="77"/>
        <v/>
      </c>
      <c r="H1725" s="925"/>
      <c r="I1725" s="919"/>
      <c r="J1725" s="919"/>
      <c r="K1725" s="919"/>
      <c r="L1725" s="919"/>
      <c r="O1725" s="339"/>
      <c r="T1725" s="75"/>
      <c r="U1725" s="75"/>
      <c r="V1725" s="75"/>
      <c r="W1725" s="75"/>
      <c r="X1725" s="75"/>
      <c r="Y1725" s="340"/>
      <c r="Z1725" s="341"/>
      <c r="AA1725" s="341"/>
      <c r="AB1725" s="341"/>
      <c r="AC1725" s="340"/>
      <c r="AD1725" s="75"/>
      <c r="AE1725" s="75"/>
      <c r="AF1725" s="75"/>
      <c r="AG1725" s="344"/>
      <c r="AH1725" s="344"/>
      <c r="AI1725" s="344"/>
      <c r="AJ1725" s="97"/>
      <c r="AK1725" s="4"/>
    </row>
    <row r="1726" spans="2:37" s="113" customFormat="1" x14ac:dyDescent="0.4">
      <c r="B1726" s="80"/>
      <c r="C1726" s="563">
        <v>1313</v>
      </c>
      <c r="D1726" s="907"/>
      <c r="E1726" s="906"/>
      <c r="F1726" s="921" t="str">
        <f t="shared" si="76"/>
        <v/>
      </c>
      <c r="G1726" s="882" t="str">
        <f t="shared" si="77"/>
        <v/>
      </c>
      <c r="H1726" s="925"/>
      <c r="I1726" s="919"/>
      <c r="J1726" s="919"/>
      <c r="K1726" s="919"/>
      <c r="L1726" s="919"/>
      <c r="O1726" s="339"/>
      <c r="T1726" s="75"/>
      <c r="U1726" s="75"/>
      <c r="V1726" s="75"/>
      <c r="W1726" s="75"/>
      <c r="X1726" s="75"/>
      <c r="Y1726" s="340"/>
      <c r="Z1726" s="341"/>
      <c r="AA1726" s="341"/>
      <c r="AB1726" s="341"/>
      <c r="AC1726" s="340"/>
      <c r="AD1726" s="75"/>
      <c r="AE1726" s="75"/>
      <c r="AF1726" s="75"/>
      <c r="AG1726" s="344"/>
      <c r="AH1726" s="344"/>
      <c r="AI1726" s="344"/>
      <c r="AJ1726" s="97"/>
      <c r="AK1726" s="4"/>
    </row>
    <row r="1727" spans="2:37" s="113" customFormat="1" x14ac:dyDescent="0.4">
      <c r="B1727" s="80"/>
      <c r="C1727" s="563">
        <v>1314</v>
      </c>
      <c r="D1727" s="907"/>
      <c r="E1727" s="906"/>
      <c r="F1727" s="921" t="str">
        <f t="shared" si="76"/>
        <v/>
      </c>
      <c r="G1727" s="882" t="str">
        <f t="shared" si="77"/>
        <v/>
      </c>
      <c r="H1727" s="925"/>
      <c r="I1727" s="919"/>
      <c r="J1727" s="919"/>
      <c r="K1727" s="919"/>
      <c r="L1727" s="919"/>
      <c r="O1727" s="339"/>
      <c r="T1727" s="75"/>
      <c r="U1727" s="75"/>
      <c r="V1727" s="75"/>
      <c r="W1727" s="75"/>
      <c r="X1727" s="75"/>
      <c r="Y1727" s="340"/>
      <c r="Z1727" s="341"/>
      <c r="AA1727" s="341"/>
      <c r="AB1727" s="341"/>
      <c r="AC1727" s="340"/>
      <c r="AD1727" s="75"/>
      <c r="AE1727" s="75"/>
      <c r="AF1727" s="75"/>
      <c r="AG1727" s="344"/>
      <c r="AH1727" s="344"/>
      <c r="AI1727" s="344"/>
      <c r="AJ1727" s="97"/>
      <c r="AK1727" s="4"/>
    </row>
    <row r="1728" spans="2:37" s="113" customFormat="1" x14ac:dyDescent="0.4">
      <c r="B1728" s="80"/>
      <c r="C1728" s="563">
        <v>1315</v>
      </c>
      <c r="D1728" s="907"/>
      <c r="E1728" s="906"/>
      <c r="F1728" s="921" t="str">
        <f t="shared" si="76"/>
        <v/>
      </c>
      <c r="G1728" s="882" t="str">
        <f t="shared" si="77"/>
        <v/>
      </c>
      <c r="H1728" s="925"/>
      <c r="I1728" s="919"/>
      <c r="J1728" s="919"/>
      <c r="K1728" s="919"/>
      <c r="L1728" s="919"/>
      <c r="O1728" s="339"/>
      <c r="T1728" s="75"/>
      <c r="U1728" s="75"/>
      <c r="V1728" s="75"/>
      <c r="W1728" s="75"/>
      <c r="X1728" s="75"/>
      <c r="Y1728" s="340"/>
      <c r="Z1728" s="341"/>
      <c r="AA1728" s="341"/>
      <c r="AB1728" s="341"/>
      <c r="AC1728" s="340"/>
      <c r="AD1728" s="75"/>
      <c r="AE1728" s="75"/>
      <c r="AF1728" s="75"/>
      <c r="AG1728" s="344"/>
      <c r="AH1728" s="344"/>
      <c r="AI1728" s="344"/>
      <c r="AJ1728" s="97"/>
      <c r="AK1728" s="4"/>
    </row>
    <row r="1729" spans="2:37" s="113" customFormat="1" x14ac:dyDescent="0.4">
      <c r="B1729" s="80"/>
      <c r="C1729" s="563">
        <v>1316</v>
      </c>
      <c r="D1729" s="907"/>
      <c r="E1729" s="906"/>
      <c r="F1729" s="921" t="str">
        <f t="shared" si="76"/>
        <v/>
      </c>
      <c r="G1729" s="882" t="str">
        <f t="shared" si="77"/>
        <v/>
      </c>
      <c r="H1729" s="925"/>
      <c r="I1729" s="919"/>
      <c r="J1729" s="919"/>
      <c r="K1729" s="919"/>
      <c r="L1729" s="919"/>
      <c r="O1729" s="339"/>
      <c r="T1729" s="75"/>
      <c r="U1729" s="75"/>
      <c r="V1729" s="75"/>
      <c r="W1729" s="75"/>
      <c r="X1729" s="75"/>
      <c r="Y1729" s="340"/>
      <c r="Z1729" s="341"/>
      <c r="AA1729" s="341"/>
      <c r="AB1729" s="341"/>
      <c r="AC1729" s="340"/>
      <c r="AD1729" s="75"/>
      <c r="AE1729" s="75"/>
      <c r="AF1729" s="75"/>
      <c r="AG1729" s="344"/>
      <c r="AH1729" s="344"/>
      <c r="AI1729" s="344"/>
      <c r="AJ1729" s="97"/>
      <c r="AK1729" s="4"/>
    </row>
    <row r="1730" spans="2:37" s="113" customFormat="1" x14ac:dyDescent="0.4">
      <c r="B1730" s="80"/>
      <c r="C1730" s="563">
        <v>1317</v>
      </c>
      <c r="D1730" s="907"/>
      <c r="E1730" s="906"/>
      <c r="F1730" s="921" t="str">
        <f t="shared" si="76"/>
        <v/>
      </c>
      <c r="G1730" s="882" t="str">
        <f t="shared" si="77"/>
        <v/>
      </c>
      <c r="H1730" s="925"/>
      <c r="I1730" s="919"/>
      <c r="J1730" s="919"/>
      <c r="K1730" s="919"/>
      <c r="L1730" s="919"/>
      <c r="O1730" s="339"/>
      <c r="T1730" s="75"/>
      <c r="U1730" s="75"/>
      <c r="V1730" s="75"/>
      <c r="W1730" s="75"/>
      <c r="X1730" s="75"/>
      <c r="Y1730" s="340"/>
      <c r="Z1730" s="341"/>
      <c r="AA1730" s="341"/>
      <c r="AB1730" s="341"/>
      <c r="AC1730" s="340"/>
      <c r="AD1730" s="75"/>
      <c r="AE1730" s="75"/>
      <c r="AF1730" s="75"/>
      <c r="AG1730" s="344"/>
      <c r="AH1730" s="344"/>
      <c r="AI1730" s="344"/>
      <c r="AJ1730" s="97"/>
      <c r="AK1730" s="4"/>
    </row>
    <row r="1731" spans="2:37" s="113" customFormat="1" x14ac:dyDescent="0.4">
      <c r="B1731" s="80"/>
      <c r="C1731" s="563">
        <v>1318</v>
      </c>
      <c r="D1731" s="907"/>
      <c r="E1731" s="906"/>
      <c r="F1731" s="921" t="str">
        <f t="shared" si="76"/>
        <v/>
      </c>
      <c r="G1731" s="882" t="str">
        <f t="shared" si="77"/>
        <v/>
      </c>
      <c r="H1731" s="925"/>
      <c r="I1731" s="919"/>
      <c r="J1731" s="919"/>
      <c r="K1731" s="919"/>
      <c r="L1731" s="919"/>
      <c r="O1731" s="339"/>
      <c r="T1731" s="75"/>
      <c r="U1731" s="75"/>
      <c r="V1731" s="75"/>
      <c r="W1731" s="75"/>
      <c r="X1731" s="75"/>
      <c r="Y1731" s="340"/>
      <c r="Z1731" s="341"/>
      <c r="AA1731" s="341"/>
      <c r="AB1731" s="341"/>
      <c r="AC1731" s="340"/>
      <c r="AD1731" s="75"/>
      <c r="AE1731" s="75"/>
      <c r="AF1731" s="75"/>
      <c r="AG1731" s="344"/>
      <c r="AH1731" s="344"/>
      <c r="AI1731" s="344"/>
      <c r="AJ1731" s="97"/>
      <c r="AK1731" s="4"/>
    </row>
    <row r="1732" spans="2:37" s="113" customFormat="1" x14ac:dyDescent="0.4">
      <c r="B1732" s="80"/>
      <c r="C1732" s="563">
        <v>1319</v>
      </c>
      <c r="D1732" s="907"/>
      <c r="E1732" s="906"/>
      <c r="F1732" s="921" t="str">
        <f t="shared" si="76"/>
        <v/>
      </c>
      <c r="G1732" s="882" t="str">
        <f t="shared" si="77"/>
        <v/>
      </c>
      <c r="H1732" s="925"/>
      <c r="I1732" s="919"/>
      <c r="J1732" s="919"/>
      <c r="K1732" s="919"/>
      <c r="L1732" s="919"/>
      <c r="O1732" s="339"/>
      <c r="T1732" s="75"/>
      <c r="U1732" s="75"/>
      <c r="V1732" s="75"/>
      <c r="W1732" s="75"/>
      <c r="X1732" s="75"/>
      <c r="Y1732" s="340"/>
      <c r="Z1732" s="341"/>
      <c r="AA1732" s="341"/>
      <c r="AB1732" s="341"/>
      <c r="AC1732" s="340"/>
      <c r="AD1732" s="75"/>
      <c r="AE1732" s="75"/>
      <c r="AF1732" s="75"/>
      <c r="AG1732" s="344"/>
      <c r="AH1732" s="344"/>
      <c r="AI1732" s="344"/>
      <c r="AJ1732" s="97"/>
      <c r="AK1732" s="4"/>
    </row>
    <row r="1733" spans="2:37" s="113" customFormat="1" x14ac:dyDescent="0.4">
      <c r="B1733" s="80"/>
      <c r="C1733" s="563">
        <v>1320</v>
      </c>
      <c r="D1733" s="907"/>
      <c r="E1733" s="906"/>
      <c r="F1733" s="921" t="str">
        <f t="shared" si="76"/>
        <v/>
      </c>
      <c r="G1733" s="882" t="str">
        <f t="shared" si="77"/>
        <v/>
      </c>
      <c r="H1733" s="925"/>
      <c r="I1733" s="919"/>
      <c r="J1733" s="919"/>
      <c r="K1733" s="919"/>
      <c r="L1733" s="919"/>
      <c r="O1733" s="339"/>
      <c r="T1733" s="75"/>
      <c r="U1733" s="75"/>
      <c r="V1733" s="75"/>
      <c r="W1733" s="75"/>
      <c r="X1733" s="75"/>
      <c r="Y1733" s="340"/>
      <c r="Z1733" s="341"/>
      <c r="AA1733" s="341"/>
      <c r="AB1733" s="341"/>
      <c r="AC1733" s="340"/>
      <c r="AD1733" s="75"/>
      <c r="AE1733" s="75"/>
      <c r="AF1733" s="75"/>
      <c r="AG1733" s="344"/>
      <c r="AH1733" s="344"/>
      <c r="AI1733" s="344"/>
      <c r="AJ1733" s="97"/>
      <c r="AK1733" s="4"/>
    </row>
    <row r="1734" spans="2:37" s="113" customFormat="1" x14ac:dyDescent="0.4">
      <c r="B1734" s="80"/>
      <c r="C1734" s="563">
        <v>1321</v>
      </c>
      <c r="D1734" s="907"/>
      <c r="E1734" s="906"/>
      <c r="F1734" s="921" t="str">
        <f t="shared" si="76"/>
        <v/>
      </c>
      <c r="G1734" s="882" t="str">
        <f t="shared" si="77"/>
        <v/>
      </c>
      <c r="H1734" s="925"/>
      <c r="I1734" s="919"/>
      <c r="J1734" s="919"/>
      <c r="K1734" s="919"/>
      <c r="L1734" s="919"/>
      <c r="O1734" s="339"/>
      <c r="T1734" s="75"/>
      <c r="U1734" s="75"/>
      <c r="V1734" s="75"/>
      <c r="W1734" s="75"/>
      <c r="X1734" s="75"/>
      <c r="Y1734" s="340"/>
      <c r="Z1734" s="341"/>
      <c r="AA1734" s="341"/>
      <c r="AB1734" s="341"/>
      <c r="AC1734" s="340"/>
      <c r="AD1734" s="75"/>
      <c r="AE1734" s="75"/>
      <c r="AF1734" s="75"/>
      <c r="AG1734" s="344"/>
      <c r="AH1734" s="344"/>
      <c r="AI1734" s="344"/>
      <c r="AJ1734" s="97"/>
      <c r="AK1734" s="4"/>
    </row>
    <row r="1735" spans="2:37" s="113" customFormat="1" x14ac:dyDescent="0.4">
      <c r="B1735" s="80"/>
      <c r="C1735" s="563">
        <v>1322</v>
      </c>
      <c r="D1735" s="907"/>
      <c r="E1735" s="906"/>
      <c r="F1735" s="921" t="str">
        <f t="shared" si="76"/>
        <v/>
      </c>
      <c r="G1735" s="882" t="str">
        <f t="shared" si="77"/>
        <v/>
      </c>
      <c r="H1735" s="925"/>
      <c r="I1735" s="919"/>
      <c r="J1735" s="919"/>
      <c r="K1735" s="919"/>
      <c r="L1735" s="919"/>
      <c r="O1735" s="339"/>
      <c r="T1735" s="75"/>
      <c r="U1735" s="75"/>
      <c r="V1735" s="75"/>
      <c r="W1735" s="75"/>
      <c r="X1735" s="75"/>
      <c r="Y1735" s="340"/>
      <c r="Z1735" s="341"/>
      <c r="AA1735" s="341"/>
      <c r="AB1735" s="341"/>
      <c r="AC1735" s="340"/>
      <c r="AD1735" s="75"/>
      <c r="AE1735" s="75"/>
      <c r="AF1735" s="75"/>
      <c r="AG1735" s="344"/>
      <c r="AH1735" s="344"/>
      <c r="AI1735" s="344"/>
      <c r="AJ1735" s="97"/>
      <c r="AK1735" s="4"/>
    </row>
    <row r="1736" spans="2:37" s="113" customFormat="1" x14ac:dyDescent="0.4">
      <c r="B1736" s="80"/>
      <c r="C1736" s="563">
        <v>1323</v>
      </c>
      <c r="D1736" s="907"/>
      <c r="E1736" s="906"/>
      <c r="F1736" s="921" t="str">
        <f t="shared" si="76"/>
        <v/>
      </c>
      <c r="G1736" s="882" t="str">
        <f t="shared" si="77"/>
        <v/>
      </c>
      <c r="H1736" s="925"/>
      <c r="I1736" s="919"/>
      <c r="J1736" s="919"/>
      <c r="K1736" s="919"/>
      <c r="L1736" s="919"/>
      <c r="O1736" s="339"/>
      <c r="T1736" s="75"/>
      <c r="U1736" s="75"/>
      <c r="V1736" s="75"/>
      <c r="W1736" s="75"/>
      <c r="X1736" s="75"/>
      <c r="Y1736" s="340"/>
      <c r="Z1736" s="341"/>
      <c r="AA1736" s="341"/>
      <c r="AB1736" s="341"/>
      <c r="AC1736" s="340"/>
      <c r="AD1736" s="75"/>
      <c r="AE1736" s="75"/>
      <c r="AF1736" s="75"/>
      <c r="AG1736" s="344"/>
      <c r="AH1736" s="344"/>
      <c r="AI1736" s="344"/>
      <c r="AJ1736" s="97"/>
      <c r="AK1736" s="4"/>
    </row>
    <row r="1737" spans="2:37" s="113" customFormat="1" x14ac:dyDescent="0.4">
      <c r="B1737" s="80"/>
      <c r="C1737" s="563">
        <v>1324</v>
      </c>
      <c r="D1737" s="907"/>
      <c r="E1737" s="906"/>
      <c r="F1737" s="921" t="str">
        <f t="shared" si="76"/>
        <v/>
      </c>
      <c r="G1737" s="882" t="str">
        <f t="shared" si="77"/>
        <v/>
      </c>
      <c r="H1737" s="925"/>
      <c r="I1737" s="919"/>
      <c r="J1737" s="919"/>
      <c r="K1737" s="919"/>
      <c r="L1737" s="919"/>
      <c r="O1737" s="339"/>
      <c r="T1737" s="75"/>
      <c r="U1737" s="75"/>
      <c r="V1737" s="75"/>
      <c r="W1737" s="75"/>
      <c r="X1737" s="75"/>
      <c r="Y1737" s="340"/>
      <c r="Z1737" s="341"/>
      <c r="AA1737" s="341"/>
      <c r="AB1737" s="341"/>
      <c r="AC1737" s="340"/>
      <c r="AD1737" s="75"/>
      <c r="AE1737" s="75"/>
      <c r="AF1737" s="75"/>
      <c r="AG1737" s="344"/>
      <c r="AH1737" s="344"/>
      <c r="AI1737" s="344"/>
      <c r="AJ1737" s="97"/>
      <c r="AK1737" s="4"/>
    </row>
    <row r="1738" spans="2:37" s="113" customFormat="1" x14ac:dyDescent="0.4">
      <c r="B1738" s="80"/>
      <c r="C1738" s="563">
        <v>1325</v>
      </c>
      <c r="D1738" s="907"/>
      <c r="E1738" s="906"/>
      <c r="F1738" s="921" t="str">
        <f t="shared" si="76"/>
        <v/>
      </c>
      <c r="G1738" s="882" t="str">
        <f t="shared" si="77"/>
        <v/>
      </c>
      <c r="H1738" s="925"/>
      <c r="I1738" s="919"/>
      <c r="J1738" s="919"/>
      <c r="K1738" s="919"/>
      <c r="L1738" s="919"/>
      <c r="O1738" s="339"/>
      <c r="T1738" s="75"/>
      <c r="U1738" s="75"/>
      <c r="V1738" s="75"/>
      <c r="W1738" s="75"/>
      <c r="X1738" s="75"/>
      <c r="Y1738" s="340"/>
      <c r="Z1738" s="341"/>
      <c r="AA1738" s="341"/>
      <c r="AB1738" s="341"/>
      <c r="AC1738" s="340"/>
      <c r="AD1738" s="75"/>
      <c r="AE1738" s="75"/>
      <c r="AF1738" s="75"/>
      <c r="AG1738" s="344"/>
      <c r="AH1738" s="344"/>
      <c r="AI1738" s="344"/>
      <c r="AJ1738" s="97"/>
      <c r="AK1738" s="4"/>
    </row>
    <row r="1739" spans="2:37" s="113" customFormat="1" x14ac:dyDescent="0.4">
      <c r="B1739" s="80"/>
      <c r="C1739" s="563">
        <v>1326</v>
      </c>
      <c r="D1739" s="907"/>
      <c r="E1739" s="906"/>
      <c r="F1739" s="921" t="str">
        <f t="shared" si="76"/>
        <v/>
      </c>
      <c r="G1739" s="882" t="str">
        <f t="shared" si="77"/>
        <v/>
      </c>
      <c r="H1739" s="925"/>
      <c r="I1739" s="919"/>
      <c r="J1739" s="919"/>
      <c r="K1739" s="919"/>
      <c r="L1739" s="919"/>
      <c r="O1739" s="339"/>
      <c r="T1739" s="75"/>
      <c r="U1739" s="75"/>
      <c r="V1739" s="75"/>
      <c r="W1739" s="75"/>
      <c r="X1739" s="75"/>
      <c r="Y1739" s="340"/>
      <c r="Z1739" s="341"/>
      <c r="AA1739" s="341"/>
      <c r="AB1739" s="341"/>
      <c r="AC1739" s="340"/>
      <c r="AD1739" s="75"/>
      <c r="AE1739" s="75"/>
      <c r="AF1739" s="75"/>
      <c r="AG1739" s="344"/>
      <c r="AH1739" s="344"/>
      <c r="AI1739" s="344"/>
      <c r="AJ1739" s="97"/>
      <c r="AK1739" s="4"/>
    </row>
    <row r="1740" spans="2:37" s="113" customFormat="1" x14ac:dyDescent="0.4">
      <c r="B1740" s="80"/>
      <c r="C1740" s="563">
        <v>1327</v>
      </c>
      <c r="D1740" s="907"/>
      <c r="E1740" s="906"/>
      <c r="F1740" s="921" t="str">
        <f t="shared" si="76"/>
        <v/>
      </c>
      <c r="G1740" s="882" t="str">
        <f t="shared" si="77"/>
        <v/>
      </c>
      <c r="H1740" s="925"/>
      <c r="I1740" s="919"/>
      <c r="J1740" s="919"/>
      <c r="K1740" s="919"/>
      <c r="L1740" s="919"/>
      <c r="O1740" s="339"/>
      <c r="T1740" s="75"/>
      <c r="U1740" s="75"/>
      <c r="V1740" s="75"/>
      <c r="W1740" s="75"/>
      <c r="X1740" s="75"/>
      <c r="Y1740" s="340"/>
      <c r="Z1740" s="341"/>
      <c r="AA1740" s="341"/>
      <c r="AB1740" s="341"/>
      <c r="AC1740" s="340"/>
      <c r="AD1740" s="75"/>
      <c r="AE1740" s="75"/>
      <c r="AF1740" s="75"/>
      <c r="AG1740" s="344"/>
      <c r="AH1740" s="344"/>
      <c r="AI1740" s="344"/>
      <c r="AJ1740" s="97"/>
      <c r="AK1740" s="4"/>
    </row>
    <row r="1741" spans="2:37" s="113" customFormat="1" x14ac:dyDescent="0.4">
      <c r="B1741" s="80"/>
      <c r="C1741" s="563">
        <v>1328</v>
      </c>
      <c r="D1741" s="907"/>
      <c r="E1741" s="906"/>
      <c r="F1741" s="921" t="str">
        <f t="shared" si="76"/>
        <v/>
      </c>
      <c r="G1741" s="882" t="str">
        <f t="shared" si="77"/>
        <v/>
      </c>
      <c r="H1741" s="925"/>
      <c r="I1741" s="919"/>
      <c r="J1741" s="919"/>
      <c r="K1741" s="919"/>
      <c r="L1741" s="919"/>
      <c r="O1741" s="339"/>
      <c r="T1741" s="75"/>
      <c r="U1741" s="75"/>
      <c r="V1741" s="75"/>
      <c r="W1741" s="75"/>
      <c r="X1741" s="75"/>
      <c r="Y1741" s="340"/>
      <c r="Z1741" s="341"/>
      <c r="AA1741" s="341"/>
      <c r="AB1741" s="341"/>
      <c r="AC1741" s="340"/>
      <c r="AD1741" s="75"/>
      <c r="AE1741" s="75"/>
      <c r="AF1741" s="75"/>
      <c r="AG1741" s="344"/>
      <c r="AH1741" s="344"/>
      <c r="AI1741" s="344"/>
      <c r="AJ1741" s="97"/>
      <c r="AK1741" s="4"/>
    </row>
    <row r="1742" spans="2:37" s="113" customFormat="1" x14ac:dyDescent="0.4">
      <c r="B1742" s="80"/>
      <c r="C1742" s="563">
        <v>1329</v>
      </c>
      <c r="D1742" s="907"/>
      <c r="E1742" s="906"/>
      <c r="F1742" s="921" t="str">
        <f t="shared" si="76"/>
        <v/>
      </c>
      <c r="G1742" s="882" t="str">
        <f t="shared" si="77"/>
        <v/>
      </c>
      <c r="H1742" s="925"/>
      <c r="I1742" s="919"/>
      <c r="J1742" s="919"/>
      <c r="K1742" s="919"/>
      <c r="L1742" s="919"/>
      <c r="O1742" s="339"/>
      <c r="T1742" s="75"/>
      <c r="U1742" s="75"/>
      <c r="V1742" s="75"/>
      <c r="W1742" s="75"/>
      <c r="X1742" s="75"/>
      <c r="Y1742" s="340"/>
      <c r="Z1742" s="341"/>
      <c r="AA1742" s="341"/>
      <c r="AB1742" s="341"/>
      <c r="AC1742" s="340"/>
      <c r="AD1742" s="75"/>
      <c r="AE1742" s="75"/>
      <c r="AF1742" s="75"/>
      <c r="AG1742" s="344"/>
      <c r="AH1742" s="344"/>
      <c r="AI1742" s="344"/>
      <c r="AJ1742" s="97"/>
      <c r="AK1742" s="4"/>
    </row>
    <row r="1743" spans="2:37" s="113" customFormat="1" x14ac:dyDescent="0.4">
      <c r="B1743" s="80"/>
      <c r="C1743" s="563">
        <v>1330</v>
      </c>
      <c r="D1743" s="907"/>
      <c r="E1743" s="906"/>
      <c r="F1743" s="921" t="str">
        <f t="shared" si="76"/>
        <v/>
      </c>
      <c r="G1743" s="882" t="str">
        <f t="shared" si="77"/>
        <v/>
      </c>
      <c r="H1743" s="925"/>
      <c r="I1743" s="919"/>
      <c r="J1743" s="919"/>
      <c r="K1743" s="919"/>
      <c r="L1743" s="919"/>
      <c r="O1743" s="339"/>
      <c r="T1743" s="75"/>
      <c r="U1743" s="75"/>
      <c r="V1743" s="75"/>
      <c r="W1743" s="75"/>
      <c r="X1743" s="75"/>
      <c r="Y1743" s="340"/>
      <c r="Z1743" s="341"/>
      <c r="AA1743" s="341"/>
      <c r="AB1743" s="341"/>
      <c r="AC1743" s="340"/>
      <c r="AD1743" s="75"/>
      <c r="AE1743" s="75"/>
      <c r="AF1743" s="75"/>
      <c r="AG1743" s="344"/>
      <c r="AH1743" s="344"/>
      <c r="AI1743" s="344"/>
      <c r="AJ1743" s="97"/>
      <c r="AK1743" s="4"/>
    </row>
    <row r="1744" spans="2:37" s="113" customFormat="1" x14ac:dyDescent="0.4">
      <c r="B1744" s="80"/>
      <c r="C1744" s="563">
        <v>1331</v>
      </c>
      <c r="D1744" s="907"/>
      <c r="E1744" s="906"/>
      <c r="F1744" s="921" t="str">
        <f t="shared" si="76"/>
        <v/>
      </c>
      <c r="G1744" s="882" t="str">
        <f t="shared" si="77"/>
        <v/>
      </c>
      <c r="H1744" s="925"/>
      <c r="I1744" s="919"/>
      <c r="J1744" s="919"/>
      <c r="K1744" s="919"/>
      <c r="L1744" s="919"/>
      <c r="O1744" s="339"/>
      <c r="T1744" s="75"/>
      <c r="U1744" s="75"/>
      <c r="V1744" s="75"/>
      <c r="W1744" s="75"/>
      <c r="X1744" s="75"/>
      <c r="Y1744" s="340"/>
      <c r="Z1744" s="341"/>
      <c r="AA1744" s="341"/>
      <c r="AB1744" s="341"/>
      <c r="AC1744" s="340"/>
      <c r="AD1744" s="75"/>
      <c r="AE1744" s="75"/>
      <c r="AF1744" s="75"/>
      <c r="AG1744" s="344"/>
      <c r="AH1744" s="344"/>
      <c r="AI1744" s="344"/>
      <c r="AJ1744" s="97"/>
      <c r="AK1744" s="4"/>
    </row>
    <row r="1745" spans="2:37" s="113" customFormat="1" x14ac:dyDescent="0.4">
      <c r="B1745" s="80"/>
      <c r="C1745" s="563">
        <v>1332</v>
      </c>
      <c r="D1745" s="907"/>
      <c r="E1745" s="906"/>
      <c r="F1745" s="921" t="str">
        <f t="shared" si="76"/>
        <v/>
      </c>
      <c r="G1745" s="882" t="str">
        <f t="shared" si="77"/>
        <v/>
      </c>
      <c r="H1745" s="925"/>
      <c r="I1745" s="919"/>
      <c r="J1745" s="919"/>
      <c r="K1745" s="919"/>
      <c r="L1745" s="919"/>
      <c r="O1745" s="339"/>
      <c r="T1745" s="75"/>
      <c r="U1745" s="75"/>
      <c r="V1745" s="75"/>
      <c r="W1745" s="75"/>
      <c r="X1745" s="75"/>
      <c r="Y1745" s="340"/>
      <c r="Z1745" s="341"/>
      <c r="AA1745" s="341"/>
      <c r="AB1745" s="341"/>
      <c r="AC1745" s="340"/>
      <c r="AD1745" s="75"/>
      <c r="AE1745" s="75"/>
      <c r="AF1745" s="75"/>
      <c r="AG1745" s="344"/>
      <c r="AH1745" s="344"/>
      <c r="AI1745" s="344"/>
      <c r="AJ1745" s="97"/>
      <c r="AK1745" s="4"/>
    </row>
    <row r="1746" spans="2:37" s="113" customFormat="1" x14ac:dyDescent="0.4">
      <c r="B1746" s="80"/>
      <c r="C1746" s="563">
        <v>1333</v>
      </c>
      <c r="D1746" s="907"/>
      <c r="E1746" s="906"/>
      <c r="F1746" s="921" t="str">
        <f t="shared" si="76"/>
        <v/>
      </c>
      <c r="G1746" s="882" t="str">
        <f t="shared" si="77"/>
        <v/>
      </c>
      <c r="H1746" s="925"/>
      <c r="I1746" s="919"/>
      <c r="J1746" s="919"/>
      <c r="K1746" s="919"/>
      <c r="L1746" s="919"/>
      <c r="O1746" s="339"/>
      <c r="T1746" s="75"/>
      <c r="U1746" s="75"/>
      <c r="V1746" s="75"/>
      <c r="W1746" s="75"/>
      <c r="X1746" s="75"/>
      <c r="Y1746" s="340"/>
      <c r="Z1746" s="341"/>
      <c r="AA1746" s="341"/>
      <c r="AB1746" s="341"/>
      <c r="AC1746" s="340"/>
      <c r="AD1746" s="75"/>
      <c r="AE1746" s="75"/>
      <c r="AF1746" s="75"/>
      <c r="AG1746" s="344"/>
      <c r="AH1746" s="344"/>
      <c r="AI1746" s="344"/>
      <c r="AJ1746" s="97"/>
      <c r="AK1746" s="4"/>
    </row>
    <row r="1747" spans="2:37" s="113" customFormat="1" x14ac:dyDescent="0.4">
      <c r="B1747" s="80"/>
      <c r="C1747" s="563">
        <v>1334</v>
      </c>
      <c r="D1747" s="907"/>
      <c r="E1747" s="906"/>
      <c r="F1747" s="921" t="str">
        <f t="shared" si="76"/>
        <v/>
      </c>
      <c r="G1747" s="882" t="str">
        <f t="shared" si="77"/>
        <v/>
      </c>
      <c r="H1747" s="925"/>
      <c r="I1747" s="919"/>
      <c r="J1747" s="919"/>
      <c r="K1747" s="919"/>
      <c r="L1747" s="919"/>
      <c r="O1747" s="339"/>
      <c r="T1747" s="75"/>
      <c r="U1747" s="75"/>
      <c r="V1747" s="75"/>
      <c r="W1747" s="75"/>
      <c r="X1747" s="75"/>
      <c r="Y1747" s="340"/>
      <c r="Z1747" s="341"/>
      <c r="AA1747" s="341"/>
      <c r="AB1747" s="341"/>
      <c r="AC1747" s="340"/>
      <c r="AD1747" s="75"/>
      <c r="AE1747" s="75"/>
      <c r="AF1747" s="75"/>
      <c r="AG1747" s="344"/>
      <c r="AH1747" s="344"/>
      <c r="AI1747" s="344"/>
      <c r="AJ1747" s="97"/>
      <c r="AK1747" s="4"/>
    </row>
    <row r="1748" spans="2:37" s="113" customFormat="1" x14ac:dyDescent="0.4">
      <c r="B1748" s="80"/>
      <c r="C1748" s="563">
        <v>1335</v>
      </c>
      <c r="D1748" s="907"/>
      <c r="E1748" s="906"/>
      <c r="F1748" s="921" t="str">
        <f t="shared" si="76"/>
        <v/>
      </c>
      <c r="G1748" s="882" t="str">
        <f t="shared" si="77"/>
        <v/>
      </c>
      <c r="H1748" s="925"/>
      <c r="I1748" s="919"/>
      <c r="J1748" s="919"/>
      <c r="K1748" s="919"/>
      <c r="L1748" s="919"/>
      <c r="O1748" s="339"/>
      <c r="T1748" s="75"/>
      <c r="U1748" s="75"/>
      <c r="V1748" s="75"/>
      <c r="W1748" s="75"/>
      <c r="X1748" s="75"/>
      <c r="Y1748" s="340"/>
      <c r="Z1748" s="341"/>
      <c r="AA1748" s="341"/>
      <c r="AB1748" s="341"/>
      <c r="AC1748" s="340"/>
      <c r="AD1748" s="75"/>
      <c r="AE1748" s="75"/>
      <c r="AF1748" s="75"/>
      <c r="AG1748" s="344"/>
      <c r="AH1748" s="344"/>
      <c r="AI1748" s="344"/>
      <c r="AJ1748" s="97"/>
      <c r="AK1748" s="4"/>
    </row>
    <row r="1749" spans="2:37" s="113" customFormat="1" x14ac:dyDescent="0.4">
      <c r="B1749" s="80"/>
      <c r="C1749" s="563">
        <v>1336</v>
      </c>
      <c r="D1749" s="907"/>
      <c r="E1749" s="906"/>
      <c r="F1749" s="921" t="str">
        <f t="shared" si="76"/>
        <v/>
      </c>
      <c r="G1749" s="882" t="str">
        <f t="shared" si="77"/>
        <v/>
      </c>
      <c r="H1749" s="925"/>
      <c r="I1749" s="919"/>
      <c r="J1749" s="919"/>
      <c r="K1749" s="919"/>
      <c r="L1749" s="919"/>
      <c r="O1749" s="339"/>
      <c r="T1749" s="75"/>
      <c r="U1749" s="75"/>
      <c r="V1749" s="75"/>
      <c r="W1749" s="75"/>
      <c r="X1749" s="75"/>
      <c r="Y1749" s="340"/>
      <c r="Z1749" s="341"/>
      <c r="AA1749" s="341"/>
      <c r="AB1749" s="341"/>
      <c r="AC1749" s="340"/>
      <c r="AD1749" s="75"/>
      <c r="AE1749" s="75"/>
      <c r="AF1749" s="75"/>
      <c r="AG1749" s="344"/>
      <c r="AH1749" s="344"/>
      <c r="AI1749" s="344"/>
      <c r="AJ1749" s="97"/>
      <c r="AK1749" s="4"/>
    </row>
    <row r="1750" spans="2:37" s="113" customFormat="1" x14ac:dyDescent="0.4">
      <c r="B1750" s="80"/>
      <c r="C1750" s="563">
        <v>1337</v>
      </c>
      <c r="D1750" s="907"/>
      <c r="E1750" s="906"/>
      <c r="F1750" s="921" t="str">
        <f t="shared" si="76"/>
        <v/>
      </c>
      <c r="G1750" s="882" t="str">
        <f t="shared" si="77"/>
        <v/>
      </c>
      <c r="H1750" s="925"/>
      <c r="I1750" s="919"/>
      <c r="J1750" s="919"/>
      <c r="K1750" s="919"/>
      <c r="L1750" s="919"/>
      <c r="O1750" s="339"/>
      <c r="T1750" s="75"/>
      <c r="U1750" s="75"/>
      <c r="V1750" s="75"/>
      <c r="W1750" s="75"/>
      <c r="X1750" s="75"/>
      <c r="Y1750" s="340"/>
      <c r="Z1750" s="341"/>
      <c r="AA1750" s="341"/>
      <c r="AB1750" s="341"/>
      <c r="AC1750" s="340"/>
      <c r="AD1750" s="75"/>
      <c r="AE1750" s="75"/>
      <c r="AF1750" s="75"/>
      <c r="AG1750" s="344"/>
      <c r="AH1750" s="344"/>
      <c r="AI1750" s="344"/>
      <c r="AJ1750" s="97"/>
      <c r="AK1750" s="4"/>
    </row>
    <row r="1751" spans="2:37" s="113" customFormat="1" x14ac:dyDescent="0.4">
      <c r="B1751" s="80"/>
      <c r="C1751" s="563">
        <v>1338</v>
      </c>
      <c r="D1751" s="907"/>
      <c r="E1751" s="906"/>
      <c r="F1751" s="921" t="str">
        <f t="shared" si="76"/>
        <v/>
      </c>
      <c r="G1751" s="882" t="str">
        <f t="shared" si="77"/>
        <v/>
      </c>
      <c r="H1751" s="925"/>
      <c r="I1751" s="919"/>
      <c r="J1751" s="919"/>
      <c r="K1751" s="919"/>
      <c r="L1751" s="919"/>
      <c r="O1751" s="339"/>
      <c r="T1751" s="75"/>
      <c r="U1751" s="75"/>
      <c r="V1751" s="75"/>
      <c r="W1751" s="75"/>
      <c r="X1751" s="75"/>
      <c r="Y1751" s="340"/>
      <c r="Z1751" s="341"/>
      <c r="AA1751" s="341"/>
      <c r="AB1751" s="341"/>
      <c r="AC1751" s="340"/>
      <c r="AD1751" s="75"/>
      <c r="AE1751" s="75"/>
      <c r="AF1751" s="75"/>
      <c r="AG1751" s="344"/>
      <c r="AH1751" s="344"/>
      <c r="AI1751" s="344"/>
      <c r="AJ1751" s="97"/>
      <c r="AK1751" s="4"/>
    </row>
    <row r="1752" spans="2:37" s="113" customFormat="1" x14ac:dyDescent="0.4">
      <c r="B1752" s="80"/>
      <c r="C1752" s="563">
        <v>1339</v>
      </c>
      <c r="D1752" s="907"/>
      <c r="E1752" s="906"/>
      <c r="F1752" s="921" t="str">
        <f t="shared" si="76"/>
        <v/>
      </c>
      <c r="G1752" s="882" t="str">
        <f t="shared" si="77"/>
        <v/>
      </c>
      <c r="H1752" s="925"/>
      <c r="I1752" s="919"/>
      <c r="J1752" s="919"/>
      <c r="K1752" s="919"/>
      <c r="L1752" s="919"/>
      <c r="O1752" s="339"/>
      <c r="T1752" s="75"/>
      <c r="U1752" s="75"/>
      <c r="V1752" s="75"/>
      <c r="W1752" s="75"/>
      <c r="X1752" s="75"/>
      <c r="Y1752" s="340"/>
      <c r="Z1752" s="341"/>
      <c r="AA1752" s="341"/>
      <c r="AB1752" s="341"/>
      <c r="AC1752" s="340"/>
      <c r="AD1752" s="75"/>
      <c r="AE1752" s="75"/>
      <c r="AF1752" s="75"/>
      <c r="AG1752" s="344"/>
      <c r="AH1752" s="344"/>
      <c r="AI1752" s="344"/>
      <c r="AJ1752" s="97"/>
      <c r="AK1752" s="4"/>
    </row>
    <row r="1753" spans="2:37" s="113" customFormat="1" x14ac:dyDescent="0.4">
      <c r="B1753" s="80"/>
      <c r="C1753" s="563">
        <v>1340</v>
      </c>
      <c r="D1753" s="907"/>
      <c r="E1753" s="906"/>
      <c r="F1753" s="921" t="str">
        <f t="shared" si="76"/>
        <v/>
      </c>
      <c r="G1753" s="882" t="str">
        <f t="shared" si="77"/>
        <v/>
      </c>
      <c r="H1753" s="925"/>
      <c r="I1753" s="919"/>
      <c r="J1753" s="919"/>
      <c r="K1753" s="919"/>
      <c r="L1753" s="919"/>
      <c r="O1753" s="339"/>
      <c r="T1753" s="75"/>
      <c r="U1753" s="75"/>
      <c r="V1753" s="75"/>
      <c r="W1753" s="75"/>
      <c r="X1753" s="75"/>
      <c r="Y1753" s="340"/>
      <c r="Z1753" s="341"/>
      <c r="AA1753" s="341"/>
      <c r="AB1753" s="341"/>
      <c r="AC1753" s="340"/>
      <c r="AD1753" s="75"/>
      <c r="AE1753" s="75"/>
      <c r="AF1753" s="75"/>
      <c r="AG1753" s="344"/>
      <c r="AH1753" s="344"/>
      <c r="AI1753" s="344"/>
      <c r="AJ1753" s="97"/>
      <c r="AK1753" s="4"/>
    </row>
    <row r="1754" spans="2:37" s="113" customFormat="1" x14ac:dyDescent="0.4">
      <c r="B1754" s="80"/>
      <c r="C1754" s="563">
        <v>1341</v>
      </c>
      <c r="D1754" s="907"/>
      <c r="E1754" s="906"/>
      <c r="F1754" s="921" t="str">
        <f t="shared" si="76"/>
        <v/>
      </c>
      <c r="G1754" s="882" t="str">
        <f t="shared" si="77"/>
        <v/>
      </c>
      <c r="H1754" s="925"/>
      <c r="I1754" s="919"/>
      <c r="J1754" s="919"/>
      <c r="K1754" s="919"/>
      <c r="L1754" s="919"/>
      <c r="O1754" s="339"/>
      <c r="T1754" s="75"/>
      <c r="U1754" s="75"/>
      <c r="V1754" s="75"/>
      <c r="W1754" s="75"/>
      <c r="X1754" s="75"/>
      <c r="Y1754" s="340"/>
      <c r="Z1754" s="341"/>
      <c r="AA1754" s="341"/>
      <c r="AB1754" s="341"/>
      <c r="AC1754" s="340"/>
      <c r="AD1754" s="75"/>
      <c r="AE1754" s="75"/>
      <c r="AF1754" s="75"/>
      <c r="AG1754" s="344"/>
      <c r="AH1754" s="344"/>
      <c r="AI1754" s="344"/>
      <c r="AJ1754" s="97"/>
      <c r="AK1754" s="4"/>
    </row>
    <row r="1755" spans="2:37" s="113" customFormat="1" x14ac:dyDescent="0.4">
      <c r="B1755" s="80"/>
      <c r="C1755" s="563">
        <v>1342</v>
      </c>
      <c r="D1755" s="907"/>
      <c r="E1755" s="906"/>
      <c r="F1755" s="921" t="str">
        <f t="shared" si="76"/>
        <v/>
      </c>
      <c r="G1755" s="882" t="str">
        <f t="shared" si="77"/>
        <v/>
      </c>
      <c r="H1755" s="925"/>
      <c r="I1755" s="919"/>
      <c r="J1755" s="919"/>
      <c r="K1755" s="919"/>
      <c r="L1755" s="919"/>
      <c r="O1755" s="339"/>
      <c r="T1755" s="75"/>
      <c r="U1755" s="75"/>
      <c r="V1755" s="75"/>
      <c r="W1755" s="75"/>
      <c r="X1755" s="75"/>
      <c r="Y1755" s="340"/>
      <c r="Z1755" s="341"/>
      <c r="AA1755" s="341"/>
      <c r="AB1755" s="341"/>
      <c r="AC1755" s="340"/>
      <c r="AD1755" s="75"/>
      <c r="AE1755" s="75"/>
      <c r="AF1755" s="75"/>
      <c r="AG1755" s="344"/>
      <c r="AH1755" s="344"/>
      <c r="AI1755" s="344"/>
      <c r="AJ1755" s="97"/>
      <c r="AK1755" s="4"/>
    </row>
    <row r="1756" spans="2:37" s="113" customFormat="1" x14ac:dyDescent="0.4">
      <c r="B1756" s="80"/>
      <c r="C1756" s="563">
        <v>1343</v>
      </c>
      <c r="D1756" s="907"/>
      <c r="E1756" s="906"/>
      <c r="F1756" s="921" t="str">
        <f t="shared" si="76"/>
        <v/>
      </c>
      <c r="G1756" s="882" t="str">
        <f t="shared" si="77"/>
        <v/>
      </c>
      <c r="H1756" s="925"/>
      <c r="I1756" s="919"/>
      <c r="J1756" s="919"/>
      <c r="K1756" s="919"/>
      <c r="L1756" s="919"/>
      <c r="O1756" s="339"/>
      <c r="T1756" s="75"/>
      <c r="U1756" s="75"/>
      <c r="V1756" s="75"/>
      <c r="W1756" s="75"/>
      <c r="X1756" s="75"/>
      <c r="Y1756" s="340"/>
      <c r="Z1756" s="341"/>
      <c r="AA1756" s="341"/>
      <c r="AB1756" s="341"/>
      <c r="AC1756" s="340"/>
      <c r="AD1756" s="75"/>
      <c r="AE1756" s="75"/>
      <c r="AF1756" s="75"/>
      <c r="AG1756" s="344"/>
      <c r="AH1756" s="344"/>
      <c r="AI1756" s="344"/>
      <c r="AJ1756" s="97"/>
      <c r="AK1756" s="4"/>
    </row>
    <row r="1757" spans="2:37" s="113" customFormat="1" x14ac:dyDescent="0.4">
      <c r="B1757" s="80"/>
      <c r="C1757" s="563">
        <v>1344</v>
      </c>
      <c r="D1757" s="907"/>
      <c r="E1757" s="906"/>
      <c r="F1757" s="921" t="str">
        <f t="shared" si="76"/>
        <v/>
      </c>
      <c r="G1757" s="882" t="str">
        <f t="shared" si="77"/>
        <v/>
      </c>
      <c r="H1757" s="925"/>
      <c r="I1757" s="919"/>
      <c r="J1757" s="919"/>
      <c r="K1757" s="919"/>
      <c r="L1757" s="919"/>
      <c r="O1757" s="339"/>
      <c r="T1757" s="75"/>
      <c r="U1757" s="75"/>
      <c r="V1757" s="75"/>
      <c r="W1757" s="75"/>
      <c r="X1757" s="75"/>
      <c r="Y1757" s="340"/>
      <c r="Z1757" s="341"/>
      <c r="AA1757" s="341"/>
      <c r="AB1757" s="341"/>
      <c r="AC1757" s="340"/>
      <c r="AD1757" s="75"/>
      <c r="AE1757" s="75"/>
      <c r="AF1757" s="75"/>
      <c r="AG1757" s="344"/>
      <c r="AH1757" s="344"/>
      <c r="AI1757" s="344"/>
      <c r="AJ1757" s="97"/>
      <c r="AK1757" s="4"/>
    </row>
    <row r="1758" spans="2:37" s="113" customFormat="1" x14ac:dyDescent="0.4">
      <c r="B1758" s="80"/>
      <c r="C1758" s="563">
        <v>1345</v>
      </c>
      <c r="D1758" s="907"/>
      <c r="E1758" s="906"/>
      <c r="F1758" s="921" t="str">
        <f t="shared" ref="F1758:F1821" si="78">IF($D$30="","",IF(OR(
AND(C1758&gt;=0,C1758&lt;=$D$32),
AND(C1758&gt;=$E$30,C1758&lt;=$E$32),
AND(C1758&gt;=$F$30,C1758&lt;=$F$32),
AND(C1758&gt;=$G$30,C1758&lt;=$G$32),
AND(C1758&gt;=$H$30,C1758&lt;=$H$32),
AND(C1758&gt;=$I$30,C1758&lt;=$I$32),
AND(C1758&gt;=$J$30,C1758&lt;=$J$32),
AND(C1758&gt;=$K$30,C1758&lt;=$K$32),
AND(C1758&gt;=$L$30,C1758&lt;=$L$32),
AND(C1758&gt;=$M$30,C1758&lt;=$M$32,$M$32&lt;&gt;""),
AND(C1758&gt;=$N$30,C1758&lt;=$N$32,$N$32&lt;&gt;""),
AND(C1758&gt;=$O$30,C1758&lt;=$O$32,$O$32&lt;&gt;""),
AND(C1758&gt;=$P$30,C1758&lt;=$P$32,$P$32&lt;&gt;""),
AND(C1758&gt;=$Q$30,C1758&lt;=$Q$32,$Q$32&lt;&gt;"")
),"ON","OFF"))</f>
        <v/>
      </c>
      <c r="G1758" s="882" t="str">
        <f t="shared" si="77"/>
        <v/>
      </c>
      <c r="H1758" s="925"/>
      <c r="I1758" s="919"/>
      <c r="J1758" s="919"/>
      <c r="K1758" s="919"/>
      <c r="L1758" s="919"/>
      <c r="O1758" s="339"/>
      <c r="T1758" s="75"/>
      <c r="U1758" s="75"/>
      <c r="V1758" s="75"/>
      <c r="W1758" s="75"/>
      <c r="X1758" s="75"/>
      <c r="Y1758" s="340"/>
      <c r="Z1758" s="341"/>
      <c r="AA1758" s="341"/>
      <c r="AB1758" s="341"/>
      <c r="AC1758" s="340"/>
      <c r="AD1758" s="75"/>
      <c r="AE1758" s="75"/>
      <c r="AF1758" s="75"/>
      <c r="AG1758" s="344"/>
      <c r="AH1758" s="344"/>
      <c r="AI1758" s="344"/>
      <c r="AJ1758" s="97"/>
      <c r="AK1758" s="4"/>
    </row>
    <row r="1759" spans="2:37" s="113" customFormat="1" x14ac:dyDescent="0.4">
      <c r="B1759" s="80"/>
      <c r="C1759" s="563">
        <v>1346</v>
      </c>
      <c r="D1759" s="907"/>
      <c r="E1759" s="906"/>
      <c r="F1759" s="921" t="str">
        <f t="shared" si="78"/>
        <v/>
      </c>
      <c r="G1759" s="882" t="str">
        <f t="shared" ref="G1759:G1822" si="79">IF(OR($D$47="",$D$48=""),"",IF(OR(
AND(C1759&gt;=$D$47,C1759&lt;=$D$48),
AND(C1759&gt;=$E$47,C1759&lt;=$E$48),
AND(C1759&gt;=$F$47,C1759&lt;=$F$48),
AND(C1759&gt;=$G$47,C1759&lt;=$G$48),
AND(C1759&gt;=$H$47,C1759&lt;=$H$48),
AND(C1759&gt;=$I$47,C1759&lt;=$I$48),
AND(C1759&gt;=$J$47,C1759&lt;=$J$48),
AND(C1759&gt;=$K$47,C1759&lt;=$K$48),
AND(C1759&gt;=$L$47,C1759&lt;=$L$48),
AND(C1759&gt;=$M$47,C1759&lt;=$M$48),
AND(C1759&gt;=$N$47,C1759&lt;=$N$48),
AND(C1759&gt;=$O$47,C1759&lt;=$O$48),
AND(C1759&gt;=$P$47,C1759&lt;=$P$48),
AND(C1759&gt;=$Q$47,C1759&lt;=$Q$48),
AND(C1759&gt;=$R$47,C1759&lt;=$R$48),
AND(C1759&gt;=$S$47,C1759&lt;=$S$48),
AND(C1759&gt;=$T$47,C1759&lt;=$T$48),
AND(C1759&gt;=$U$47,C1759&lt;=$U$48),
AND(C1759&gt;=$V$47,C1759&lt;=$V$48),
AND(C1759&gt;=$W$47,C1759&lt;=$W$48),
AND(C1759&gt;=$X$47,C1759&lt;=$X$48),
AND(C1759&gt;=$Y$47,C1759&lt;=$Y$48),
AND(C1759&gt;=$Z$47,C1759&lt;=$Z$48),
AND(C1759&gt;=$AA$47,C1759&lt;=$AA$48),
AND(C1759&gt;=$AB$47,C1759&lt;=$AB$48),
AND(C1759&gt;=$AC$47,C1759&lt;=$AC$48),
AND(C1759&gt;=$AD$47,C1759&lt;=$AD$48),
AND(C1759&gt;=$AE$47,C1759&lt;=$AE$48),
AND(C1759&gt;=$AF$47,C1759&lt;=$AF$48),
AND(C1759&gt;=$AG$47,C1759&lt;=$AG$48)
),"ON","OFF"))</f>
        <v/>
      </c>
      <c r="H1759" s="925"/>
      <c r="I1759" s="919"/>
      <c r="J1759" s="919"/>
      <c r="K1759" s="919"/>
      <c r="L1759" s="919"/>
      <c r="O1759" s="339"/>
      <c r="T1759" s="75"/>
      <c r="U1759" s="75"/>
      <c r="V1759" s="75"/>
      <c r="W1759" s="75"/>
      <c r="X1759" s="75"/>
      <c r="Y1759" s="340"/>
      <c r="Z1759" s="341"/>
      <c r="AA1759" s="341"/>
      <c r="AB1759" s="341"/>
      <c r="AC1759" s="340"/>
      <c r="AD1759" s="75"/>
      <c r="AE1759" s="75"/>
      <c r="AF1759" s="75"/>
      <c r="AG1759" s="344"/>
      <c r="AH1759" s="344"/>
      <c r="AI1759" s="344"/>
      <c r="AJ1759" s="97"/>
      <c r="AK1759" s="4"/>
    </row>
    <row r="1760" spans="2:37" s="113" customFormat="1" x14ac:dyDescent="0.4">
      <c r="B1760" s="80"/>
      <c r="C1760" s="563">
        <v>1347</v>
      </c>
      <c r="D1760" s="907"/>
      <c r="E1760" s="906"/>
      <c r="F1760" s="921" t="str">
        <f t="shared" si="78"/>
        <v/>
      </c>
      <c r="G1760" s="882" t="str">
        <f t="shared" si="79"/>
        <v/>
      </c>
      <c r="H1760" s="925"/>
      <c r="I1760" s="919"/>
      <c r="J1760" s="919"/>
      <c r="K1760" s="919"/>
      <c r="L1760" s="919"/>
      <c r="O1760" s="339"/>
      <c r="T1760" s="75"/>
      <c r="U1760" s="75"/>
      <c r="V1760" s="75"/>
      <c r="W1760" s="75"/>
      <c r="X1760" s="75"/>
      <c r="Y1760" s="340"/>
      <c r="Z1760" s="341"/>
      <c r="AA1760" s="341"/>
      <c r="AB1760" s="341"/>
      <c r="AC1760" s="340"/>
      <c r="AD1760" s="75"/>
      <c r="AE1760" s="75"/>
      <c r="AF1760" s="75"/>
      <c r="AG1760" s="344"/>
      <c r="AH1760" s="344"/>
      <c r="AI1760" s="344"/>
      <c r="AJ1760" s="97"/>
      <c r="AK1760" s="4"/>
    </row>
    <row r="1761" spans="2:37" s="113" customFormat="1" x14ac:dyDescent="0.4">
      <c r="B1761" s="80"/>
      <c r="C1761" s="563">
        <v>1348</v>
      </c>
      <c r="D1761" s="907"/>
      <c r="E1761" s="906"/>
      <c r="F1761" s="921" t="str">
        <f t="shared" si="78"/>
        <v/>
      </c>
      <c r="G1761" s="882" t="str">
        <f t="shared" si="79"/>
        <v/>
      </c>
      <c r="H1761" s="925"/>
      <c r="I1761" s="919"/>
      <c r="J1761" s="919"/>
      <c r="K1761" s="919"/>
      <c r="L1761" s="919"/>
      <c r="O1761" s="339"/>
      <c r="T1761" s="75"/>
      <c r="U1761" s="75"/>
      <c r="V1761" s="75"/>
      <c r="W1761" s="75"/>
      <c r="X1761" s="75"/>
      <c r="Y1761" s="340"/>
      <c r="Z1761" s="341"/>
      <c r="AA1761" s="341"/>
      <c r="AB1761" s="341"/>
      <c r="AC1761" s="340"/>
      <c r="AD1761" s="75"/>
      <c r="AE1761" s="75"/>
      <c r="AF1761" s="75"/>
      <c r="AG1761" s="344"/>
      <c r="AH1761" s="344"/>
      <c r="AI1761" s="344"/>
      <c r="AJ1761" s="97"/>
      <c r="AK1761" s="4"/>
    </row>
    <row r="1762" spans="2:37" s="113" customFormat="1" x14ac:dyDescent="0.4">
      <c r="B1762" s="80"/>
      <c r="C1762" s="563">
        <v>1349</v>
      </c>
      <c r="D1762" s="907"/>
      <c r="E1762" s="906"/>
      <c r="F1762" s="921" t="str">
        <f t="shared" si="78"/>
        <v/>
      </c>
      <c r="G1762" s="882" t="str">
        <f t="shared" si="79"/>
        <v/>
      </c>
      <c r="H1762" s="925"/>
      <c r="I1762" s="919"/>
      <c r="J1762" s="919"/>
      <c r="K1762" s="919"/>
      <c r="L1762" s="919"/>
      <c r="O1762" s="339"/>
      <c r="T1762" s="75"/>
      <c r="U1762" s="75"/>
      <c r="V1762" s="75"/>
      <c r="W1762" s="75"/>
      <c r="X1762" s="75"/>
      <c r="Y1762" s="340"/>
      <c r="Z1762" s="341"/>
      <c r="AA1762" s="341"/>
      <c r="AB1762" s="341"/>
      <c r="AC1762" s="340"/>
      <c r="AD1762" s="75"/>
      <c r="AE1762" s="75"/>
      <c r="AF1762" s="75"/>
      <c r="AG1762" s="344"/>
      <c r="AH1762" s="344"/>
      <c r="AI1762" s="344"/>
      <c r="AJ1762" s="97"/>
      <c r="AK1762" s="4"/>
    </row>
    <row r="1763" spans="2:37" s="113" customFormat="1" x14ac:dyDescent="0.4">
      <c r="B1763" s="80"/>
      <c r="C1763" s="563">
        <v>1350</v>
      </c>
      <c r="D1763" s="907"/>
      <c r="E1763" s="906"/>
      <c r="F1763" s="921" t="str">
        <f t="shared" si="78"/>
        <v/>
      </c>
      <c r="G1763" s="882" t="str">
        <f t="shared" si="79"/>
        <v/>
      </c>
      <c r="H1763" s="925"/>
      <c r="I1763" s="919"/>
      <c r="J1763" s="919"/>
      <c r="K1763" s="919"/>
      <c r="L1763" s="919"/>
      <c r="O1763" s="339"/>
      <c r="T1763" s="75"/>
      <c r="U1763" s="75"/>
      <c r="V1763" s="75"/>
      <c r="W1763" s="75"/>
      <c r="X1763" s="75"/>
      <c r="Y1763" s="340"/>
      <c r="Z1763" s="341"/>
      <c r="AA1763" s="341"/>
      <c r="AB1763" s="341"/>
      <c r="AC1763" s="340"/>
      <c r="AD1763" s="75"/>
      <c r="AE1763" s="75"/>
      <c r="AF1763" s="75"/>
      <c r="AG1763" s="344"/>
      <c r="AH1763" s="344"/>
      <c r="AI1763" s="344"/>
      <c r="AJ1763" s="97"/>
      <c r="AK1763" s="4"/>
    </row>
    <row r="1764" spans="2:37" s="113" customFormat="1" x14ac:dyDescent="0.4">
      <c r="B1764" s="80"/>
      <c r="C1764" s="563">
        <v>1351</v>
      </c>
      <c r="D1764" s="907"/>
      <c r="E1764" s="906"/>
      <c r="F1764" s="921" t="str">
        <f t="shared" si="78"/>
        <v/>
      </c>
      <c r="G1764" s="882" t="str">
        <f t="shared" si="79"/>
        <v/>
      </c>
      <c r="H1764" s="925"/>
      <c r="I1764" s="919"/>
      <c r="J1764" s="919"/>
      <c r="K1764" s="919"/>
      <c r="L1764" s="919"/>
      <c r="O1764" s="339"/>
      <c r="T1764" s="75"/>
      <c r="U1764" s="75"/>
      <c r="V1764" s="75"/>
      <c r="W1764" s="75"/>
      <c r="X1764" s="75"/>
      <c r="Y1764" s="340"/>
      <c r="Z1764" s="341"/>
      <c r="AA1764" s="341"/>
      <c r="AB1764" s="341"/>
      <c r="AC1764" s="340"/>
      <c r="AD1764" s="75"/>
      <c r="AE1764" s="75"/>
      <c r="AF1764" s="75"/>
      <c r="AG1764" s="344"/>
      <c r="AH1764" s="344"/>
      <c r="AI1764" s="344"/>
      <c r="AJ1764" s="97"/>
      <c r="AK1764" s="4"/>
    </row>
    <row r="1765" spans="2:37" s="113" customFormat="1" x14ac:dyDescent="0.4">
      <c r="B1765" s="80"/>
      <c r="C1765" s="563">
        <v>1352</v>
      </c>
      <c r="D1765" s="907"/>
      <c r="E1765" s="906"/>
      <c r="F1765" s="921" t="str">
        <f t="shared" si="78"/>
        <v/>
      </c>
      <c r="G1765" s="882" t="str">
        <f t="shared" si="79"/>
        <v/>
      </c>
      <c r="H1765" s="925"/>
      <c r="I1765" s="919"/>
      <c r="J1765" s="919"/>
      <c r="K1765" s="919"/>
      <c r="L1765" s="919"/>
      <c r="O1765" s="339"/>
      <c r="T1765" s="75"/>
      <c r="U1765" s="75"/>
      <c r="V1765" s="75"/>
      <c r="W1765" s="75"/>
      <c r="X1765" s="75"/>
      <c r="Y1765" s="340"/>
      <c r="Z1765" s="341"/>
      <c r="AA1765" s="341"/>
      <c r="AB1765" s="341"/>
      <c r="AC1765" s="340"/>
      <c r="AD1765" s="75"/>
      <c r="AE1765" s="75"/>
      <c r="AF1765" s="75"/>
      <c r="AG1765" s="344"/>
      <c r="AH1765" s="344"/>
      <c r="AI1765" s="344"/>
      <c r="AJ1765" s="97"/>
      <c r="AK1765" s="4"/>
    </row>
    <row r="1766" spans="2:37" s="113" customFormat="1" x14ac:dyDescent="0.4">
      <c r="B1766" s="80"/>
      <c r="C1766" s="563">
        <v>1353</v>
      </c>
      <c r="D1766" s="907"/>
      <c r="E1766" s="906"/>
      <c r="F1766" s="921" t="str">
        <f t="shared" si="78"/>
        <v/>
      </c>
      <c r="G1766" s="882" t="str">
        <f t="shared" si="79"/>
        <v/>
      </c>
      <c r="H1766" s="925"/>
      <c r="I1766" s="919"/>
      <c r="J1766" s="919"/>
      <c r="K1766" s="919"/>
      <c r="L1766" s="919"/>
      <c r="O1766" s="339"/>
      <c r="T1766" s="75"/>
      <c r="U1766" s="75"/>
      <c r="V1766" s="75"/>
      <c r="W1766" s="75"/>
      <c r="X1766" s="75"/>
      <c r="Y1766" s="340"/>
      <c r="Z1766" s="341"/>
      <c r="AA1766" s="341"/>
      <c r="AB1766" s="341"/>
      <c r="AC1766" s="340"/>
      <c r="AD1766" s="75"/>
      <c r="AE1766" s="75"/>
      <c r="AF1766" s="75"/>
      <c r="AG1766" s="344"/>
      <c r="AH1766" s="344"/>
      <c r="AI1766" s="344"/>
      <c r="AJ1766" s="97"/>
      <c r="AK1766" s="4"/>
    </row>
    <row r="1767" spans="2:37" s="113" customFormat="1" x14ac:dyDescent="0.4">
      <c r="B1767" s="80"/>
      <c r="C1767" s="563">
        <v>1354</v>
      </c>
      <c r="D1767" s="907"/>
      <c r="E1767" s="906"/>
      <c r="F1767" s="921" t="str">
        <f t="shared" si="78"/>
        <v/>
      </c>
      <c r="G1767" s="882" t="str">
        <f t="shared" si="79"/>
        <v/>
      </c>
      <c r="H1767" s="925"/>
      <c r="I1767" s="919"/>
      <c r="J1767" s="919"/>
      <c r="K1767" s="919"/>
      <c r="L1767" s="919"/>
      <c r="O1767" s="339"/>
      <c r="T1767" s="75"/>
      <c r="U1767" s="75"/>
      <c r="V1767" s="75"/>
      <c r="W1767" s="75"/>
      <c r="X1767" s="75"/>
      <c r="Y1767" s="340"/>
      <c r="Z1767" s="341"/>
      <c r="AA1767" s="341"/>
      <c r="AB1767" s="341"/>
      <c r="AC1767" s="340"/>
      <c r="AD1767" s="75"/>
      <c r="AE1767" s="75"/>
      <c r="AF1767" s="75"/>
      <c r="AG1767" s="344"/>
      <c r="AH1767" s="344"/>
      <c r="AI1767" s="344"/>
      <c r="AJ1767" s="97"/>
      <c r="AK1767" s="4"/>
    </row>
    <row r="1768" spans="2:37" s="113" customFormat="1" x14ac:dyDescent="0.4">
      <c r="B1768" s="80"/>
      <c r="C1768" s="563">
        <v>1355</v>
      </c>
      <c r="D1768" s="907"/>
      <c r="E1768" s="906"/>
      <c r="F1768" s="921" t="str">
        <f t="shared" si="78"/>
        <v/>
      </c>
      <c r="G1768" s="882" t="str">
        <f t="shared" si="79"/>
        <v/>
      </c>
      <c r="H1768" s="925"/>
      <c r="I1768" s="919"/>
      <c r="J1768" s="919"/>
      <c r="K1768" s="919"/>
      <c r="L1768" s="919"/>
      <c r="O1768" s="339"/>
      <c r="T1768" s="75"/>
      <c r="U1768" s="75"/>
      <c r="V1768" s="75"/>
      <c r="W1768" s="75"/>
      <c r="X1768" s="75"/>
      <c r="Y1768" s="340"/>
      <c r="Z1768" s="341"/>
      <c r="AA1768" s="341"/>
      <c r="AB1768" s="341"/>
      <c r="AC1768" s="340"/>
      <c r="AD1768" s="75"/>
      <c r="AE1768" s="75"/>
      <c r="AF1768" s="75"/>
      <c r="AG1768" s="344"/>
      <c r="AH1768" s="344"/>
      <c r="AI1768" s="344"/>
      <c r="AJ1768" s="97"/>
      <c r="AK1768" s="4"/>
    </row>
    <row r="1769" spans="2:37" s="113" customFormat="1" x14ac:dyDescent="0.4">
      <c r="B1769" s="80"/>
      <c r="C1769" s="563">
        <v>1356</v>
      </c>
      <c r="D1769" s="907"/>
      <c r="E1769" s="906"/>
      <c r="F1769" s="921" t="str">
        <f t="shared" si="78"/>
        <v/>
      </c>
      <c r="G1769" s="882" t="str">
        <f t="shared" si="79"/>
        <v/>
      </c>
      <c r="H1769" s="925"/>
      <c r="I1769" s="919"/>
      <c r="J1769" s="919"/>
      <c r="K1769" s="919"/>
      <c r="L1769" s="919"/>
      <c r="O1769" s="339"/>
      <c r="T1769" s="75"/>
      <c r="U1769" s="75"/>
      <c r="V1769" s="75"/>
      <c r="W1769" s="75"/>
      <c r="X1769" s="75"/>
      <c r="Y1769" s="340"/>
      <c r="Z1769" s="341"/>
      <c r="AA1769" s="341"/>
      <c r="AB1769" s="341"/>
      <c r="AC1769" s="340"/>
      <c r="AD1769" s="75"/>
      <c r="AE1769" s="75"/>
      <c r="AF1769" s="75"/>
      <c r="AG1769" s="344"/>
      <c r="AH1769" s="344"/>
      <c r="AI1769" s="344"/>
      <c r="AJ1769" s="97"/>
      <c r="AK1769" s="4"/>
    </row>
    <row r="1770" spans="2:37" s="113" customFormat="1" x14ac:dyDescent="0.4">
      <c r="B1770" s="80"/>
      <c r="C1770" s="563">
        <v>1357</v>
      </c>
      <c r="D1770" s="907"/>
      <c r="E1770" s="906"/>
      <c r="F1770" s="921" t="str">
        <f t="shared" si="78"/>
        <v/>
      </c>
      <c r="G1770" s="882" t="str">
        <f t="shared" si="79"/>
        <v/>
      </c>
      <c r="H1770" s="925"/>
      <c r="I1770" s="919"/>
      <c r="J1770" s="919"/>
      <c r="K1770" s="919"/>
      <c r="L1770" s="919"/>
      <c r="O1770" s="339"/>
      <c r="T1770" s="75"/>
      <c r="U1770" s="75"/>
      <c r="V1770" s="75"/>
      <c r="W1770" s="75"/>
      <c r="X1770" s="75"/>
      <c r="Y1770" s="340"/>
      <c r="Z1770" s="341"/>
      <c r="AA1770" s="341"/>
      <c r="AB1770" s="341"/>
      <c r="AC1770" s="340"/>
      <c r="AD1770" s="75"/>
      <c r="AE1770" s="75"/>
      <c r="AF1770" s="75"/>
      <c r="AG1770" s="344"/>
      <c r="AH1770" s="344"/>
      <c r="AI1770" s="344"/>
      <c r="AJ1770" s="97"/>
      <c r="AK1770" s="4"/>
    </row>
    <row r="1771" spans="2:37" s="113" customFormat="1" x14ac:dyDescent="0.4">
      <c r="B1771" s="80"/>
      <c r="C1771" s="563">
        <v>1358</v>
      </c>
      <c r="D1771" s="907"/>
      <c r="E1771" s="906"/>
      <c r="F1771" s="921" t="str">
        <f t="shared" si="78"/>
        <v/>
      </c>
      <c r="G1771" s="882" t="str">
        <f t="shared" si="79"/>
        <v/>
      </c>
      <c r="H1771" s="925"/>
      <c r="I1771" s="919"/>
      <c r="J1771" s="919"/>
      <c r="K1771" s="919"/>
      <c r="L1771" s="919"/>
      <c r="O1771" s="339"/>
      <c r="T1771" s="75"/>
      <c r="U1771" s="75"/>
      <c r="V1771" s="75"/>
      <c r="W1771" s="75"/>
      <c r="X1771" s="75"/>
      <c r="Y1771" s="340"/>
      <c r="Z1771" s="341"/>
      <c r="AA1771" s="341"/>
      <c r="AB1771" s="341"/>
      <c r="AC1771" s="340"/>
      <c r="AD1771" s="75"/>
      <c r="AE1771" s="75"/>
      <c r="AF1771" s="75"/>
      <c r="AG1771" s="344"/>
      <c r="AH1771" s="344"/>
      <c r="AI1771" s="344"/>
      <c r="AJ1771" s="97"/>
      <c r="AK1771" s="4"/>
    </row>
    <row r="1772" spans="2:37" s="113" customFormat="1" x14ac:dyDescent="0.4">
      <c r="B1772" s="80"/>
      <c r="C1772" s="563">
        <v>1359</v>
      </c>
      <c r="D1772" s="907"/>
      <c r="E1772" s="906"/>
      <c r="F1772" s="921" t="str">
        <f t="shared" si="78"/>
        <v/>
      </c>
      <c r="G1772" s="882" t="str">
        <f t="shared" si="79"/>
        <v/>
      </c>
      <c r="H1772" s="925"/>
      <c r="I1772" s="919"/>
      <c r="J1772" s="919"/>
      <c r="K1772" s="919"/>
      <c r="L1772" s="919"/>
      <c r="O1772" s="339"/>
      <c r="T1772" s="75"/>
      <c r="U1772" s="75"/>
      <c r="V1772" s="75"/>
      <c r="W1772" s="75"/>
      <c r="X1772" s="75"/>
      <c r="Y1772" s="340"/>
      <c r="Z1772" s="341"/>
      <c r="AA1772" s="341"/>
      <c r="AB1772" s="341"/>
      <c r="AC1772" s="340"/>
      <c r="AD1772" s="75"/>
      <c r="AE1772" s="75"/>
      <c r="AF1772" s="75"/>
      <c r="AG1772" s="344"/>
      <c r="AH1772" s="344"/>
      <c r="AI1772" s="344"/>
      <c r="AJ1772" s="97"/>
      <c r="AK1772" s="4"/>
    </row>
    <row r="1773" spans="2:37" s="113" customFormat="1" x14ac:dyDescent="0.4">
      <c r="B1773" s="80"/>
      <c r="C1773" s="563">
        <v>1360</v>
      </c>
      <c r="D1773" s="907"/>
      <c r="E1773" s="906"/>
      <c r="F1773" s="921" t="str">
        <f t="shared" si="78"/>
        <v/>
      </c>
      <c r="G1773" s="882" t="str">
        <f t="shared" si="79"/>
        <v/>
      </c>
      <c r="H1773" s="925"/>
      <c r="I1773" s="919"/>
      <c r="J1773" s="919"/>
      <c r="K1773" s="919"/>
      <c r="L1773" s="919"/>
      <c r="O1773" s="339"/>
      <c r="T1773" s="75"/>
      <c r="U1773" s="75"/>
      <c r="V1773" s="75"/>
      <c r="W1773" s="75"/>
      <c r="X1773" s="75"/>
      <c r="Y1773" s="340"/>
      <c r="Z1773" s="341"/>
      <c r="AA1773" s="341"/>
      <c r="AB1773" s="341"/>
      <c r="AC1773" s="340"/>
      <c r="AD1773" s="75"/>
      <c r="AE1773" s="75"/>
      <c r="AF1773" s="75"/>
      <c r="AG1773" s="344"/>
      <c r="AH1773" s="344"/>
      <c r="AI1773" s="344"/>
      <c r="AJ1773" s="97"/>
      <c r="AK1773" s="4"/>
    </row>
    <row r="1774" spans="2:37" s="113" customFormat="1" x14ac:dyDescent="0.4">
      <c r="B1774" s="80"/>
      <c r="C1774" s="563">
        <v>1361</v>
      </c>
      <c r="D1774" s="907"/>
      <c r="E1774" s="906"/>
      <c r="F1774" s="921" t="str">
        <f t="shared" si="78"/>
        <v/>
      </c>
      <c r="G1774" s="882" t="str">
        <f t="shared" si="79"/>
        <v/>
      </c>
      <c r="H1774" s="925"/>
      <c r="I1774" s="919"/>
      <c r="J1774" s="919"/>
      <c r="K1774" s="919"/>
      <c r="L1774" s="919"/>
      <c r="O1774" s="339"/>
      <c r="T1774" s="75"/>
      <c r="U1774" s="75"/>
      <c r="V1774" s="75"/>
      <c r="W1774" s="75"/>
      <c r="X1774" s="75"/>
      <c r="Y1774" s="340"/>
      <c r="Z1774" s="341"/>
      <c r="AA1774" s="341"/>
      <c r="AB1774" s="341"/>
      <c r="AC1774" s="340"/>
      <c r="AD1774" s="75"/>
      <c r="AE1774" s="75"/>
      <c r="AF1774" s="75"/>
      <c r="AG1774" s="344"/>
      <c r="AH1774" s="344"/>
      <c r="AI1774" s="344"/>
      <c r="AJ1774" s="97"/>
      <c r="AK1774" s="4"/>
    </row>
    <row r="1775" spans="2:37" s="113" customFormat="1" x14ac:dyDescent="0.4">
      <c r="B1775" s="80"/>
      <c r="C1775" s="563">
        <v>1362</v>
      </c>
      <c r="D1775" s="907"/>
      <c r="E1775" s="906"/>
      <c r="F1775" s="921" t="str">
        <f t="shared" si="78"/>
        <v/>
      </c>
      <c r="G1775" s="882" t="str">
        <f t="shared" si="79"/>
        <v/>
      </c>
      <c r="H1775" s="925"/>
      <c r="I1775" s="919"/>
      <c r="J1775" s="919"/>
      <c r="K1775" s="919"/>
      <c r="L1775" s="919"/>
      <c r="O1775" s="339"/>
      <c r="T1775" s="75"/>
      <c r="U1775" s="75"/>
      <c r="V1775" s="75"/>
      <c r="W1775" s="75"/>
      <c r="X1775" s="75"/>
      <c r="Y1775" s="340"/>
      <c r="Z1775" s="341"/>
      <c r="AA1775" s="341"/>
      <c r="AB1775" s="341"/>
      <c r="AC1775" s="340"/>
      <c r="AD1775" s="75"/>
      <c r="AE1775" s="75"/>
      <c r="AF1775" s="75"/>
      <c r="AG1775" s="344"/>
      <c r="AH1775" s="344"/>
      <c r="AI1775" s="344"/>
      <c r="AJ1775" s="97"/>
      <c r="AK1775" s="4"/>
    </row>
    <row r="1776" spans="2:37" s="113" customFormat="1" x14ac:dyDescent="0.4">
      <c r="B1776" s="80"/>
      <c r="C1776" s="563">
        <v>1363</v>
      </c>
      <c r="D1776" s="907"/>
      <c r="E1776" s="906"/>
      <c r="F1776" s="921" t="str">
        <f t="shared" si="78"/>
        <v/>
      </c>
      <c r="G1776" s="882" t="str">
        <f t="shared" si="79"/>
        <v/>
      </c>
      <c r="H1776" s="925"/>
      <c r="I1776" s="919"/>
      <c r="J1776" s="919"/>
      <c r="K1776" s="919"/>
      <c r="L1776" s="919"/>
      <c r="O1776" s="339"/>
      <c r="T1776" s="75"/>
      <c r="U1776" s="75"/>
      <c r="V1776" s="75"/>
      <c r="W1776" s="75"/>
      <c r="X1776" s="75"/>
      <c r="Y1776" s="340"/>
      <c r="Z1776" s="341"/>
      <c r="AA1776" s="341"/>
      <c r="AB1776" s="341"/>
      <c r="AC1776" s="340"/>
      <c r="AD1776" s="75"/>
      <c r="AE1776" s="75"/>
      <c r="AF1776" s="75"/>
      <c r="AG1776" s="344"/>
      <c r="AH1776" s="344"/>
      <c r="AI1776" s="344"/>
      <c r="AJ1776" s="97"/>
      <c r="AK1776" s="4"/>
    </row>
    <row r="1777" spans="2:37" s="113" customFormat="1" x14ac:dyDescent="0.4">
      <c r="B1777" s="80"/>
      <c r="C1777" s="563">
        <v>1364</v>
      </c>
      <c r="D1777" s="907"/>
      <c r="E1777" s="906"/>
      <c r="F1777" s="921" t="str">
        <f t="shared" si="78"/>
        <v/>
      </c>
      <c r="G1777" s="882" t="str">
        <f t="shared" si="79"/>
        <v/>
      </c>
      <c r="H1777" s="925"/>
      <c r="I1777" s="919"/>
      <c r="J1777" s="919"/>
      <c r="K1777" s="919"/>
      <c r="L1777" s="919"/>
      <c r="O1777" s="339"/>
      <c r="T1777" s="75"/>
      <c r="U1777" s="75"/>
      <c r="V1777" s="75"/>
      <c r="W1777" s="75"/>
      <c r="X1777" s="75"/>
      <c r="Y1777" s="340"/>
      <c r="Z1777" s="341"/>
      <c r="AA1777" s="341"/>
      <c r="AB1777" s="341"/>
      <c r="AC1777" s="340"/>
      <c r="AD1777" s="75"/>
      <c r="AE1777" s="75"/>
      <c r="AF1777" s="75"/>
      <c r="AG1777" s="344"/>
      <c r="AH1777" s="344"/>
      <c r="AI1777" s="344"/>
      <c r="AJ1777" s="97"/>
      <c r="AK1777" s="4"/>
    </row>
    <row r="1778" spans="2:37" s="113" customFormat="1" x14ac:dyDescent="0.4">
      <c r="B1778" s="80"/>
      <c r="C1778" s="563">
        <v>1365</v>
      </c>
      <c r="D1778" s="907"/>
      <c r="E1778" s="906"/>
      <c r="F1778" s="921" t="str">
        <f t="shared" si="78"/>
        <v/>
      </c>
      <c r="G1778" s="882" t="str">
        <f t="shared" si="79"/>
        <v/>
      </c>
      <c r="H1778" s="925"/>
      <c r="I1778" s="919"/>
      <c r="J1778" s="919"/>
      <c r="K1778" s="919"/>
      <c r="L1778" s="919"/>
      <c r="O1778" s="339"/>
      <c r="T1778" s="75"/>
      <c r="U1778" s="75"/>
      <c r="V1778" s="75"/>
      <c r="W1778" s="75"/>
      <c r="X1778" s="75"/>
      <c r="Y1778" s="340"/>
      <c r="Z1778" s="341"/>
      <c r="AA1778" s="341"/>
      <c r="AB1778" s="341"/>
      <c r="AC1778" s="340"/>
      <c r="AD1778" s="75"/>
      <c r="AE1778" s="75"/>
      <c r="AF1778" s="75"/>
      <c r="AG1778" s="344"/>
      <c r="AH1778" s="344"/>
      <c r="AI1778" s="344"/>
      <c r="AJ1778" s="97"/>
      <c r="AK1778" s="4"/>
    </row>
    <row r="1779" spans="2:37" s="113" customFormat="1" x14ac:dyDescent="0.4">
      <c r="B1779" s="80"/>
      <c r="C1779" s="563">
        <v>1366</v>
      </c>
      <c r="D1779" s="907"/>
      <c r="E1779" s="906"/>
      <c r="F1779" s="921" t="str">
        <f t="shared" si="78"/>
        <v/>
      </c>
      <c r="G1779" s="882" t="str">
        <f t="shared" si="79"/>
        <v/>
      </c>
      <c r="H1779" s="925"/>
      <c r="I1779" s="919"/>
      <c r="J1779" s="919"/>
      <c r="K1779" s="919"/>
      <c r="L1779" s="919"/>
      <c r="O1779" s="339"/>
      <c r="T1779" s="75"/>
      <c r="U1779" s="75"/>
      <c r="V1779" s="75"/>
      <c r="W1779" s="75"/>
      <c r="X1779" s="75"/>
      <c r="Y1779" s="340"/>
      <c r="Z1779" s="341"/>
      <c r="AA1779" s="341"/>
      <c r="AB1779" s="341"/>
      <c r="AC1779" s="340"/>
      <c r="AD1779" s="75"/>
      <c r="AE1779" s="75"/>
      <c r="AF1779" s="75"/>
      <c r="AG1779" s="344"/>
      <c r="AH1779" s="344"/>
      <c r="AI1779" s="344"/>
      <c r="AJ1779" s="97"/>
      <c r="AK1779" s="4"/>
    </row>
    <row r="1780" spans="2:37" s="113" customFormat="1" x14ac:dyDescent="0.4">
      <c r="B1780" s="80"/>
      <c r="C1780" s="563">
        <v>1367</v>
      </c>
      <c r="D1780" s="907"/>
      <c r="E1780" s="906"/>
      <c r="F1780" s="921" t="str">
        <f t="shared" si="78"/>
        <v/>
      </c>
      <c r="G1780" s="882" t="str">
        <f t="shared" si="79"/>
        <v/>
      </c>
      <c r="H1780" s="925"/>
      <c r="I1780" s="919"/>
      <c r="J1780" s="919"/>
      <c r="K1780" s="919"/>
      <c r="L1780" s="919"/>
      <c r="O1780" s="339"/>
      <c r="T1780" s="75"/>
      <c r="U1780" s="75"/>
      <c r="V1780" s="75"/>
      <c r="W1780" s="75"/>
      <c r="X1780" s="75"/>
      <c r="Y1780" s="340"/>
      <c r="Z1780" s="341"/>
      <c r="AA1780" s="341"/>
      <c r="AB1780" s="341"/>
      <c r="AC1780" s="340"/>
      <c r="AD1780" s="75"/>
      <c r="AE1780" s="75"/>
      <c r="AF1780" s="75"/>
      <c r="AG1780" s="344"/>
      <c r="AH1780" s="344"/>
      <c r="AI1780" s="344"/>
      <c r="AJ1780" s="97"/>
      <c r="AK1780" s="4"/>
    </row>
    <row r="1781" spans="2:37" s="113" customFormat="1" x14ac:dyDescent="0.4">
      <c r="B1781" s="80"/>
      <c r="C1781" s="563">
        <v>1368</v>
      </c>
      <c r="D1781" s="907"/>
      <c r="E1781" s="906"/>
      <c r="F1781" s="921" t="str">
        <f t="shared" si="78"/>
        <v/>
      </c>
      <c r="G1781" s="882" t="str">
        <f t="shared" si="79"/>
        <v/>
      </c>
      <c r="H1781" s="925"/>
      <c r="I1781" s="919"/>
      <c r="J1781" s="919"/>
      <c r="K1781" s="919"/>
      <c r="L1781" s="919"/>
      <c r="O1781" s="339"/>
      <c r="T1781" s="75"/>
      <c r="U1781" s="75"/>
      <c r="V1781" s="75"/>
      <c r="W1781" s="75"/>
      <c r="X1781" s="75"/>
      <c r="Y1781" s="340"/>
      <c r="Z1781" s="341"/>
      <c r="AA1781" s="341"/>
      <c r="AB1781" s="341"/>
      <c r="AC1781" s="340"/>
      <c r="AD1781" s="75"/>
      <c r="AE1781" s="75"/>
      <c r="AF1781" s="75"/>
      <c r="AG1781" s="344"/>
      <c r="AH1781" s="344"/>
      <c r="AI1781" s="344"/>
      <c r="AJ1781" s="97"/>
      <c r="AK1781" s="4"/>
    </row>
    <row r="1782" spans="2:37" s="113" customFormat="1" x14ac:dyDescent="0.4">
      <c r="B1782" s="80"/>
      <c r="C1782" s="563">
        <v>1369</v>
      </c>
      <c r="D1782" s="907"/>
      <c r="E1782" s="906"/>
      <c r="F1782" s="921" t="str">
        <f t="shared" si="78"/>
        <v/>
      </c>
      <c r="G1782" s="882" t="str">
        <f t="shared" si="79"/>
        <v/>
      </c>
      <c r="H1782" s="925"/>
      <c r="I1782" s="919"/>
      <c r="J1782" s="919"/>
      <c r="K1782" s="919"/>
      <c r="L1782" s="919"/>
      <c r="O1782" s="339"/>
      <c r="T1782" s="75"/>
      <c r="U1782" s="75"/>
      <c r="V1782" s="75"/>
      <c r="W1782" s="75"/>
      <c r="X1782" s="75"/>
      <c r="Y1782" s="340"/>
      <c r="Z1782" s="341"/>
      <c r="AA1782" s="341"/>
      <c r="AB1782" s="341"/>
      <c r="AC1782" s="340"/>
      <c r="AD1782" s="75"/>
      <c r="AE1782" s="75"/>
      <c r="AF1782" s="75"/>
      <c r="AG1782" s="344"/>
      <c r="AH1782" s="344"/>
      <c r="AI1782" s="344"/>
      <c r="AJ1782" s="97"/>
      <c r="AK1782" s="4"/>
    </row>
    <row r="1783" spans="2:37" s="113" customFormat="1" x14ac:dyDescent="0.4">
      <c r="B1783" s="80"/>
      <c r="C1783" s="563">
        <v>1370</v>
      </c>
      <c r="D1783" s="907"/>
      <c r="E1783" s="906"/>
      <c r="F1783" s="921" t="str">
        <f t="shared" si="78"/>
        <v/>
      </c>
      <c r="G1783" s="882" t="str">
        <f t="shared" si="79"/>
        <v/>
      </c>
      <c r="H1783" s="925"/>
      <c r="I1783" s="919"/>
      <c r="J1783" s="919"/>
      <c r="K1783" s="919"/>
      <c r="L1783" s="919"/>
      <c r="O1783" s="339"/>
      <c r="T1783" s="75"/>
      <c r="U1783" s="75"/>
      <c r="V1783" s="75"/>
      <c r="W1783" s="75"/>
      <c r="X1783" s="75"/>
      <c r="Y1783" s="340"/>
      <c r="Z1783" s="341"/>
      <c r="AA1783" s="341"/>
      <c r="AB1783" s="341"/>
      <c r="AC1783" s="340"/>
      <c r="AD1783" s="75"/>
      <c r="AE1783" s="75"/>
      <c r="AF1783" s="75"/>
      <c r="AG1783" s="344"/>
      <c r="AH1783" s="344"/>
      <c r="AI1783" s="344"/>
      <c r="AJ1783" s="97"/>
      <c r="AK1783" s="4"/>
    </row>
    <row r="1784" spans="2:37" s="113" customFormat="1" x14ac:dyDescent="0.4">
      <c r="B1784" s="80"/>
      <c r="C1784" s="563">
        <v>1371</v>
      </c>
      <c r="D1784" s="907"/>
      <c r="E1784" s="906"/>
      <c r="F1784" s="921" t="str">
        <f t="shared" si="78"/>
        <v/>
      </c>
      <c r="G1784" s="882" t="str">
        <f t="shared" si="79"/>
        <v/>
      </c>
      <c r="H1784" s="925"/>
      <c r="I1784" s="919"/>
      <c r="J1784" s="919"/>
      <c r="K1784" s="919"/>
      <c r="L1784" s="919"/>
      <c r="O1784" s="339"/>
      <c r="T1784" s="75"/>
      <c r="U1784" s="75"/>
      <c r="V1784" s="75"/>
      <c r="W1784" s="75"/>
      <c r="X1784" s="75"/>
      <c r="Y1784" s="340"/>
      <c r="Z1784" s="341"/>
      <c r="AA1784" s="341"/>
      <c r="AB1784" s="341"/>
      <c r="AC1784" s="340"/>
      <c r="AD1784" s="75"/>
      <c r="AE1784" s="75"/>
      <c r="AF1784" s="75"/>
      <c r="AG1784" s="344"/>
      <c r="AH1784" s="344"/>
      <c r="AI1784" s="344"/>
      <c r="AJ1784" s="97"/>
      <c r="AK1784" s="4"/>
    </row>
    <row r="1785" spans="2:37" s="113" customFormat="1" x14ac:dyDescent="0.4">
      <c r="B1785" s="80"/>
      <c r="C1785" s="563">
        <v>1372</v>
      </c>
      <c r="D1785" s="907"/>
      <c r="E1785" s="906"/>
      <c r="F1785" s="921" t="str">
        <f t="shared" si="78"/>
        <v/>
      </c>
      <c r="G1785" s="882" t="str">
        <f t="shared" si="79"/>
        <v/>
      </c>
      <c r="H1785" s="925"/>
      <c r="I1785" s="919"/>
      <c r="J1785" s="919"/>
      <c r="K1785" s="919"/>
      <c r="L1785" s="919"/>
      <c r="O1785" s="339"/>
      <c r="T1785" s="75"/>
      <c r="U1785" s="75"/>
      <c r="V1785" s="75"/>
      <c r="W1785" s="75"/>
      <c r="X1785" s="75"/>
      <c r="Y1785" s="340"/>
      <c r="Z1785" s="341"/>
      <c r="AA1785" s="341"/>
      <c r="AB1785" s="341"/>
      <c r="AC1785" s="340"/>
      <c r="AD1785" s="75"/>
      <c r="AE1785" s="75"/>
      <c r="AF1785" s="75"/>
      <c r="AG1785" s="344"/>
      <c r="AH1785" s="344"/>
      <c r="AI1785" s="344"/>
      <c r="AJ1785" s="97"/>
      <c r="AK1785" s="4"/>
    </row>
    <row r="1786" spans="2:37" s="113" customFormat="1" x14ac:dyDescent="0.4">
      <c r="B1786" s="80"/>
      <c r="C1786" s="563">
        <v>1373</v>
      </c>
      <c r="D1786" s="907"/>
      <c r="E1786" s="906"/>
      <c r="F1786" s="921" t="str">
        <f t="shared" si="78"/>
        <v/>
      </c>
      <c r="G1786" s="882" t="str">
        <f t="shared" si="79"/>
        <v/>
      </c>
      <c r="H1786" s="925"/>
      <c r="I1786" s="919"/>
      <c r="J1786" s="919"/>
      <c r="K1786" s="919"/>
      <c r="L1786" s="919"/>
      <c r="O1786" s="339"/>
      <c r="T1786" s="75"/>
      <c r="U1786" s="75"/>
      <c r="V1786" s="75"/>
      <c r="W1786" s="75"/>
      <c r="X1786" s="75"/>
      <c r="Y1786" s="340"/>
      <c r="Z1786" s="341"/>
      <c r="AA1786" s="341"/>
      <c r="AB1786" s="341"/>
      <c r="AC1786" s="340"/>
      <c r="AD1786" s="75"/>
      <c r="AE1786" s="75"/>
      <c r="AF1786" s="75"/>
      <c r="AG1786" s="344"/>
      <c r="AH1786" s="344"/>
      <c r="AI1786" s="344"/>
      <c r="AJ1786" s="97"/>
      <c r="AK1786" s="4"/>
    </row>
    <row r="1787" spans="2:37" s="113" customFormat="1" x14ac:dyDescent="0.4">
      <c r="B1787" s="80"/>
      <c r="C1787" s="563">
        <v>1374</v>
      </c>
      <c r="D1787" s="907"/>
      <c r="E1787" s="906"/>
      <c r="F1787" s="921" t="str">
        <f t="shared" si="78"/>
        <v/>
      </c>
      <c r="G1787" s="882" t="str">
        <f t="shared" si="79"/>
        <v/>
      </c>
      <c r="H1787" s="925"/>
      <c r="I1787" s="919"/>
      <c r="J1787" s="919"/>
      <c r="K1787" s="919"/>
      <c r="L1787" s="919"/>
      <c r="O1787" s="339"/>
      <c r="T1787" s="75"/>
      <c r="U1787" s="75"/>
      <c r="V1787" s="75"/>
      <c r="W1787" s="75"/>
      <c r="X1787" s="75"/>
      <c r="Y1787" s="340"/>
      <c r="Z1787" s="341"/>
      <c r="AA1787" s="341"/>
      <c r="AB1787" s="341"/>
      <c r="AC1787" s="340"/>
      <c r="AD1787" s="75"/>
      <c r="AE1787" s="75"/>
      <c r="AF1787" s="75"/>
      <c r="AG1787" s="344"/>
      <c r="AH1787" s="344"/>
      <c r="AI1787" s="344"/>
      <c r="AJ1787" s="97"/>
      <c r="AK1787" s="4"/>
    </row>
    <row r="1788" spans="2:37" s="113" customFormat="1" x14ac:dyDescent="0.4">
      <c r="B1788" s="80"/>
      <c r="C1788" s="563">
        <v>1375</v>
      </c>
      <c r="D1788" s="907"/>
      <c r="E1788" s="906"/>
      <c r="F1788" s="921" t="str">
        <f t="shared" si="78"/>
        <v/>
      </c>
      <c r="G1788" s="882" t="str">
        <f t="shared" si="79"/>
        <v/>
      </c>
      <c r="H1788" s="925"/>
      <c r="I1788" s="919"/>
      <c r="J1788" s="919"/>
      <c r="K1788" s="919"/>
      <c r="L1788" s="919"/>
      <c r="O1788" s="339"/>
      <c r="T1788" s="75"/>
      <c r="U1788" s="75"/>
      <c r="V1788" s="75"/>
      <c r="W1788" s="75"/>
      <c r="X1788" s="75"/>
      <c r="Y1788" s="340"/>
      <c r="Z1788" s="341"/>
      <c r="AA1788" s="341"/>
      <c r="AB1788" s="341"/>
      <c r="AC1788" s="340"/>
      <c r="AD1788" s="75"/>
      <c r="AE1788" s="75"/>
      <c r="AF1788" s="75"/>
      <c r="AG1788" s="344"/>
      <c r="AH1788" s="344"/>
      <c r="AI1788" s="344"/>
      <c r="AJ1788" s="97"/>
      <c r="AK1788" s="4"/>
    </row>
    <row r="1789" spans="2:37" s="113" customFormat="1" x14ac:dyDescent="0.4">
      <c r="B1789" s="80"/>
      <c r="C1789" s="563">
        <v>1376</v>
      </c>
      <c r="D1789" s="907"/>
      <c r="E1789" s="906"/>
      <c r="F1789" s="921" t="str">
        <f t="shared" si="78"/>
        <v/>
      </c>
      <c r="G1789" s="882" t="str">
        <f t="shared" si="79"/>
        <v/>
      </c>
      <c r="H1789" s="925"/>
      <c r="I1789" s="919"/>
      <c r="J1789" s="919"/>
      <c r="K1789" s="919"/>
      <c r="L1789" s="919"/>
      <c r="O1789" s="339"/>
      <c r="T1789" s="75"/>
      <c r="U1789" s="75"/>
      <c r="V1789" s="75"/>
      <c r="W1789" s="75"/>
      <c r="X1789" s="75"/>
      <c r="Y1789" s="340"/>
      <c r="Z1789" s="341"/>
      <c r="AA1789" s="341"/>
      <c r="AB1789" s="341"/>
      <c r="AC1789" s="340"/>
      <c r="AD1789" s="75"/>
      <c r="AE1789" s="75"/>
      <c r="AF1789" s="75"/>
      <c r="AG1789" s="344"/>
      <c r="AH1789" s="344"/>
      <c r="AI1789" s="344"/>
      <c r="AJ1789" s="97"/>
      <c r="AK1789" s="4"/>
    </row>
    <row r="1790" spans="2:37" s="113" customFormat="1" x14ac:dyDescent="0.4">
      <c r="B1790" s="80"/>
      <c r="C1790" s="563">
        <v>1377</v>
      </c>
      <c r="D1790" s="907"/>
      <c r="E1790" s="906"/>
      <c r="F1790" s="921" t="str">
        <f t="shared" si="78"/>
        <v/>
      </c>
      <c r="G1790" s="882" t="str">
        <f t="shared" si="79"/>
        <v/>
      </c>
      <c r="H1790" s="925"/>
      <c r="I1790" s="919"/>
      <c r="J1790" s="919"/>
      <c r="K1790" s="919"/>
      <c r="L1790" s="919"/>
      <c r="O1790" s="339"/>
      <c r="T1790" s="75"/>
      <c r="U1790" s="75"/>
      <c r="V1790" s="75"/>
      <c r="W1790" s="75"/>
      <c r="X1790" s="75"/>
      <c r="Y1790" s="340"/>
      <c r="Z1790" s="341"/>
      <c r="AA1790" s="341"/>
      <c r="AB1790" s="341"/>
      <c r="AC1790" s="340"/>
      <c r="AD1790" s="75"/>
      <c r="AE1790" s="75"/>
      <c r="AF1790" s="75"/>
      <c r="AG1790" s="344"/>
      <c r="AH1790" s="344"/>
      <c r="AI1790" s="344"/>
      <c r="AJ1790" s="97"/>
      <c r="AK1790" s="4"/>
    </row>
    <row r="1791" spans="2:37" s="113" customFormat="1" x14ac:dyDescent="0.4">
      <c r="B1791" s="80"/>
      <c r="C1791" s="563">
        <v>1378</v>
      </c>
      <c r="D1791" s="907"/>
      <c r="E1791" s="906"/>
      <c r="F1791" s="921" t="str">
        <f t="shared" si="78"/>
        <v/>
      </c>
      <c r="G1791" s="882" t="str">
        <f t="shared" si="79"/>
        <v/>
      </c>
      <c r="H1791" s="925"/>
      <c r="I1791" s="919"/>
      <c r="J1791" s="919"/>
      <c r="K1791" s="919"/>
      <c r="L1791" s="919"/>
      <c r="O1791" s="339"/>
      <c r="T1791" s="75"/>
      <c r="U1791" s="75"/>
      <c r="V1791" s="75"/>
      <c r="W1791" s="75"/>
      <c r="X1791" s="75"/>
      <c r="Y1791" s="340"/>
      <c r="Z1791" s="341"/>
      <c r="AA1791" s="341"/>
      <c r="AB1791" s="341"/>
      <c r="AC1791" s="340"/>
      <c r="AD1791" s="75"/>
      <c r="AE1791" s="75"/>
      <c r="AF1791" s="75"/>
      <c r="AG1791" s="344"/>
      <c r="AH1791" s="344"/>
      <c r="AI1791" s="344"/>
      <c r="AJ1791" s="97"/>
      <c r="AK1791" s="4"/>
    </row>
    <row r="1792" spans="2:37" s="113" customFormat="1" x14ac:dyDescent="0.4">
      <c r="B1792" s="80"/>
      <c r="C1792" s="563">
        <v>1379</v>
      </c>
      <c r="D1792" s="907"/>
      <c r="E1792" s="906"/>
      <c r="F1792" s="921" t="str">
        <f t="shared" si="78"/>
        <v/>
      </c>
      <c r="G1792" s="882" t="str">
        <f t="shared" si="79"/>
        <v/>
      </c>
      <c r="H1792" s="925"/>
      <c r="I1792" s="919"/>
      <c r="J1792" s="919"/>
      <c r="K1792" s="919"/>
      <c r="L1792" s="919"/>
      <c r="O1792" s="339"/>
      <c r="T1792" s="75"/>
      <c r="U1792" s="75"/>
      <c r="V1792" s="75"/>
      <c r="W1792" s="75"/>
      <c r="X1792" s="75"/>
      <c r="Y1792" s="340"/>
      <c r="Z1792" s="341"/>
      <c r="AA1792" s="341"/>
      <c r="AB1792" s="341"/>
      <c r="AC1792" s="340"/>
      <c r="AD1792" s="75"/>
      <c r="AE1792" s="75"/>
      <c r="AF1792" s="75"/>
      <c r="AG1792" s="344"/>
      <c r="AH1792" s="344"/>
      <c r="AI1792" s="344"/>
      <c r="AJ1792" s="97"/>
      <c r="AK1792" s="4"/>
    </row>
    <row r="1793" spans="2:37" s="113" customFormat="1" x14ac:dyDescent="0.4">
      <c r="B1793" s="80"/>
      <c r="C1793" s="563">
        <v>1380</v>
      </c>
      <c r="D1793" s="907"/>
      <c r="E1793" s="906"/>
      <c r="F1793" s="921" t="str">
        <f t="shared" si="78"/>
        <v/>
      </c>
      <c r="G1793" s="882" t="str">
        <f t="shared" si="79"/>
        <v/>
      </c>
      <c r="H1793" s="925"/>
      <c r="I1793" s="919"/>
      <c r="J1793" s="919"/>
      <c r="K1793" s="919"/>
      <c r="L1793" s="919"/>
      <c r="O1793" s="339"/>
      <c r="T1793" s="75"/>
      <c r="U1793" s="75"/>
      <c r="V1793" s="75"/>
      <c r="W1793" s="75"/>
      <c r="X1793" s="75"/>
      <c r="Y1793" s="340"/>
      <c r="Z1793" s="341"/>
      <c r="AA1793" s="341"/>
      <c r="AB1793" s="341"/>
      <c r="AC1793" s="340"/>
      <c r="AD1793" s="75"/>
      <c r="AE1793" s="75"/>
      <c r="AF1793" s="75"/>
      <c r="AG1793" s="344"/>
      <c r="AH1793" s="344"/>
      <c r="AI1793" s="344"/>
      <c r="AJ1793" s="97"/>
      <c r="AK1793" s="4"/>
    </row>
    <row r="1794" spans="2:37" s="113" customFormat="1" x14ac:dyDescent="0.4">
      <c r="B1794" s="80"/>
      <c r="C1794" s="563">
        <v>1381</v>
      </c>
      <c r="D1794" s="907"/>
      <c r="E1794" s="906"/>
      <c r="F1794" s="921" t="str">
        <f t="shared" si="78"/>
        <v/>
      </c>
      <c r="G1794" s="882" t="str">
        <f t="shared" si="79"/>
        <v/>
      </c>
      <c r="H1794" s="925"/>
      <c r="I1794" s="919"/>
      <c r="J1794" s="919"/>
      <c r="K1794" s="919"/>
      <c r="L1794" s="919"/>
      <c r="O1794" s="339"/>
      <c r="T1794" s="75"/>
      <c r="U1794" s="75"/>
      <c r="V1794" s="75"/>
      <c r="W1794" s="75"/>
      <c r="X1794" s="75"/>
      <c r="Y1794" s="340"/>
      <c r="Z1794" s="341"/>
      <c r="AA1794" s="341"/>
      <c r="AB1794" s="341"/>
      <c r="AC1794" s="340"/>
      <c r="AD1794" s="75"/>
      <c r="AE1794" s="75"/>
      <c r="AF1794" s="75"/>
      <c r="AG1794" s="344"/>
      <c r="AH1794" s="344"/>
      <c r="AI1794" s="344"/>
      <c r="AJ1794" s="97"/>
      <c r="AK1794" s="4"/>
    </row>
    <row r="1795" spans="2:37" s="113" customFormat="1" x14ac:dyDescent="0.4">
      <c r="B1795" s="80"/>
      <c r="C1795" s="563">
        <v>1382</v>
      </c>
      <c r="D1795" s="907"/>
      <c r="E1795" s="906"/>
      <c r="F1795" s="921" t="str">
        <f t="shared" si="78"/>
        <v/>
      </c>
      <c r="G1795" s="882" t="str">
        <f t="shared" si="79"/>
        <v/>
      </c>
      <c r="H1795" s="925"/>
      <c r="I1795" s="919"/>
      <c r="J1795" s="919"/>
      <c r="K1795" s="919"/>
      <c r="L1795" s="919"/>
      <c r="O1795" s="339"/>
      <c r="T1795" s="75"/>
      <c r="U1795" s="75"/>
      <c r="V1795" s="75"/>
      <c r="W1795" s="75"/>
      <c r="X1795" s="75"/>
      <c r="Y1795" s="340"/>
      <c r="Z1795" s="341"/>
      <c r="AA1795" s="341"/>
      <c r="AB1795" s="341"/>
      <c r="AC1795" s="340"/>
      <c r="AD1795" s="75"/>
      <c r="AE1795" s="75"/>
      <c r="AF1795" s="75"/>
      <c r="AG1795" s="344"/>
      <c r="AH1795" s="344"/>
      <c r="AI1795" s="344"/>
      <c r="AJ1795" s="97"/>
      <c r="AK1795" s="4"/>
    </row>
    <row r="1796" spans="2:37" s="113" customFormat="1" x14ac:dyDescent="0.4">
      <c r="B1796" s="80"/>
      <c r="C1796" s="563">
        <v>1383</v>
      </c>
      <c r="D1796" s="907"/>
      <c r="E1796" s="906"/>
      <c r="F1796" s="921" t="str">
        <f t="shared" si="78"/>
        <v/>
      </c>
      <c r="G1796" s="882" t="str">
        <f t="shared" si="79"/>
        <v/>
      </c>
      <c r="H1796" s="925"/>
      <c r="I1796" s="919"/>
      <c r="J1796" s="919"/>
      <c r="K1796" s="919"/>
      <c r="L1796" s="919"/>
      <c r="O1796" s="339"/>
      <c r="T1796" s="75"/>
      <c r="U1796" s="75"/>
      <c r="V1796" s="75"/>
      <c r="W1796" s="75"/>
      <c r="X1796" s="75"/>
      <c r="Y1796" s="340"/>
      <c r="Z1796" s="341"/>
      <c r="AA1796" s="341"/>
      <c r="AB1796" s="341"/>
      <c r="AC1796" s="340"/>
      <c r="AD1796" s="75"/>
      <c r="AE1796" s="75"/>
      <c r="AF1796" s="75"/>
      <c r="AG1796" s="344"/>
      <c r="AH1796" s="344"/>
      <c r="AI1796" s="344"/>
      <c r="AJ1796" s="97"/>
      <c r="AK1796" s="4"/>
    </row>
    <row r="1797" spans="2:37" s="113" customFormat="1" x14ac:dyDescent="0.4">
      <c r="B1797" s="80"/>
      <c r="C1797" s="563">
        <v>1384</v>
      </c>
      <c r="D1797" s="907"/>
      <c r="E1797" s="906"/>
      <c r="F1797" s="921" t="str">
        <f t="shared" si="78"/>
        <v/>
      </c>
      <c r="G1797" s="882" t="str">
        <f t="shared" si="79"/>
        <v/>
      </c>
      <c r="H1797" s="925"/>
      <c r="I1797" s="919"/>
      <c r="J1797" s="919"/>
      <c r="K1797" s="919"/>
      <c r="L1797" s="919"/>
      <c r="O1797" s="339"/>
      <c r="T1797" s="75"/>
      <c r="U1797" s="75"/>
      <c r="V1797" s="75"/>
      <c r="W1797" s="75"/>
      <c r="X1797" s="75"/>
      <c r="Y1797" s="340"/>
      <c r="Z1797" s="341"/>
      <c r="AA1797" s="341"/>
      <c r="AB1797" s="341"/>
      <c r="AC1797" s="340"/>
      <c r="AD1797" s="75"/>
      <c r="AE1797" s="75"/>
      <c r="AF1797" s="75"/>
      <c r="AG1797" s="344"/>
      <c r="AH1797" s="344"/>
      <c r="AI1797" s="344"/>
      <c r="AJ1797" s="97"/>
      <c r="AK1797" s="4"/>
    </row>
    <row r="1798" spans="2:37" s="113" customFormat="1" x14ac:dyDescent="0.4">
      <c r="B1798" s="80"/>
      <c r="C1798" s="563">
        <v>1385</v>
      </c>
      <c r="D1798" s="907"/>
      <c r="E1798" s="906"/>
      <c r="F1798" s="921" t="str">
        <f t="shared" si="78"/>
        <v/>
      </c>
      <c r="G1798" s="882" t="str">
        <f t="shared" si="79"/>
        <v/>
      </c>
      <c r="H1798" s="925"/>
      <c r="I1798" s="919"/>
      <c r="J1798" s="919"/>
      <c r="K1798" s="919"/>
      <c r="L1798" s="919"/>
      <c r="O1798" s="339"/>
      <c r="T1798" s="75"/>
      <c r="U1798" s="75"/>
      <c r="V1798" s="75"/>
      <c r="W1798" s="75"/>
      <c r="X1798" s="75"/>
      <c r="Y1798" s="340"/>
      <c r="Z1798" s="341"/>
      <c r="AA1798" s="341"/>
      <c r="AB1798" s="341"/>
      <c r="AC1798" s="340"/>
      <c r="AD1798" s="75"/>
      <c r="AE1798" s="75"/>
      <c r="AF1798" s="75"/>
      <c r="AG1798" s="344"/>
      <c r="AH1798" s="344"/>
      <c r="AI1798" s="344"/>
      <c r="AJ1798" s="97"/>
      <c r="AK1798" s="4"/>
    </row>
    <row r="1799" spans="2:37" s="113" customFormat="1" x14ac:dyDescent="0.4">
      <c r="B1799" s="80"/>
      <c r="C1799" s="563">
        <v>1386</v>
      </c>
      <c r="D1799" s="907"/>
      <c r="E1799" s="906"/>
      <c r="F1799" s="921" t="str">
        <f t="shared" si="78"/>
        <v/>
      </c>
      <c r="G1799" s="882" t="str">
        <f t="shared" si="79"/>
        <v/>
      </c>
      <c r="H1799" s="925"/>
      <c r="I1799" s="919"/>
      <c r="J1799" s="919"/>
      <c r="K1799" s="919"/>
      <c r="L1799" s="919"/>
      <c r="O1799" s="339"/>
      <c r="T1799" s="75"/>
      <c r="U1799" s="75"/>
      <c r="V1799" s="75"/>
      <c r="W1799" s="75"/>
      <c r="X1799" s="75"/>
      <c r="Y1799" s="340"/>
      <c r="Z1799" s="341"/>
      <c r="AA1799" s="341"/>
      <c r="AB1799" s="341"/>
      <c r="AC1799" s="340"/>
      <c r="AD1799" s="75"/>
      <c r="AE1799" s="75"/>
      <c r="AF1799" s="75"/>
      <c r="AG1799" s="344"/>
      <c r="AH1799" s="344"/>
      <c r="AI1799" s="344"/>
      <c r="AJ1799" s="97"/>
      <c r="AK1799" s="4"/>
    </row>
    <row r="1800" spans="2:37" s="113" customFormat="1" x14ac:dyDescent="0.4">
      <c r="B1800" s="80"/>
      <c r="C1800" s="563">
        <v>1387</v>
      </c>
      <c r="D1800" s="907"/>
      <c r="E1800" s="906"/>
      <c r="F1800" s="921" t="str">
        <f t="shared" si="78"/>
        <v/>
      </c>
      <c r="G1800" s="882" t="str">
        <f t="shared" si="79"/>
        <v/>
      </c>
      <c r="H1800" s="925"/>
      <c r="I1800" s="919"/>
      <c r="J1800" s="919"/>
      <c r="K1800" s="919"/>
      <c r="L1800" s="919"/>
      <c r="O1800" s="339"/>
      <c r="T1800" s="75"/>
      <c r="U1800" s="75"/>
      <c r="V1800" s="75"/>
      <c r="W1800" s="75"/>
      <c r="X1800" s="75"/>
      <c r="Y1800" s="340"/>
      <c r="Z1800" s="341"/>
      <c r="AA1800" s="341"/>
      <c r="AB1800" s="341"/>
      <c r="AC1800" s="340"/>
      <c r="AD1800" s="75"/>
      <c r="AE1800" s="75"/>
      <c r="AF1800" s="75"/>
      <c r="AG1800" s="344"/>
      <c r="AH1800" s="344"/>
      <c r="AI1800" s="344"/>
      <c r="AJ1800" s="97"/>
      <c r="AK1800" s="4"/>
    </row>
    <row r="1801" spans="2:37" s="113" customFormat="1" x14ac:dyDescent="0.4">
      <c r="B1801" s="80"/>
      <c r="C1801" s="563">
        <v>1388</v>
      </c>
      <c r="D1801" s="907"/>
      <c r="E1801" s="906"/>
      <c r="F1801" s="921" t="str">
        <f t="shared" si="78"/>
        <v/>
      </c>
      <c r="G1801" s="882" t="str">
        <f t="shared" si="79"/>
        <v/>
      </c>
      <c r="H1801" s="925"/>
      <c r="I1801" s="919"/>
      <c r="J1801" s="919"/>
      <c r="K1801" s="919"/>
      <c r="L1801" s="919"/>
      <c r="O1801" s="339"/>
      <c r="T1801" s="75"/>
      <c r="U1801" s="75"/>
      <c r="V1801" s="75"/>
      <c r="W1801" s="75"/>
      <c r="X1801" s="75"/>
      <c r="Y1801" s="340"/>
      <c r="Z1801" s="341"/>
      <c r="AA1801" s="341"/>
      <c r="AB1801" s="341"/>
      <c r="AC1801" s="340"/>
      <c r="AD1801" s="75"/>
      <c r="AE1801" s="75"/>
      <c r="AF1801" s="75"/>
      <c r="AG1801" s="344"/>
      <c r="AH1801" s="344"/>
      <c r="AI1801" s="344"/>
      <c r="AJ1801" s="97"/>
      <c r="AK1801" s="4"/>
    </row>
    <row r="1802" spans="2:37" s="113" customFormat="1" x14ac:dyDescent="0.4">
      <c r="B1802" s="80"/>
      <c r="C1802" s="563">
        <v>1389</v>
      </c>
      <c r="D1802" s="907"/>
      <c r="E1802" s="906"/>
      <c r="F1802" s="921" t="str">
        <f t="shared" si="78"/>
        <v/>
      </c>
      <c r="G1802" s="882" t="str">
        <f t="shared" si="79"/>
        <v/>
      </c>
      <c r="H1802" s="925"/>
      <c r="I1802" s="919"/>
      <c r="J1802" s="919"/>
      <c r="K1802" s="919"/>
      <c r="L1802" s="919"/>
      <c r="O1802" s="339"/>
      <c r="T1802" s="75"/>
      <c r="U1802" s="75"/>
      <c r="V1802" s="75"/>
      <c r="W1802" s="75"/>
      <c r="X1802" s="75"/>
      <c r="Y1802" s="340"/>
      <c r="Z1802" s="341"/>
      <c r="AA1802" s="341"/>
      <c r="AB1802" s="341"/>
      <c r="AC1802" s="340"/>
      <c r="AD1802" s="75"/>
      <c r="AE1802" s="75"/>
      <c r="AF1802" s="75"/>
      <c r="AG1802" s="344"/>
      <c r="AH1802" s="344"/>
      <c r="AI1802" s="344"/>
      <c r="AJ1802" s="97"/>
      <c r="AK1802" s="4"/>
    </row>
    <row r="1803" spans="2:37" s="113" customFormat="1" x14ac:dyDescent="0.4">
      <c r="B1803" s="80"/>
      <c r="C1803" s="563">
        <v>1390</v>
      </c>
      <c r="D1803" s="907"/>
      <c r="E1803" s="906"/>
      <c r="F1803" s="921" t="str">
        <f t="shared" si="78"/>
        <v/>
      </c>
      <c r="G1803" s="882" t="str">
        <f t="shared" si="79"/>
        <v/>
      </c>
      <c r="H1803" s="925"/>
      <c r="I1803" s="919"/>
      <c r="J1803" s="919"/>
      <c r="K1803" s="919"/>
      <c r="L1803" s="919"/>
      <c r="O1803" s="339"/>
      <c r="T1803" s="75"/>
      <c r="U1803" s="75"/>
      <c r="V1803" s="75"/>
      <c r="W1803" s="75"/>
      <c r="X1803" s="75"/>
      <c r="Y1803" s="340"/>
      <c r="Z1803" s="341"/>
      <c r="AA1803" s="341"/>
      <c r="AB1803" s="341"/>
      <c r="AC1803" s="340"/>
      <c r="AD1803" s="75"/>
      <c r="AE1803" s="75"/>
      <c r="AF1803" s="75"/>
      <c r="AG1803" s="344"/>
      <c r="AH1803" s="344"/>
      <c r="AI1803" s="344"/>
      <c r="AJ1803" s="97"/>
      <c r="AK1803" s="4"/>
    </row>
    <row r="1804" spans="2:37" s="113" customFormat="1" x14ac:dyDescent="0.4">
      <c r="B1804" s="80"/>
      <c r="C1804" s="563">
        <v>1391</v>
      </c>
      <c r="D1804" s="907"/>
      <c r="E1804" s="906"/>
      <c r="F1804" s="921" t="str">
        <f t="shared" si="78"/>
        <v/>
      </c>
      <c r="G1804" s="882" t="str">
        <f t="shared" si="79"/>
        <v/>
      </c>
      <c r="H1804" s="925"/>
      <c r="I1804" s="919"/>
      <c r="J1804" s="919"/>
      <c r="K1804" s="919"/>
      <c r="L1804" s="919"/>
      <c r="O1804" s="339"/>
      <c r="T1804" s="75"/>
      <c r="U1804" s="75"/>
      <c r="V1804" s="75"/>
      <c r="W1804" s="75"/>
      <c r="X1804" s="75"/>
      <c r="Y1804" s="340"/>
      <c r="Z1804" s="341"/>
      <c r="AA1804" s="341"/>
      <c r="AB1804" s="341"/>
      <c r="AC1804" s="340"/>
      <c r="AD1804" s="75"/>
      <c r="AE1804" s="75"/>
      <c r="AF1804" s="75"/>
      <c r="AG1804" s="344"/>
      <c r="AH1804" s="344"/>
      <c r="AI1804" s="344"/>
      <c r="AJ1804" s="97"/>
      <c r="AK1804" s="4"/>
    </row>
    <row r="1805" spans="2:37" s="113" customFormat="1" x14ac:dyDescent="0.4">
      <c r="B1805" s="80"/>
      <c r="C1805" s="563">
        <v>1392</v>
      </c>
      <c r="D1805" s="907"/>
      <c r="E1805" s="906"/>
      <c r="F1805" s="921" t="str">
        <f t="shared" si="78"/>
        <v/>
      </c>
      <c r="G1805" s="882" t="str">
        <f t="shared" si="79"/>
        <v/>
      </c>
      <c r="H1805" s="925"/>
      <c r="I1805" s="919"/>
      <c r="J1805" s="919"/>
      <c r="K1805" s="919"/>
      <c r="L1805" s="919"/>
      <c r="O1805" s="339"/>
      <c r="T1805" s="75"/>
      <c r="U1805" s="75"/>
      <c r="V1805" s="75"/>
      <c r="W1805" s="75"/>
      <c r="X1805" s="75"/>
      <c r="Y1805" s="340"/>
      <c r="Z1805" s="341"/>
      <c r="AA1805" s="341"/>
      <c r="AB1805" s="341"/>
      <c r="AC1805" s="340"/>
      <c r="AD1805" s="75"/>
      <c r="AE1805" s="75"/>
      <c r="AF1805" s="75"/>
      <c r="AG1805" s="344"/>
      <c r="AH1805" s="344"/>
      <c r="AI1805" s="344"/>
      <c r="AJ1805" s="97"/>
      <c r="AK1805" s="4"/>
    </row>
    <row r="1806" spans="2:37" s="113" customFormat="1" x14ac:dyDescent="0.4">
      <c r="B1806" s="80"/>
      <c r="C1806" s="563">
        <v>1393</v>
      </c>
      <c r="D1806" s="907"/>
      <c r="E1806" s="906"/>
      <c r="F1806" s="921" t="str">
        <f t="shared" si="78"/>
        <v/>
      </c>
      <c r="G1806" s="882" t="str">
        <f t="shared" si="79"/>
        <v/>
      </c>
      <c r="H1806" s="925"/>
      <c r="I1806" s="919"/>
      <c r="J1806" s="919"/>
      <c r="K1806" s="919"/>
      <c r="L1806" s="919"/>
      <c r="O1806" s="339"/>
      <c r="T1806" s="75"/>
      <c r="U1806" s="75"/>
      <c r="V1806" s="75"/>
      <c r="W1806" s="75"/>
      <c r="X1806" s="75"/>
      <c r="Y1806" s="340"/>
      <c r="Z1806" s="341"/>
      <c r="AA1806" s="341"/>
      <c r="AB1806" s="341"/>
      <c r="AC1806" s="340"/>
      <c r="AD1806" s="75"/>
      <c r="AE1806" s="75"/>
      <c r="AF1806" s="75"/>
      <c r="AG1806" s="344"/>
      <c r="AH1806" s="344"/>
      <c r="AI1806" s="344"/>
      <c r="AJ1806" s="97"/>
      <c r="AK1806" s="4"/>
    </row>
    <row r="1807" spans="2:37" s="113" customFormat="1" x14ac:dyDescent="0.4">
      <c r="B1807" s="80"/>
      <c r="C1807" s="563">
        <v>1394</v>
      </c>
      <c r="D1807" s="907"/>
      <c r="E1807" s="906"/>
      <c r="F1807" s="921" t="str">
        <f t="shared" si="78"/>
        <v/>
      </c>
      <c r="G1807" s="882" t="str">
        <f t="shared" si="79"/>
        <v/>
      </c>
      <c r="H1807" s="925"/>
      <c r="I1807" s="919"/>
      <c r="J1807" s="919"/>
      <c r="K1807" s="919"/>
      <c r="L1807" s="919"/>
      <c r="O1807" s="339"/>
      <c r="T1807" s="75"/>
      <c r="U1807" s="75"/>
      <c r="V1807" s="75"/>
      <c r="W1807" s="75"/>
      <c r="X1807" s="75"/>
      <c r="Y1807" s="340"/>
      <c r="Z1807" s="341"/>
      <c r="AA1807" s="341"/>
      <c r="AB1807" s="341"/>
      <c r="AC1807" s="340"/>
      <c r="AD1807" s="75"/>
      <c r="AE1807" s="75"/>
      <c r="AF1807" s="75"/>
      <c r="AG1807" s="344"/>
      <c r="AH1807" s="344"/>
      <c r="AI1807" s="344"/>
      <c r="AJ1807" s="97"/>
      <c r="AK1807" s="4"/>
    </row>
    <row r="1808" spans="2:37" s="113" customFormat="1" x14ac:dyDescent="0.4">
      <c r="B1808" s="80"/>
      <c r="C1808" s="563">
        <v>1395</v>
      </c>
      <c r="D1808" s="907"/>
      <c r="E1808" s="906"/>
      <c r="F1808" s="921" t="str">
        <f t="shared" si="78"/>
        <v/>
      </c>
      <c r="G1808" s="882" t="str">
        <f t="shared" si="79"/>
        <v/>
      </c>
      <c r="H1808" s="925"/>
      <c r="I1808" s="919"/>
      <c r="J1808" s="919"/>
      <c r="K1808" s="919"/>
      <c r="L1808" s="919"/>
      <c r="O1808" s="339"/>
      <c r="T1808" s="75"/>
      <c r="U1808" s="75"/>
      <c r="V1808" s="75"/>
      <c r="W1808" s="75"/>
      <c r="X1808" s="75"/>
      <c r="Y1808" s="340"/>
      <c r="Z1808" s="341"/>
      <c r="AA1808" s="341"/>
      <c r="AB1808" s="341"/>
      <c r="AC1808" s="340"/>
      <c r="AD1808" s="75"/>
      <c r="AE1808" s="75"/>
      <c r="AF1808" s="75"/>
      <c r="AG1808" s="344"/>
      <c r="AH1808" s="344"/>
      <c r="AI1808" s="344"/>
      <c r="AJ1808" s="97"/>
      <c r="AK1808" s="4"/>
    </row>
    <row r="1809" spans="2:37" s="113" customFormat="1" x14ac:dyDescent="0.4">
      <c r="B1809" s="80"/>
      <c r="C1809" s="563">
        <v>1396</v>
      </c>
      <c r="D1809" s="907"/>
      <c r="E1809" s="906"/>
      <c r="F1809" s="921" t="str">
        <f t="shared" si="78"/>
        <v/>
      </c>
      <c r="G1809" s="882" t="str">
        <f t="shared" si="79"/>
        <v/>
      </c>
      <c r="H1809" s="925"/>
      <c r="I1809" s="919"/>
      <c r="J1809" s="919"/>
      <c r="K1809" s="919"/>
      <c r="L1809" s="919"/>
      <c r="O1809" s="339"/>
      <c r="T1809" s="75"/>
      <c r="U1809" s="75"/>
      <c r="V1809" s="75"/>
      <c r="W1809" s="75"/>
      <c r="X1809" s="75"/>
      <c r="Y1809" s="340"/>
      <c r="Z1809" s="341"/>
      <c r="AA1809" s="341"/>
      <c r="AB1809" s="341"/>
      <c r="AC1809" s="340"/>
      <c r="AD1809" s="75"/>
      <c r="AE1809" s="75"/>
      <c r="AF1809" s="75"/>
      <c r="AG1809" s="344"/>
      <c r="AH1809" s="344"/>
      <c r="AI1809" s="344"/>
      <c r="AJ1809" s="97"/>
      <c r="AK1809" s="4"/>
    </row>
    <row r="1810" spans="2:37" s="113" customFormat="1" x14ac:dyDescent="0.4">
      <c r="B1810" s="80"/>
      <c r="C1810" s="563">
        <v>1397</v>
      </c>
      <c r="D1810" s="907"/>
      <c r="E1810" s="906"/>
      <c r="F1810" s="921" t="str">
        <f t="shared" si="78"/>
        <v/>
      </c>
      <c r="G1810" s="882" t="str">
        <f t="shared" si="79"/>
        <v/>
      </c>
      <c r="H1810" s="925"/>
      <c r="I1810" s="919"/>
      <c r="J1810" s="919"/>
      <c r="K1810" s="919"/>
      <c r="L1810" s="919"/>
      <c r="O1810" s="339"/>
      <c r="T1810" s="75"/>
      <c r="U1810" s="75"/>
      <c r="V1810" s="75"/>
      <c r="W1810" s="75"/>
      <c r="X1810" s="75"/>
      <c r="Y1810" s="340"/>
      <c r="Z1810" s="341"/>
      <c r="AA1810" s="341"/>
      <c r="AB1810" s="341"/>
      <c r="AC1810" s="340"/>
      <c r="AD1810" s="75"/>
      <c r="AE1810" s="75"/>
      <c r="AF1810" s="75"/>
      <c r="AG1810" s="344"/>
      <c r="AH1810" s="344"/>
      <c r="AI1810" s="344"/>
      <c r="AJ1810" s="97"/>
      <c r="AK1810" s="4"/>
    </row>
    <row r="1811" spans="2:37" s="113" customFormat="1" x14ac:dyDescent="0.4">
      <c r="B1811" s="80"/>
      <c r="C1811" s="563">
        <v>1398</v>
      </c>
      <c r="D1811" s="907"/>
      <c r="E1811" s="906"/>
      <c r="F1811" s="921" t="str">
        <f t="shared" si="78"/>
        <v/>
      </c>
      <c r="G1811" s="882" t="str">
        <f t="shared" si="79"/>
        <v/>
      </c>
      <c r="H1811" s="925"/>
      <c r="I1811" s="919"/>
      <c r="J1811" s="919"/>
      <c r="K1811" s="919"/>
      <c r="L1811" s="919"/>
      <c r="O1811" s="339"/>
      <c r="T1811" s="75"/>
      <c r="U1811" s="75"/>
      <c r="V1811" s="75"/>
      <c r="W1811" s="75"/>
      <c r="X1811" s="75"/>
      <c r="Y1811" s="340"/>
      <c r="Z1811" s="341"/>
      <c r="AA1811" s="341"/>
      <c r="AB1811" s="341"/>
      <c r="AC1811" s="340"/>
      <c r="AD1811" s="75"/>
      <c r="AE1811" s="75"/>
      <c r="AF1811" s="75"/>
      <c r="AG1811" s="344"/>
      <c r="AH1811" s="344"/>
      <c r="AI1811" s="344"/>
      <c r="AJ1811" s="97"/>
      <c r="AK1811" s="4"/>
    </row>
    <row r="1812" spans="2:37" s="113" customFormat="1" x14ac:dyDescent="0.4">
      <c r="B1812" s="80"/>
      <c r="C1812" s="563">
        <v>1399</v>
      </c>
      <c r="D1812" s="907"/>
      <c r="E1812" s="906"/>
      <c r="F1812" s="921" t="str">
        <f t="shared" si="78"/>
        <v/>
      </c>
      <c r="G1812" s="882" t="str">
        <f t="shared" si="79"/>
        <v/>
      </c>
      <c r="H1812" s="925"/>
      <c r="I1812" s="919"/>
      <c r="J1812" s="919"/>
      <c r="K1812" s="919"/>
      <c r="L1812" s="919"/>
      <c r="O1812" s="339"/>
      <c r="T1812" s="75"/>
      <c r="U1812" s="75"/>
      <c r="V1812" s="75"/>
      <c r="W1812" s="75"/>
      <c r="X1812" s="75"/>
      <c r="Y1812" s="340"/>
      <c r="Z1812" s="341"/>
      <c r="AA1812" s="341"/>
      <c r="AB1812" s="341"/>
      <c r="AC1812" s="340"/>
      <c r="AD1812" s="75"/>
      <c r="AE1812" s="75"/>
      <c r="AF1812" s="75"/>
      <c r="AG1812" s="344"/>
      <c r="AH1812" s="344"/>
      <c r="AI1812" s="344"/>
      <c r="AJ1812" s="97"/>
      <c r="AK1812" s="4"/>
    </row>
    <row r="1813" spans="2:37" s="113" customFormat="1" x14ac:dyDescent="0.4">
      <c r="B1813" s="80"/>
      <c r="C1813" s="563">
        <v>1400</v>
      </c>
      <c r="D1813" s="907"/>
      <c r="E1813" s="906"/>
      <c r="F1813" s="921" t="str">
        <f t="shared" si="78"/>
        <v/>
      </c>
      <c r="G1813" s="882" t="str">
        <f t="shared" si="79"/>
        <v/>
      </c>
      <c r="H1813" s="925"/>
      <c r="I1813" s="919"/>
      <c r="J1813" s="919"/>
      <c r="K1813" s="919"/>
      <c r="L1813" s="919"/>
      <c r="O1813" s="339"/>
      <c r="T1813" s="75"/>
      <c r="U1813" s="75"/>
      <c r="V1813" s="75"/>
      <c r="W1813" s="75"/>
      <c r="X1813" s="75"/>
      <c r="Y1813" s="340"/>
      <c r="Z1813" s="341"/>
      <c r="AA1813" s="341"/>
      <c r="AB1813" s="341"/>
      <c r="AC1813" s="340"/>
      <c r="AD1813" s="75"/>
      <c r="AE1813" s="75"/>
      <c r="AF1813" s="75"/>
      <c r="AG1813" s="344"/>
      <c r="AH1813" s="344"/>
      <c r="AI1813" s="344"/>
      <c r="AJ1813" s="97"/>
      <c r="AK1813" s="4"/>
    </row>
    <row r="1814" spans="2:37" s="113" customFormat="1" x14ac:dyDescent="0.4">
      <c r="B1814" s="80"/>
      <c r="C1814" s="563">
        <v>1401</v>
      </c>
      <c r="D1814" s="907"/>
      <c r="E1814" s="906"/>
      <c r="F1814" s="921" t="str">
        <f t="shared" si="78"/>
        <v/>
      </c>
      <c r="G1814" s="882" t="str">
        <f t="shared" si="79"/>
        <v/>
      </c>
      <c r="H1814" s="925"/>
      <c r="I1814" s="919"/>
      <c r="J1814" s="919"/>
      <c r="K1814" s="919"/>
      <c r="L1814" s="919"/>
      <c r="O1814" s="339"/>
      <c r="T1814" s="75"/>
      <c r="U1814" s="75"/>
      <c r="V1814" s="75"/>
      <c r="W1814" s="75"/>
      <c r="X1814" s="75"/>
      <c r="Y1814" s="340"/>
      <c r="Z1814" s="341"/>
      <c r="AA1814" s="341"/>
      <c r="AB1814" s="341"/>
      <c r="AC1814" s="340"/>
      <c r="AD1814" s="75"/>
      <c r="AE1814" s="75"/>
      <c r="AF1814" s="75"/>
      <c r="AG1814" s="344"/>
      <c r="AH1814" s="344"/>
      <c r="AI1814" s="344"/>
      <c r="AJ1814" s="97"/>
      <c r="AK1814" s="4"/>
    </row>
    <row r="1815" spans="2:37" s="113" customFormat="1" x14ac:dyDescent="0.4">
      <c r="B1815" s="80"/>
      <c r="C1815" s="563">
        <v>1402</v>
      </c>
      <c r="D1815" s="907"/>
      <c r="E1815" s="906"/>
      <c r="F1815" s="921" t="str">
        <f t="shared" si="78"/>
        <v/>
      </c>
      <c r="G1815" s="882" t="str">
        <f t="shared" si="79"/>
        <v/>
      </c>
      <c r="H1815" s="925"/>
      <c r="I1815" s="919"/>
      <c r="J1815" s="919"/>
      <c r="K1815" s="919"/>
      <c r="L1815" s="919"/>
      <c r="O1815" s="339"/>
      <c r="T1815" s="75"/>
      <c r="U1815" s="75"/>
      <c r="V1815" s="75"/>
      <c r="W1815" s="75"/>
      <c r="X1815" s="75"/>
      <c r="Y1815" s="340"/>
      <c r="Z1815" s="341"/>
      <c r="AA1815" s="341"/>
      <c r="AB1815" s="341"/>
      <c r="AC1815" s="340"/>
      <c r="AD1815" s="75"/>
      <c r="AE1815" s="75"/>
      <c r="AF1815" s="75"/>
      <c r="AG1815" s="344"/>
      <c r="AH1815" s="344"/>
      <c r="AI1815" s="344"/>
      <c r="AJ1815" s="97"/>
      <c r="AK1815" s="4"/>
    </row>
    <row r="1816" spans="2:37" s="113" customFormat="1" x14ac:dyDescent="0.4">
      <c r="B1816" s="80"/>
      <c r="C1816" s="563">
        <v>1403</v>
      </c>
      <c r="D1816" s="907"/>
      <c r="E1816" s="906"/>
      <c r="F1816" s="921" t="str">
        <f t="shared" si="78"/>
        <v/>
      </c>
      <c r="G1816" s="882" t="str">
        <f t="shared" si="79"/>
        <v/>
      </c>
      <c r="H1816" s="925"/>
      <c r="I1816" s="919"/>
      <c r="J1816" s="919"/>
      <c r="K1816" s="919"/>
      <c r="L1816" s="919"/>
      <c r="O1816" s="339"/>
      <c r="T1816" s="75"/>
      <c r="U1816" s="75"/>
      <c r="V1816" s="75"/>
      <c r="W1816" s="75"/>
      <c r="X1816" s="75"/>
      <c r="Y1816" s="340"/>
      <c r="Z1816" s="341"/>
      <c r="AA1816" s="341"/>
      <c r="AB1816" s="341"/>
      <c r="AC1816" s="340"/>
      <c r="AD1816" s="75"/>
      <c r="AE1816" s="75"/>
      <c r="AF1816" s="75"/>
      <c r="AG1816" s="344"/>
      <c r="AH1816" s="344"/>
      <c r="AI1816" s="344"/>
      <c r="AJ1816" s="97"/>
      <c r="AK1816" s="4"/>
    </row>
    <row r="1817" spans="2:37" s="113" customFormat="1" x14ac:dyDescent="0.4">
      <c r="B1817" s="80"/>
      <c r="C1817" s="563">
        <v>1404</v>
      </c>
      <c r="D1817" s="907"/>
      <c r="E1817" s="906"/>
      <c r="F1817" s="921" t="str">
        <f t="shared" si="78"/>
        <v/>
      </c>
      <c r="G1817" s="882" t="str">
        <f t="shared" si="79"/>
        <v/>
      </c>
      <c r="H1817" s="925"/>
      <c r="I1817" s="919"/>
      <c r="J1817" s="919"/>
      <c r="K1817" s="919"/>
      <c r="L1817" s="919"/>
      <c r="O1817" s="339"/>
      <c r="T1817" s="75"/>
      <c r="U1817" s="75"/>
      <c r="V1817" s="75"/>
      <c r="W1817" s="75"/>
      <c r="X1817" s="75"/>
      <c r="Y1817" s="340"/>
      <c r="Z1817" s="341"/>
      <c r="AA1817" s="341"/>
      <c r="AB1817" s="341"/>
      <c r="AC1817" s="340"/>
      <c r="AD1817" s="75"/>
      <c r="AE1817" s="75"/>
      <c r="AF1817" s="75"/>
      <c r="AG1817" s="344"/>
      <c r="AH1817" s="344"/>
      <c r="AI1817" s="344"/>
      <c r="AJ1817" s="97"/>
      <c r="AK1817" s="4"/>
    </row>
    <row r="1818" spans="2:37" s="113" customFormat="1" x14ac:dyDescent="0.4">
      <c r="B1818" s="80"/>
      <c r="C1818" s="563">
        <v>1405</v>
      </c>
      <c r="D1818" s="907"/>
      <c r="E1818" s="906"/>
      <c r="F1818" s="921" t="str">
        <f t="shared" si="78"/>
        <v/>
      </c>
      <c r="G1818" s="882" t="str">
        <f t="shared" si="79"/>
        <v/>
      </c>
      <c r="H1818" s="925"/>
      <c r="I1818" s="919"/>
      <c r="J1818" s="919"/>
      <c r="K1818" s="919"/>
      <c r="L1818" s="919"/>
      <c r="O1818" s="339"/>
      <c r="T1818" s="75"/>
      <c r="U1818" s="75"/>
      <c r="V1818" s="75"/>
      <c r="W1818" s="75"/>
      <c r="X1818" s="75"/>
      <c r="Y1818" s="340"/>
      <c r="Z1818" s="341"/>
      <c r="AA1818" s="341"/>
      <c r="AB1818" s="341"/>
      <c r="AC1818" s="340"/>
      <c r="AD1818" s="75"/>
      <c r="AE1818" s="75"/>
      <c r="AF1818" s="75"/>
      <c r="AG1818" s="344"/>
      <c r="AH1818" s="344"/>
      <c r="AI1818" s="344"/>
      <c r="AJ1818" s="97"/>
      <c r="AK1818" s="4"/>
    </row>
    <row r="1819" spans="2:37" s="113" customFormat="1" x14ac:dyDescent="0.4">
      <c r="B1819" s="80"/>
      <c r="C1819" s="563">
        <v>1406</v>
      </c>
      <c r="D1819" s="907"/>
      <c r="E1819" s="906"/>
      <c r="F1819" s="921" t="str">
        <f t="shared" si="78"/>
        <v/>
      </c>
      <c r="G1819" s="882" t="str">
        <f t="shared" si="79"/>
        <v/>
      </c>
      <c r="H1819" s="925"/>
      <c r="I1819" s="919"/>
      <c r="J1819" s="919"/>
      <c r="K1819" s="919"/>
      <c r="L1819" s="919"/>
      <c r="O1819" s="339"/>
      <c r="T1819" s="75"/>
      <c r="U1819" s="75"/>
      <c r="V1819" s="75"/>
      <c r="W1819" s="75"/>
      <c r="X1819" s="75"/>
      <c r="Y1819" s="340"/>
      <c r="Z1819" s="341"/>
      <c r="AA1819" s="341"/>
      <c r="AB1819" s="341"/>
      <c r="AC1819" s="340"/>
      <c r="AD1819" s="75"/>
      <c r="AE1819" s="75"/>
      <c r="AF1819" s="75"/>
      <c r="AG1819" s="344"/>
      <c r="AH1819" s="344"/>
      <c r="AI1819" s="344"/>
      <c r="AJ1819" s="97"/>
      <c r="AK1819" s="4"/>
    </row>
    <row r="1820" spans="2:37" s="113" customFormat="1" x14ac:dyDescent="0.4">
      <c r="B1820" s="80"/>
      <c r="C1820" s="563">
        <v>1407</v>
      </c>
      <c r="D1820" s="907"/>
      <c r="E1820" s="906"/>
      <c r="F1820" s="921" t="str">
        <f t="shared" si="78"/>
        <v/>
      </c>
      <c r="G1820" s="882" t="str">
        <f t="shared" si="79"/>
        <v/>
      </c>
      <c r="H1820" s="925"/>
      <c r="I1820" s="919"/>
      <c r="J1820" s="919"/>
      <c r="K1820" s="919"/>
      <c r="L1820" s="919"/>
      <c r="O1820" s="339"/>
      <c r="T1820" s="75"/>
      <c r="U1820" s="75"/>
      <c r="V1820" s="75"/>
      <c r="W1820" s="75"/>
      <c r="X1820" s="75"/>
      <c r="Y1820" s="340"/>
      <c r="Z1820" s="341"/>
      <c r="AA1820" s="341"/>
      <c r="AB1820" s="341"/>
      <c r="AC1820" s="340"/>
      <c r="AD1820" s="75"/>
      <c r="AE1820" s="75"/>
      <c r="AF1820" s="75"/>
      <c r="AG1820" s="344"/>
      <c r="AH1820" s="344"/>
      <c r="AI1820" s="344"/>
      <c r="AJ1820" s="97"/>
      <c r="AK1820" s="4"/>
    </row>
    <row r="1821" spans="2:37" s="113" customFormat="1" x14ac:dyDescent="0.4">
      <c r="B1821" s="80"/>
      <c r="C1821" s="563">
        <v>1408</v>
      </c>
      <c r="D1821" s="907"/>
      <c r="E1821" s="906"/>
      <c r="F1821" s="921" t="str">
        <f t="shared" si="78"/>
        <v/>
      </c>
      <c r="G1821" s="882" t="str">
        <f t="shared" si="79"/>
        <v/>
      </c>
      <c r="H1821" s="925"/>
      <c r="I1821" s="919"/>
      <c r="J1821" s="919"/>
      <c r="K1821" s="919"/>
      <c r="L1821" s="919"/>
      <c r="O1821" s="339"/>
      <c r="T1821" s="75"/>
      <c r="U1821" s="75"/>
      <c r="V1821" s="75"/>
      <c r="W1821" s="75"/>
      <c r="X1821" s="75"/>
      <c r="Y1821" s="340"/>
      <c r="Z1821" s="341"/>
      <c r="AA1821" s="341"/>
      <c r="AB1821" s="341"/>
      <c r="AC1821" s="340"/>
      <c r="AD1821" s="75"/>
      <c r="AE1821" s="75"/>
      <c r="AF1821" s="75"/>
      <c r="AG1821" s="344"/>
      <c r="AH1821" s="344"/>
      <c r="AI1821" s="344"/>
      <c r="AJ1821" s="97"/>
      <c r="AK1821" s="4"/>
    </row>
    <row r="1822" spans="2:37" s="113" customFormat="1" x14ac:dyDescent="0.4">
      <c r="B1822" s="80"/>
      <c r="C1822" s="563">
        <v>1409</v>
      </c>
      <c r="D1822" s="907"/>
      <c r="E1822" s="906"/>
      <c r="F1822" s="921" t="str">
        <f t="shared" ref="F1822:F1853" si="80">IF($D$30="","",IF(OR(
AND(C1822&gt;=0,C1822&lt;=$D$32),
AND(C1822&gt;=$E$30,C1822&lt;=$E$32),
AND(C1822&gt;=$F$30,C1822&lt;=$F$32),
AND(C1822&gt;=$G$30,C1822&lt;=$G$32),
AND(C1822&gt;=$H$30,C1822&lt;=$H$32),
AND(C1822&gt;=$I$30,C1822&lt;=$I$32),
AND(C1822&gt;=$J$30,C1822&lt;=$J$32),
AND(C1822&gt;=$K$30,C1822&lt;=$K$32),
AND(C1822&gt;=$L$30,C1822&lt;=$L$32),
AND(C1822&gt;=$M$30,C1822&lt;=$M$32,$M$32&lt;&gt;""),
AND(C1822&gt;=$N$30,C1822&lt;=$N$32,$N$32&lt;&gt;""),
AND(C1822&gt;=$O$30,C1822&lt;=$O$32,$O$32&lt;&gt;""),
AND(C1822&gt;=$P$30,C1822&lt;=$P$32,$P$32&lt;&gt;""),
AND(C1822&gt;=$Q$30,C1822&lt;=$Q$32,$Q$32&lt;&gt;"")
),"ON","OFF"))</f>
        <v/>
      </c>
      <c r="G1822" s="882" t="str">
        <f t="shared" si="79"/>
        <v/>
      </c>
      <c r="H1822" s="925"/>
      <c r="I1822" s="919"/>
      <c r="J1822" s="919"/>
      <c r="K1822" s="919"/>
      <c r="L1822" s="919"/>
      <c r="O1822" s="339"/>
      <c r="T1822" s="75"/>
      <c r="U1822" s="75"/>
      <c r="V1822" s="75"/>
      <c r="W1822" s="75"/>
      <c r="X1822" s="75"/>
      <c r="Y1822" s="340"/>
      <c r="Z1822" s="341"/>
      <c r="AA1822" s="341"/>
      <c r="AB1822" s="341"/>
      <c r="AC1822" s="340"/>
      <c r="AD1822" s="75"/>
      <c r="AE1822" s="75"/>
      <c r="AF1822" s="75"/>
      <c r="AG1822" s="344"/>
      <c r="AH1822" s="344"/>
      <c r="AI1822" s="344"/>
      <c r="AJ1822" s="97"/>
      <c r="AK1822" s="4"/>
    </row>
    <row r="1823" spans="2:37" s="113" customFormat="1" x14ac:dyDescent="0.4">
      <c r="B1823" s="80"/>
      <c r="C1823" s="563">
        <v>1410</v>
      </c>
      <c r="D1823" s="907"/>
      <c r="E1823" s="906"/>
      <c r="F1823" s="921" t="str">
        <f t="shared" si="80"/>
        <v/>
      </c>
      <c r="G1823" s="882" t="str">
        <f t="shared" ref="G1823:G1853" si="81">IF(OR($D$47="",$D$48=""),"",IF(OR(
AND(C1823&gt;=$D$47,C1823&lt;=$D$48),
AND(C1823&gt;=$E$47,C1823&lt;=$E$48),
AND(C1823&gt;=$F$47,C1823&lt;=$F$48),
AND(C1823&gt;=$G$47,C1823&lt;=$G$48),
AND(C1823&gt;=$H$47,C1823&lt;=$H$48),
AND(C1823&gt;=$I$47,C1823&lt;=$I$48),
AND(C1823&gt;=$J$47,C1823&lt;=$J$48),
AND(C1823&gt;=$K$47,C1823&lt;=$K$48),
AND(C1823&gt;=$L$47,C1823&lt;=$L$48),
AND(C1823&gt;=$M$47,C1823&lt;=$M$48),
AND(C1823&gt;=$N$47,C1823&lt;=$N$48),
AND(C1823&gt;=$O$47,C1823&lt;=$O$48),
AND(C1823&gt;=$P$47,C1823&lt;=$P$48),
AND(C1823&gt;=$Q$47,C1823&lt;=$Q$48),
AND(C1823&gt;=$R$47,C1823&lt;=$R$48),
AND(C1823&gt;=$S$47,C1823&lt;=$S$48),
AND(C1823&gt;=$T$47,C1823&lt;=$T$48),
AND(C1823&gt;=$U$47,C1823&lt;=$U$48),
AND(C1823&gt;=$V$47,C1823&lt;=$V$48),
AND(C1823&gt;=$W$47,C1823&lt;=$W$48),
AND(C1823&gt;=$X$47,C1823&lt;=$X$48),
AND(C1823&gt;=$Y$47,C1823&lt;=$Y$48),
AND(C1823&gt;=$Z$47,C1823&lt;=$Z$48),
AND(C1823&gt;=$AA$47,C1823&lt;=$AA$48),
AND(C1823&gt;=$AB$47,C1823&lt;=$AB$48),
AND(C1823&gt;=$AC$47,C1823&lt;=$AC$48),
AND(C1823&gt;=$AD$47,C1823&lt;=$AD$48),
AND(C1823&gt;=$AE$47,C1823&lt;=$AE$48),
AND(C1823&gt;=$AF$47,C1823&lt;=$AF$48),
AND(C1823&gt;=$AG$47,C1823&lt;=$AG$48)
),"ON","OFF"))</f>
        <v/>
      </c>
      <c r="H1823" s="925"/>
      <c r="I1823" s="919"/>
      <c r="J1823" s="919"/>
      <c r="K1823" s="919"/>
      <c r="L1823" s="919"/>
      <c r="O1823" s="339"/>
      <c r="T1823" s="75"/>
      <c r="U1823" s="75"/>
      <c r="V1823" s="75"/>
      <c r="W1823" s="75"/>
      <c r="X1823" s="75"/>
      <c r="Y1823" s="340"/>
      <c r="Z1823" s="341"/>
      <c r="AA1823" s="341"/>
      <c r="AB1823" s="341"/>
      <c r="AC1823" s="340"/>
      <c r="AD1823" s="75"/>
      <c r="AE1823" s="75"/>
      <c r="AF1823" s="75"/>
      <c r="AG1823" s="344"/>
      <c r="AH1823" s="344"/>
      <c r="AI1823" s="344"/>
      <c r="AJ1823" s="97"/>
      <c r="AK1823" s="4"/>
    </row>
    <row r="1824" spans="2:37" s="113" customFormat="1" x14ac:dyDescent="0.4">
      <c r="B1824" s="80"/>
      <c r="C1824" s="563">
        <v>1411</v>
      </c>
      <c r="D1824" s="907"/>
      <c r="E1824" s="906"/>
      <c r="F1824" s="921" t="str">
        <f t="shared" si="80"/>
        <v/>
      </c>
      <c r="G1824" s="882" t="str">
        <f t="shared" si="81"/>
        <v/>
      </c>
      <c r="H1824" s="925"/>
      <c r="I1824" s="919"/>
      <c r="J1824" s="919"/>
      <c r="K1824" s="919"/>
      <c r="L1824" s="919"/>
      <c r="O1824" s="339"/>
      <c r="T1824" s="75"/>
      <c r="U1824" s="75"/>
      <c r="V1824" s="75"/>
      <c r="W1824" s="75"/>
      <c r="X1824" s="75"/>
      <c r="Y1824" s="340"/>
      <c r="Z1824" s="341"/>
      <c r="AA1824" s="341"/>
      <c r="AB1824" s="341"/>
      <c r="AC1824" s="340"/>
      <c r="AD1824" s="75"/>
      <c r="AE1824" s="75"/>
      <c r="AF1824" s="75"/>
      <c r="AG1824" s="344"/>
      <c r="AH1824" s="344"/>
      <c r="AI1824" s="344"/>
      <c r="AJ1824" s="97"/>
      <c r="AK1824" s="4"/>
    </row>
    <row r="1825" spans="2:37" s="113" customFormat="1" x14ac:dyDescent="0.4">
      <c r="B1825" s="80"/>
      <c r="C1825" s="563">
        <v>1412</v>
      </c>
      <c r="D1825" s="907"/>
      <c r="E1825" s="906"/>
      <c r="F1825" s="921" t="str">
        <f t="shared" si="80"/>
        <v/>
      </c>
      <c r="G1825" s="882" t="str">
        <f t="shared" si="81"/>
        <v/>
      </c>
      <c r="H1825" s="925"/>
      <c r="I1825" s="919"/>
      <c r="J1825" s="919"/>
      <c r="K1825" s="919"/>
      <c r="L1825" s="919"/>
      <c r="O1825" s="339"/>
      <c r="T1825" s="75"/>
      <c r="U1825" s="75"/>
      <c r="V1825" s="75"/>
      <c r="W1825" s="75"/>
      <c r="X1825" s="75"/>
      <c r="Y1825" s="340"/>
      <c r="Z1825" s="341"/>
      <c r="AA1825" s="341"/>
      <c r="AB1825" s="341"/>
      <c r="AC1825" s="340"/>
      <c r="AD1825" s="75"/>
      <c r="AE1825" s="75"/>
      <c r="AF1825" s="75"/>
      <c r="AG1825" s="344"/>
      <c r="AH1825" s="344"/>
      <c r="AI1825" s="344"/>
      <c r="AJ1825" s="97"/>
      <c r="AK1825" s="4"/>
    </row>
    <row r="1826" spans="2:37" s="113" customFormat="1" x14ac:dyDescent="0.4">
      <c r="B1826" s="80"/>
      <c r="C1826" s="563">
        <v>1413</v>
      </c>
      <c r="D1826" s="907"/>
      <c r="E1826" s="906"/>
      <c r="F1826" s="921" t="str">
        <f t="shared" si="80"/>
        <v/>
      </c>
      <c r="G1826" s="882" t="str">
        <f t="shared" si="81"/>
        <v/>
      </c>
      <c r="H1826" s="925"/>
      <c r="I1826" s="919"/>
      <c r="J1826" s="919"/>
      <c r="K1826" s="919"/>
      <c r="L1826" s="919"/>
      <c r="O1826" s="339"/>
      <c r="T1826" s="75"/>
      <c r="U1826" s="75"/>
      <c r="V1826" s="75"/>
      <c r="W1826" s="75"/>
      <c r="X1826" s="75"/>
      <c r="Y1826" s="340"/>
      <c r="Z1826" s="341"/>
      <c r="AA1826" s="341"/>
      <c r="AB1826" s="341"/>
      <c r="AC1826" s="340"/>
      <c r="AD1826" s="75"/>
      <c r="AE1826" s="75"/>
      <c r="AF1826" s="75"/>
      <c r="AG1826" s="344"/>
      <c r="AH1826" s="344"/>
      <c r="AI1826" s="344"/>
      <c r="AJ1826" s="97"/>
      <c r="AK1826" s="4"/>
    </row>
    <row r="1827" spans="2:37" s="113" customFormat="1" x14ac:dyDescent="0.4">
      <c r="B1827" s="80"/>
      <c r="C1827" s="563">
        <v>1414</v>
      </c>
      <c r="D1827" s="907"/>
      <c r="E1827" s="906"/>
      <c r="F1827" s="921" t="str">
        <f t="shared" si="80"/>
        <v/>
      </c>
      <c r="G1827" s="882" t="str">
        <f t="shared" si="81"/>
        <v/>
      </c>
      <c r="H1827" s="925"/>
      <c r="I1827" s="919"/>
      <c r="J1827" s="919"/>
      <c r="K1827" s="919"/>
      <c r="L1827" s="919"/>
      <c r="O1827" s="339"/>
      <c r="T1827" s="75"/>
      <c r="U1827" s="75"/>
      <c r="V1827" s="75"/>
      <c r="W1827" s="75"/>
      <c r="X1827" s="75"/>
      <c r="Y1827" s="340"/>
      <c r="Z1827" s="341"/>
      <c r="AA1827" s="341"/>
      <c r="AB1827" s="341"/>
      <c r="AC1827" s="340"/>
      <c r="AD1827" s="75"/>
      <c r="AE1827" s="75"/>
      <c r="AF1827" s="75"/>
      <c r="AG1827" s="344"/>
      <c r="AH1827" s="344"/>
      <c r="AI1827" s="344"/>
      <c r="AJ1827" s="97"/>
      <c r="AK1827" s="4"/>
    </row>
    <row r="1828" spans="2:37" s="113" customFormat="1" x14ac:dyDescent="0.4">
      <c r="B1828" s="80"/>
      <c r="C1828" s="563">
        <v>1415</v>
      </c>
      <c r="D1828" s="907"/>
      <c r="E1828" s="906"/>
      <c r="F1828" s="921" t="str">
        <f t="shared" si="80"/>
        <v/>
      </c>
      <c r="G1828" s="882" t="str">
        <f t="shared" si="81"/>
        <v/>
      </c>
      <c r="H1828" s="925"/>
      <c r="I1828" s="919"/>
      <c r="J1828" s="919"/>
      <c r="K1828" s="919"/>
      <c r="L1828" s="919"/>
      <c r="O1828" s="339"/>
      <c r="T1828" s="75"/>
      <c r="U1828" s="75"/>
      <c r="V1828" s="75"/>
      <c r="W1828" s="75"/>
      <c r="X1828" s="75"/>
      <c r="Y1828" s="340"/>
      <c r="Z1828" s="341"/>
      <c r="AA1828" s="341"/>
      <c r="AB1828" s="341"/>
      <c r="AC1828" s="340"/>
      <c r="AD1828" s="75"/>
      <c r="AE1828" s="75"/>
      <c r="AF1828" s="75"/>
      <c r="AG1828" s="344"/>
      <c r="AH1828" s="344"/>
      <c r="AI1828" s="344"/>
      <c r="AJ1828" s="97"/>
      <c r="AK1828" s="4"/>
    </row>
    <row r="1829" spans="2:37" s="113" customFormat="1" x14ac:dyDescent="0.4">
      <c r="B1829" s="80"/>
      <c r="C1829" s="563">
        <v>1416</v>
      </c>
      <c r="D1829" s="907"/>
      <c r="E1829" s="906"/>
      <c r="F1829" s="921" t="str">
        <f t="shared" si="80"/>
        <v/>
      </c>
      <c r="G1829" s="882" t="str">
        <f t="shared" si="81"/>
        <v/>
      </c>
      <c r="H1829" s="925"/>
      <c r="I1829" s="919"/>
      <c r="J1829" s="919"/>
      <c r="K1829" s="919"/>
      <c r="L1829" s="919"/>
      <c r="O1829" s="339"/>
      <c r="T1829" s="75"/>
      <c r="U1829" s="75"/>
      <c r="V1829" s="75"/>
      <c r="W1829" s="75"/>
      <c r="X1829" s="75"/>
      <c r="Y1829" s="340"/>
      <c r="Z1829" s="341"/>
      <c r="AA1829" s="341"/>
      <c r="AB1829" s="341"/>
      <c r="AC1829" s="340"/>
      <c r="AD1829" s="75"/>
      <c r="AE1829" s="75"/>
      <c r="AF1829" s="75"/>
      <c r="AG1829" s="344"/>
      <c r="AH1829" s="344"/>
      <c r="AI1829" s="344"/>
      <c r="AJ1829" s="97"/>
      <c r="AK1829" s="4"/>
    </row>
    <row r="1830" spans="2:37" s="113" customFormat="1" x14ac:dyDescent="0.4">
      <c r="B1830" s="80"/>
      <c r="C1830" s="563">
        <v>1417</v>
      </c>
      <c r="D1830" s="907"/>
      <c r="E1830" s="906"/>
      <c r="F1830" s="921" t="str">
        <f t="shared" si="80"/>
        <v/>
      </c>
      <c r="G1830" s="882" t="str">
        <f t="shared" si="81"/>
        <v/>
      </c>
      <c r="H1830" s="925"/>
      <c r="I1830" s="919"/>
      <c r="J1830" s="919"/>
      <c r="K1830" s="919"/>
      <c r="L1830" s="919"/>
      <c r="O1830" s="339"/>
      <c r="T1830" s="75"/>
      <c r="U1830" s="75"/>
      <c r="V1830" s="75"/>
      <c r="W1830" s="75"/>
      <c r="X1830" s="75"/>
      <c r="Y1830" s="340"/>
      <c r="Z1830" s="341"/>
      <c r="AA1830" s="341"/>
      <c r="AB1830" s="341"/>
      <c r="AC1830" s="340"/>
      <c r="AD1830" s="75"/>
      <c r="AE1830" s="75"/>
      <c r="AF1830" s="75"/>
      <c r="AG1830" s="344"/>
      <c r="AH1830" s="344"/>
      <c r="AI1830" s="344"/>
      <c r="AJ1830" s="97"/>
      <c r="AK1830" s="4"/>
    </row>
    <row r="1831" spans="2:37" s="113" customFormat="1" x14ac:dyDescent="0.4">
      <c r="B1831" s="80"/>
      <c r="C1831" s="563">
        <v>1418</v>
      </c>
      <c r="D1831" s="907"/>
      <c r="E1831" s="906"/>
      <c r="F1831" s="921" t="str">
        <f t="shared" si="80"/>
        <v/>
      </c>
      <c r="G1831" s="882" t="str">
        <f t="shared" si="81"/>
        <v/>
      </c>
      <c r="H1831" s="925"/>
      <c r="I1831" s="919"/>
      <c r="J1831" s="919"/>
      <c r="K1831" s="919"/>
      <c r="L1831" s="919"/>
      <c r="O1831" s="339"/>
      <c r="T1831" s="75"/>
      <c r="U1831" s="75"/>
      <c r="V1831" s="75"/>
      <c r="W1831" s="75"/>
      <c r="X1831" s="75"/>
      <c r="Y1831" s="340"/>
      <c r="Z1831" s="341"/>
      <c r="AA1831" s="341"/>
      <c r="AB1831" s="341"/>
      <c r="AC1831" s="340"/>
      <c r="AD1831" s="75"/>
      <c r="AE1831" s="75"/>
      <c r="AF1831" s="75"/>
      <c r="AG1831" s="344"/>
      <c r="AH1831" s="344"/>
      <c r="AI1831" s="344"/>
      <c r="AJ1831" s="97"/>
      <c r="AK1831" s="4"/>
    </row>
    <row r="1832" spans="2:37" s="113" customFormat="1" x14ac:dyDescent="0.4">
      <c r="B1832" s="80"/>
      <c r="C1832" s="563">
        <v>1419</v>
      </c>
      <c r="D1832" s="907"/>
      <c r="E1832" s="906"/>
      <c r="F1832" s="921" t="str">
        <f t="shared" si="80"/>
        <v/>
      </c>
      <c r="G1832" s="882" t="str">
        <f t="shared" si="81"/>
        <v/>
      </c>
      <c r="H1832" s="925"/>
      <c r="I1832" s="919"/>
      <c r="J1832" s="919"/>
      <c r="K1832" s="919"/>
      <c r="L1832" s="919"/>
      <c r="O1832" s="339"/>
      <c r="T1832" s="75"/>
      <c r="U1832" s="75"/>
      <c r="V1832" s="75"/>
      <c r="W1832" s="75"/>
      <c r="X1832" s="75"/>
      <c r="Y1832" s="340"/>
      <c r="Z1832" s="341"/>
      <c r="AA1832" s="341"/>
      <c r="AB1832" s="341"/>
      <c r="AC1832" s="340"/>
      <c r="AD1832" s="75"/>
      <c r="AE1832" s="75"/>
      <c r="AF1832" s="75"/>
      <c r="AG1832" s="344"/>
      <c r="AH1832" s="344"/>
      <c r="AI1832" s="344"/>
      <c r="AJ1832" s="97"/>
      <c r="AK1832" s="4"/>
    </row>
    <row r="1833" spans="2:37" s="113" customFormat="1" x14ac:dyDescent="0.4">
      <c r="B1833" s="80"/>
      <c r="C1833" s="563">
        <v>1420</v>
      </c>
      <c r="D1833" s="907"/>
      <c r="E1833" s="906"/>
      <c r="F1833" s="921" t="str">
        <f t="shared" si="80"/>
        <v/>
      </c>
      <c r="G1833" s="882" t="str">
        <f t="shared" si="81"/>
        <v/>
      </c>
      <c r="H1833" s="925"/>
      <c r="I1833" s="919"/>
      <c r="J1833" s="919"/>
      <c r="K1833" s="919"/>
      <c r="L1833" s="919"/>
      <c r="O1833" s="339"/>
      <c r="T1833" s="75"/>
      <c r="U1833" s="75"/>
      <c r="V1833" s="75"/>
      <c r="W1833" s="75"/>
      <c r="X1833" s="75"/>
      <c r="Y1833" s="340"/>
      <c r="Z1833" s="341"/>
      <c r="AA1833" s="341"/>
      <c r="AB1833" s="341"/>
      <c r="AC1833" s="340"/>
      <c r="AD1833" s="75"/>
      <c r="AE1833" s="75"/>
      <c r="AF1833" s="75"/>
      <c r="AG1833" s="344"/>
      <c r="AH1833" s="344"/>
      <c r="AI1833" s="344"/>
      <c r="AJ1833" s="97"/>
      <c r="AK1833" s="4"/>
    </row>
    <row r="1834" spans="2:37" s="113" customFormat="1" x14ac:dyDescent="0.4">
      <c r="B1834" s="80"/>
      <c r="C1834" s="563">
        <v>1421</v>
      </c>
      <c r="D1834" s="907"/>
      <c r="E1834" s="906"/>
      <c r="F1834" s="921" t="str">
        <f t="shared" si="80"/>
        <v/>
      </c>
      <c r="G1834" s="882" t="str">
        <f t="shared" si="81"/>
        <v/>
      </c>
      <c r="H1834" s="925"/>
      <c r="I1834" s="919"/>
      <c r="J1834" s="919"/>
      <c r="K1834" s="919"/>
      <c r="L1834" s="919"/>
      <c r="O1834" s="339"/>
      <c r="T1834" s="75"/>
      <c r="U1834" s="75"/>
      <c r="V1834" s="75"/>
      <c r="W1834" s="75"/>
      <c r="X1834" s="75"/>
      <c r="Y1834" s="340"/>
      <c r="Z1834" s="341"/>
      <c r="AA1834" s="341"/>
      <c r="AB1834" s="341"/>
      <c r="AC1834" s="340"/>
      <c r="AD1834" s="75"/>
      <c r="AE1834" s="75"/>
      <c r="AF1834" s="75"/>
      <c r="AG1834" s="344"/>
      <c r="AH1834" s="344"/>
      <c r="AI1834" s="344"/>
      <c r="AJ1834" s="97"/>
      <c r="AK1834" s="4"/>
    </row>
    <row r="1835" spans="2:37" s="113" customFormat="1" x14ac:dyDescent="0.4">
      <c r="B1835" s="80"/>
      <c r="C1835" s="563">
        <v>1422</v>
      </c>
      <c r="D1835" s="907"/>
      <c r="E1835" s="906"/>
      <c r="F1835" s="921" t="str">
        <f t="shared" si="80"/>
        <v/>
      </c>
      <c r="G1835" s="882" t="str">
        <f t="shared" si="81"/>
        <v/>
      </c>
      <c r="H1835" s="925"/>
      <c r="I1835" s="919"/>
      <c r="J1835" s="919"/>
      <c r="K1835" s="919"/>
      <c r="L1835" s="919"/>
      <c r="O1835" s="339"/>
      <c r="T1835" s="75"/>
      <c r="U1835" s="75"/>
      <c r="V1835" s="75"/>
      <c r="W1835" s="75"/>
      <c r="X1835" s="75"/>
      <c r="Y1835" s="340"/>
      <c r="Z1835" s="341"/>
      <c r="AA1835" s="341"/>
      <c r="AB1835" s="341"/>
      <c r="AC1835" s="340"/>
      <c r="AD1835" s="75"/>
      <c r="AE1835" s="75"/>
      <c r="AF1835" s="75"/>
      <c r="AG1835" s="344"/>
      <c r="AH1835" s="344"/>
      <c r="AI1835" s="344"/>
      <c r="AJ1835" s="97"/>
      <c r="AK1835" s="4"/>
    </row>
    <row r="1836" spans="2:37" s="113" customFormat="1" x14ac:dyDescent="0.4">
      <c r="B1836" s="80"/>
      <c r="C1836" s="563">
        <v>1423</v>
      </c>
      <c r="D1836" s="907"/>
      <c r="E1836" s="906"/>
      <c r="F1836" s="921" t="str">
        <f t="shared" si="80"/>
        <v/>
      </c>
      <c r="G1836" s="882" t="str">
        <f t="shared" si="81"/>
        <v/>
      </c>
      <c r="H1836" s="925"/>
      <c r="I1836" s="919"/>
      <c r="J1836" s="919"/>
      <c r="K1836" s="919"/>
      <c r="L1836" s="919"/>
      <c r="O1836" s="339"/>
      <c r="T1836" s="75"/>
      <c r="U1836" s="75"/>
      <c r="V1836" s="75"/>
      <c r="W1836" s="75"/>
      <c r="X1836" s="75"/>
      <c r="Y1836" s="340"/>
      <c r="Z1836" s="341"/>
      <c r="AA1836" s="341"/>
      <c r="AB1836" s="341"/>
      <c r="AC1836" s="340"/>
      <c r="AD1836" s="75"/>
      <c r="AE1836" s="75"/>
      <c r="AF1836" s="75"/>
      <c r="AG1836" s="344"/>
      <c r="AH1836" s="344"/>
      <c r="AI1836" s="344"/>
      <c r="AJ1836" s="97"/>
      <c r="AK1836" s="4"/>
    </row>
    <row r="1837" spans="2:37" s="113" customFormat="1" x14ac:dyDescent="0.4">
      <c r="B1837" s="80"/>
      <c r="C1837" s="563">
        <v>1424</v>
      </c>
      <c r="D1837" s="907"/>
      <c r="E1837" s="906"/>
      <c r="F1837" s="921" t="str">
        <f t="shared" si="80"/>
        <v/>
      </c>
      <c r="G1837" s="882" t="str">
        <f t="shared" si="81"/>
        <v/>
      </c>
      <c r="H1837" s="925"/>
      <c r="I1837" s="919"/>
      <c r="J1837" s="919"/>
      <c r="K1837" s="919"/>
      <c r="L1837" s="919"/>
      <c r="O1837" s="339"/>
      <c r="T1837" s="75"/>
      <c r="U1837" s="75"/>
      <c r="V1837" s="75"/>
      <c r="W1837" s="75"/>
      <c r="X1837" s="75"/>
      <c r="Y1837" s="340"/>
      <c r="Z1837" s="341"/>
      <c r="AA1837" s="341"/>
      <c r="AB1837" s="341"/>
      <c r="AC1837" s="340"/>
      <c r="AD1837" s="75"/>
      <c r="AE1837" s="75"/>
      <c r="AF1837" s="75"/>
      <c r="AG1837" s="344"/>
      <c r="AH1837" s="344"/>
      <c r="AI1837" s="344"/>
      <c r="AJ1837" s="97"/>
      <c r="AK1837" s="4"/>
    </row>
    <row r="1838" spans="2:37" s="113" customFormat="1" x14ac:dyDescent="0.4">
      <c r="B1838" s="80"/>
      <c r="C1838" s="563">
        <v>1425</v>
      </c>
      <c r="D1838" s="907"/>
      <c r="E1838" s="906"/>
      <c r="F1838" s="921" t="str">
        <f t="shared" si="80"/>
        <v/>
      </c>
      <c r="G1838" s="882" t="str">
        <f t="shared" si="81"/>
        <v/>
      </c>
      <c r="H1838" s="925"/>
      <c r="I1838" s="919"/>
      <c r="J1838" s="919"/>
      <c r="K1838" s="919"/>
      <c r="L1838" s="919"/>
      <c r="O1838" s="339"/>
      <c r="T1838" s="75"/>
      <c r="U1838" s="75"/>
      <c r="V1838" s="75"/>
      <c r="W1838" s="75"/>
      <c r="X1838" s="75"/>
      <c r="Y1838" s="340"/>
      <c r="Z1838" s="341"/>
      <c r="AA1838" s="341"/>
      <c r="AB1838" s="341"/>
      <c r="AC1838" s="340"/>
      <c r="AD1838" s="75"/>
      <c r="AE1838" s="75"/>
      <c r="AF1838" s="75"/>
      <c r="AG1838" s="344"/>
      <c r="AH1838" s="344"/>
      <c r="AI1838" s="344"/>
      <c r="AJ1838" s="97"/>
      <c r="AK1838" s="4"/>
    </row>
    <row r="1839" spans="2:37" s="113" customFormat="1" x14ac:dyDescent="0.4">
      <c r="B1839" s="80"/>
      <c r="C1839" s="563">
        <v>1426</v>
      </c>
      <c r="D1839" s="907"/>
      <c r="E1839" s="906"/>
      <c r="F1839" s="921" t="str">
        <f t="shared" si="80"/>
        <v/>
      </c>
      <c r="G1839" s="882" t="str">
        <f t="shared" si="81"/>
        <v/>
      </c>
      <c r="H1839" s="925"/>
      <c r="I1839" s="919"/>
      <c r="J1839" s="919"/>
      <c r="K1839" s="919"/>
      <c r="L1839" s="919"/>
      <c r="O1839" s="339"/>
      <c r="T1839" s="75"/>
      <c r="U1839" s="75"/>
      <c r="V1839" s="75"/>
      <c r="W1839" s="75"/>
      <c r="X1839" s="75"/>
      <c r="Y1839" s="340"/>
      <c r="Z1839" s="341"/>
      <c r="AA1839" s="341"/>
      <c r="AB1839" s="341"/>
      <c r="AC1839" s="340"/>
      <c r="AD1839" s="75"/>
      <c r="AE1839" s="75"/>
      <c r="AF1839" s="75"/>
      <c r="AG1839" s="344"/>
      <c r="AH1839" s="344"/>
      <c r="AI1839" s="344"/>
      <c r="AJ1839" s="97"/>
      <c r="AK1839" s="4"/>
    </row>
    <row r="1840" spans="2:37" s="113" customFormat="1" x14ac:dyDescent="0.4">
      <c r="B1840" s="80"/>
      <c r="C1840" s="563">
        <v>1427</v>
      </c>
      <c r="D1840" s="907"/>
      <c r="E1840" s="906"/>
      <c r="F1840" s="921" t="str">
        <f t="shared" si="80"/>
        <v/>
      </c>
      <c r="G1840" s="882" t="str">
        <f t="shared" si="81"/>
        <v/>
      </c>
      <c r="H1840" s="925"/>
      <c r="I1840" s="919"/>
      <c r="J1840" s="919"/>
      <c r="K1840" s="919"/>
      <c r="L1840" s="919"/>
      <c r="O1840" s="339"/>
      <c r="T1840" s="75"/>
      <c r="U1840" s="75"/>
      <c r="V1840" s="75"/>
      <c r="W1840" s="75"/>
      <c r="X1840" s="75"/>
      <c r="Y1840" s="340"/>
      <c r="Z1840" s="341"/>
      <c r="AA1840" s="341"/>
      <c r="AB1840" s="341"/>
      <c r="AC1840" s="340"/>
      <c r="AD1840" s="75"/>
      <c r="AE1840" s="75"/>
      <c r="AF1840" s="75"/>
      <c r="AG1840" s="344"/>
      <c r="AH1840" s="344"/>
      <c r="AI1840" s="344"/>
      <c r="AJ1840" s="97"/>
      <c r="AK1840" s="4"/>
    </row>
    <row r="1841" spans="1:37" s="113" customFormat="1" x14ac:dyDescent="0.4">
      <c r="B1841" s="80"/>
      <c r="C1841" s="563">
        <v>1428</v>
      </c>
      <c r="D1841" s="907"/>
      <c r="E1841" s="906"/>
      <c r="F1841" s="921" t="str">
        <f t="shared" si="80"/>
        <v/>
      </c>
      <c r="G1841" s="882" t="str">
        <f t="shared" si="81"/>
        <v/>
      </c>
      <c r="H1841" s="925"/>
      <c r="I1841" s="919"/>
      <c r="J1841" s="919"/>
      <c r="K1841" s="919"/>
      <c r="L1841" s="919"/>
      <c r="O1841" s="339"/>
      <c r="T1841" s="75"/>
      <c r="U1841" s="75"/>
      <c r="V1841" s="75"/>
      <c r="W1841" s="75"/>
      <c r="X1841" s="75"/>
      <c r="Y1841" s="340"/>
      <c r="Z1841" s="341"/>
      <c r="AA1841" s="341"/>
      <c r="AB1841" s="341"/>
      <c r="AC1841" s="340"/>
      <c r="AD1841" s="75"/>
      <c r="AE1841" s="75"/>
      <c r="AF1841" s="75"/>
      <c r="AG1841" s="344"/>
      <c r="AH1841" s="344"/>
      <c r="AI1841" s="344"/>
      <c r="AJ1841" s="97"/>
      <c r="AK1841" s="4"/>
    </row>
    <row r="1842" spans="1:37" s="113" customFormat="1" x14ac:dyDescent="0.4">
      <c r="B1842" s="80"/>
      <c r="C1842" s="563">
        <v>1429</v>
      </c>
      <c r="D1842" s="907"/>
      <c r="E1842" s="906"/>
      <c r="F1842" s="921" t="str">
        <f t="shared" si="80"/>
        <v/>
      </c>
      <c r="G1842" s="882" t="str">
        <f t="shared" si="81"/>
        <v/>
      </c>
      <c r="H1842" s="925"/>
      <c r="I1842" s="919"/>
      <c r="J1842" s="919"/>
      <c r="K1842" s="919"/>
      <c r="L1842" s="919"/>
      <c r="O1842" s="339"/>
      <c r="T1842" s="77"/>
      <c r="U1842" s="77"/>
      <c r="V1842" s="77"/>
      <c r="W1842" s="77"/>
      <c r="X1842" s="77"/>
      <c r="Y1842" s="345"/>
      <c r="Z1842" s="346"/>
      <c r="AA1842" s="346"/>
      <c r="AB1842" s="346"/>
      <c r="AC1842" s="345"/>
      <c r="AD1842" s="77"/>
      <c r="AE1842" s="77"/>
      <c r="AF1842" s="77"/>
      <c r="AG1842" s="4"/>
      <c r="AH1842" s="4"/>
      <c r="AI1842" s="4"/>
      <c r="AJ1842" s="97"/>
      <c r="AK1842" s="4"/>
    </row>
    <row r="1843" spans="1:37" s="113" customFormat="1" x14ac:dyDescent="0.4">
      <c r="B1843" s="80"/>
      <c r="C1843" s="563">
        <v>1430</v>
      </c>
      <c r="D1843" s="907"/>
      <c r="E1843" s="906"/>
      <c r="F1843" s="921" t="str">
        <f t="shared" si="80"/>
        <v/>
      </c>
      <c r="G1843" s="882" t="str">
        <f t="shared" si="81"/>
        <v/>
      </c>
      <c r="H1843" s="925"/>
      <c r="I1843" s="919"/>
      <c r="J1843" s="919"/>
      <c r="K1843" s="919"/>
      <c r="L1843" s="919"/>
      <c r="O1843" s="339"/>
      <c r="T1843" s="77"/>
      <c r="U1843" s="77"/>
      <c r="V1843" s="77"/>
      <c r="W1843" s="77"/>
      <c r="X1843" s="77"/>
      <c r="Y1843" s="345"/>
      <c r="Z1843" s="346"/>
      <c r="AA1843" s="346"/>
      <c r="AB1843" s="346"/>
      <c r="AC1843" s="345"/>
      <c r="AD1843" s="77"/>
      <c r="AE1843" s="77"/>
      <c r="AF1843" s="77"/>
      <c r="AG1843" s="4"/>
      <c r="AH1843" s="4"/>
      <c r="AI1843" s="4"/>
      <c r="AJ1843" s="97"/>
      <c r="AK1843" s="4"/>
    </row>
    <row r="1844" spans="1:37" s="113" customFormat="1" x14ac:dyDescent="0.4">
      <c r="B1844" s="80"/>
      <c r="C1844" s="563">
        <v>1431</v>
      </c>
      <c r="D1844" s="907"/>
      <c r="E1844" s="906"/>
      <c r="F1844" s="921" t="str">
        <f t="shared" si="80"/>
        <v/>
      </c>
      <c r="G1844" s="882" t="str">
        <f t="shared" si="81"/>
        <v/>
      </c>
      <c r="H1844" s="925"/>
      <c r="I1844" s="919"/>
      <c r="J1844" s="919"/>
      <c r="K1844" s="919"/>
      <c r="L1844" s="919"/>
      <c r="O1844" s="339"/>
      <c r="T1844" s="77"/>
      <c r="U1844" s="77"/>
      <c r="V1844" s="77"/>
      <c r="W1844" s="77"/>
      <c r="X1844" s="77"/>
      <c r="Y1844" s="345"/>
      <c r="Z1844" s="346"/>
      <c r="AA1844" s="346"/>
      <c r="AB1844" s="346"/>
      <c r="AC1844" s="345"/>
      <c r="AD1844" s="77"/>
      <c r="AE1844" s="77"/>
      <c r="AF1844" s="77"/>
      <c r="AG1844" s="4"/>
      <c r="AH1844" s="4"/>
      <c r="AI1844" s="4"/>
      <c r="AJ1844" s="97"/>
      <c r="AK1844" s="4"/>
    </row>
    <row r="1845" spans="1:37" s="113" customFormat="1" x14ac:dyDescent="0.4">
      <c r="B1845" s="80"/>
      <c r="C1845" s="563">
        <v>1432</v>
      </c>
      <c r="D1845" s="907"/>
      <c r="E1845" s="906"/>
      <c r="F1845" s="921" t="str">
        <f t="shared" si="80"/>
        <v/>
      </c>
      <c r="G1845" s="882" t="str">
        <f t="shared" si="81"/>
        <v/>
      </c>
      <c r="H1845" s="925"/>
      <c r="I1845" s="919"/>
      <c r="J1845" s="919"/>
      <c r="K1845" s="919"/>
      <c r="L1845" s="919"/>
      <c r="O1845" s="339"/>
      <c r="T1845" s="77"/>
      <c r="U1845" s="77"/>
      <c r="V1845" s="77"/>
      <c r="W1845" s="77"/>
      <c r="X1845" s="77"/>
      <c r="Y1845" s="345"/>
      <c r="Z1845" s="346"/>
      <c r="AA1845" s="346"/>
      <c r="AB1845" s="346"/>
      <c r="AC1845" s="345"/>
      <c r="AD1845" s="77"/>
      <c r="AE1845" s="77"/>
      <c r="AF1845" s="77"/>
      <c r="AG1845" s="4"/>
      <c r="AH1845" s="4"/>
      <c r="AI1845" s="4"/>
      <c r="AJ1845" s="97"/>
      <c r="AK1845" s="4"/>
    </row>
    <row r="1846" spans="1:37" s="113" customFormat="1" x14ac:dyDescent="0.4">
      <c r="B1846" s="80"/>
      <c r="C1846" s="563">
        <v>1433</v>
      </c>
      <c r="D1846" s="907"/>
      <c r="E1846" s="906"/>
      <c r="F1846" s="921" t="str">
        <f t="shared" si="80"/>
        <v/>
      </c>
      <c r="G1846" s="882" t="str">
        <f t="shared" si="81"/>
        <v/>
      </c>
      <c r="H1846" s="919"/>
      <c r="I1846" s="919"/>
      <c r="J1846" s="919"/>
      <c r="K1846" s="919"/>
      <c r="L1846" s="919"/>
      <c r="N1846" s="339"/>
      <c r="S1846" s="77"/>
      <c r="T1846" s="77"/>
      <c r="U1846" s="77"/>
      <c r="V1846" s="77"/>
      <c r="W1846" s="77"/>
      <c r="X1846" s="345"/>
      <c r="Y1846" s="346"/>
      <c r="Z1846" s="346"/>
      <c r="AA1846" s="346"/>
      <c r="AB1846" s="345"/>
      <c r="AC1846" s="77"/>
      <c r="AD1846" s="77"/>
      <c r="AE1846" s="77"/>
      <c r="AF1846" s="4"/>
      <c r="AG1846" s="4"/>
      <c r="AH1846" s="4"/>
      <c r="AI1846" s="4"/>
      <c r="AJ1846" s="125"/>
      <c r="AK1846" s="77"/>
    </row>
    <row r="1847" spans="1:37" s="113" customFormat="1" x14ac:dyDescent="0.4">
      <c r="B1847" s="80"/>
      <c r="C1847" s="563">
        <v>1434</v>
      </c>
      <c r="D1847" s="907"/>
      <c r="E1847" s="906"/>
      <c r="F1847" s="921" t="str">
        <f t="shared" si="80"/>
        <v/>
      </c>
      <c r="G1847" s="882" t="str">
        <f t="shared" si="81"/>
        <v/>
      </c>
      <c r="H1847" s="919"/>
      <c r="I1847" s="919"/>
      <c r="J1847" s="919"/>
      <c r="K1847" s="919"/>
      <c r="L1847" s="919"/>
      <c r="N1847" s="339"/>
      <c r="S1847" s="77"/>
      <c r="T1847" s="77"/>
      <c r="U1847" s="77"/>
      <c r="V1847" s="77"/>
      <c r="W1847" s="77"/>
      <c r="X1847" s="345"/>
      <c r="Y1847" s="346"/>
      <c r="Z1847" s="346"/>
      <c r="AA1847" s="346"/>
      <c r="AB1847" s="345"/>
      <c r="AC1847" s="77"/>
      <c r="AD1847" s="77"/>
      <c r="AE1847" s="77"/>
      <c r="AF1847" s="4"/>
      <c r="AG1847" s="4"/>
      <c r="AH1847" s="4"/>
      <c r="AI1847" s="4"/>
      <c r="AJ1847" s="125"/>
      <c r="AK1847" s="77"/>
    </row>
    <row r="1848" spans="1:37" s="113" customFormat="1" x14ac:dyDescent="0.4">
      <c r="B1848" s="80"/>
      <c r="C1848" s="563">
        <v>1435</v>
      </c>
      <c r="D1848" s="907"/>
      <c r="E1848" s="906"/>
      <c r="F1848" s="921" t="str">
        <f t="shared" si="80"/>
        <v/>
      </c>
      <c r="G1848" s="882" t="str">
        <f t="shared" si="81"/>
        <v/>
      </c>
      <c r="H1848" s="919"/>
      <c r="I1848" s="919"/>
      <c r="J1848" s="919"/>
      <c r="K1848" s="919"/>
      <c r="L1848" s="919"/>
      <c r="N1848" s="339"/>
      <c r="S1848" s="77"/>
      <c r="T1848" s="77"/>
      <c r="U1848" s="77"/>
      <c r="V1848" s="77"/>
      <c r="W1848" s="77"/>
      <c r="X1848" s="345"/>
      <c r="Y1848" s="346"/>
      <c r="Z1848" s="346"/>
      <c r="AA1848" s="346"/>
      <c r="AB1848" s="345"/>
      <c r="AC1848" s="77"/>
      <c r="AD1848" s="77"/>
      <c r="AE1848" s="77"/>
      <c r="AF1848" s="4"/>
      <c r="AG1848" s="4"/>
      <c r="AH1848" s="4"/>
      <c r="AI1848" s="4"/>
      <c r="AJ1848" s="125"/>
      <c r="AK1848" s="77"/>
    </row>
    <row r="1849" spans="1:37" s="113" customFormat="1" x14ac:dyDescent="0.4">
      <c r="B1849" s="80"/>
      <c r="C1849" s="563">
        <v>1436</v>
      </c>
      <c r="D1849" s="907"/>
      <c r="E1849" s="906"/>
      <c r="F1849" s="921" t="str">
        <f t="shared" si="80"/>
        <v/>
      </c>
      <c r="G1849" s="882" t="str">
        <f t="shared" si="81"/>
        <v/>
      </c>
      <c r="H1849" s="919"/>
      <c r="I1849" s="919"/>
      <c r="J1849" s="919"/>
      <c r="K1849" s="919"/>
      <c r="L1849" s="919"/>
      <c r="N1849" s="339"/>
      <c r="S1849" s="77"/>
      <c r="T1849" s="77"/>
      <c r="U1849" s="77"/>
      <c r="V1849" s="77"/>
      <c r="W1849" s="77"/>
      <c r="X1849" s="345"/>
      <c r="Y1849" s="346"/>
      <c r="Z1849" s="346"/>
      <c r="AA1849" s="346"/>
      <c r="AB1849" s="345"/>
      <c r="AC1849" s="77"/>
      <c r="AD1849" s="77"/>
      <c r="AE1849" s="77"/>
      <c r="AF1849" s="4"/>
      <c r="AG1849" s="4"/>
      <c r="AH1849" s="4"/>
      <c r="AI1849" s="4"/>
      <c r="AJ1849" s="125"/>
      <c r="AK1849" s="77"/>
    </row>
    <row r="1850" spans="1:37" s="113" customFormat="1" x14ac:dyDescent="0.4">
      <c r="B1850" s="80"/>
      <c r="C1850" s="563">
        <v>1437</v>
      </c>
      <c r="D1850" s="907"/>
      <c r="E1850" s="906"/>
      <c r="F1850" s="921" t="str">
        <f t="shared" si="80"/>
        <v/>
      </c>
      <c r="G1850" s="882" t="str">
        <f t="shared" si="81"/>
        <v/>
      </c>
      <c r="H1850" s="919"/>
      <c r="I1850" s="919"/>
      <c r="J1850" s="919"/>
      <c r="K1850" s="919"/>
      <c r="L1850" s="919"/>
      <c r="N1850" s="339"/>
      <c r="S1850" s="77"/>
      <c r="T1850" s="77"/>
      <c r="U1850" s="77"/>
      <c r="V1850" s="77"/>
      <c r="W1850" s="77"/>
      <c r="X1850" s="345"/>
      <c r="Y1850" s="346"/>
      <c r="Z1850" s="346"/>
      <c r="AA1850" s="346"/>
      <c r="AB1850" s="345"/>
      <c r="AC1850" s="77"/>
      <c r="AD1850" s="77"/>
      <c r="AE1850" s="77"/>
      <c r="AF1850" s="4"/>
      <c r="AG1850" s="4"/>
      <c r="AH1850" s="4"/>
      <c r="AI1850" s="4"/>
      <c r="AJ1850" s="125"/>
      <c r="AK1850" s="77"/>
    </row>
    <row r="1851" spans="1:37" s="113" customFormat="1" x14ac:dyDescent="0.4">
      <c r="B1851" s="80"/>
      <c r="C1851" s="563">
        <v>1438</v>
      </c>
      <c r="D1851" s="907"/>
      <c r="E1851" s="906"/>
      <c r="F1851" s="921" t="str">
        <f t="shared" si="80"/>
        <v/>
      </c>
      <c r="G1851" s="882" t="str">
        <f t="shared" si="81"/>
        <v/>
      </c>
      <c r="H1851" s="919"/>
      <c r="I1851" s="919"/>
      <c r="J1851" s="919"/>
      <c r="K1851" s="919"/>
      <c r="L1851" s="919"/>
      <c r="N1851" s="339"/>
      <c r="S1851" s="77"/>
      <c r="T1851" s="77"/>
      <c r="U1851" s="77"/>
      <c r="V1851" s="77"/>
      <c r="W1851" s="77"/>
      <c r="X1851" s="345"/>
      <c r="Y1851" s="346"/>
      <c r="Z1851" s="346"/>
      <c r="AA1851" s="346"/>
      <c r="AB1851" s="345"/>
      <c r="AC1851" s="77"/>
      <c r="AD1851" s="77"/>
      <c r="AE1851" s="77"/>
      <c r="AF1851" s="4"/>
      <c r="AG1851" s="4"/>
      <c r="AH1851" s="4"/>
      <c r="AI1851" s="4"/>
      <c r="AJ1851" s="125"/>
      <c r="AK1851" s="77"/>
    </row>
    <row r="1852" spans="1:37" s="113" customFormat="1" x14ac:dyDescent="0.4">
      <c r="B1852" s="80"/>
      <c r="C1852" s="563">
        <v>1439</v>
      </c>
      <c r="D1852" s="907"/>
      <c r="E1852" s="906"/>
      <c r="F1852" s="921" t="str">
        <f t="shared" si="80"/>
        <v/>
      </c>
      <c r="G1852" s="882" t="str">
        <f t="shared" si="81"/>
        <v/>
      </c>
      <c r="H1852" s="919"/>
      <c r="I1852" s="919"/>
      <c r="J1852" s="919"/>
      <c r="K1852" s="919"/>
      <c r="L1852" s="919"/>
      <c r="N1852" s="339"/>
      <c r="S1852" s="77"/>
      <c r="T1852" s="77"/>
      <c r="U1852" s="77"/>
      <c r="V1852" s="77"/>
      <c r="W1852" s="77"/>
      <c r="X1852" s="345"/>
      <c r="Y1852" s="346"/>
      <c r="Z1852" s="346"/>
      <c r="AA1852" s="346"/>
      <c r="AB1852" s="345"/>
      <c r="AC1852" s="77"/>
      <c r="AD1852" s="77"/>
      <c r="AE1852" s="77"/>
      <c r="AF1852" s="4"/>
      <c r="AG1852" s="4"/>
      <c r="AH1852" s="4"/>
      <c r="AI1852" s="4"/>
      <c r="AJ1852" s="125"/>
      <c r="AK1852" s="77"/>
    </row>
    <row r="1853" spans="1:37" s="113" customFormat="1" ht="16" thickBot="1" x14ac:dyDescent="0.45">
      <c r="B1853" s="80"/>
      <c r="C1853" s="564">
        <v>1440</v>
      </c>
      <c r="D1853" s="912"/>
      <c r="E1853" s="911"/>
      <c r="F1853" s="924" t="str">
        <f t="shared" si="80"/>
        <v/>
      </c>
      <c r="G1853" s="886" t="str">
        <f t="shared" si="81"/>
        <v/>
      </c>
      <c r="H1853" s="919"/>
      <c r="I1853" s="919"/>
      <c r="J1853" s="919"/>
      <c r="K1853" s="919"/>
      <c r="L1853" s="919"/>
      <c r="N1853" s="339"/>
      <c r="S1853" s="77"/>
      <c r="T1853" s="77"/>
      <c r="U1853" s="77"/>
      <c r="V1853" s="77"/>
      <c r="W1853" s="77"/>
      <c r="X1853" s="345"/>
      <c r="Y1853" s="346"/>
      <c r="Z1853" s="346"/>
      <c r="AA1853" s="346"/>
      <c r="AB1853" s="345"/>
      <c r="AC1853" s="77"/>
      <c r="AD1853" s="77"/>
      <c r="AE1853" s="77"/>
      <c r="AF1853" s="4"/>
      <c r="AG1853" s="4"/>
      <c r="AH1853" s="4"/>
      <c r="AI1853" s="4"/>
      <c r="AJ1853" s="125"/>
      <c r="AK1853" s="77"/>
    </row>
    <row r="1854" spans="1:37" s="113" customFormat="1" x14ac:dyDescent="0.4">
      <c r="B1854" s="80"/>
      <c r="C1854" s="75"/>
      <c r="D1854" s="75"/>
      <c r="E1854" s="77"/>
      <c r="F1854" s="77"/>
      <c r="G1854" s="77"/>
      <c r="H1854" s="77"/>
      <c r="J1854" s="77"/>
      <c r="K1854" s="77"/>
      <c r="L1854" s="77"/>
      <c r="M1854" s="77"/>
      <c r="N1854" s="77"/>
      <c r="O1854" s="77"/>
      <c r="P1854" s="77"/>
      <c r="Q1854" s="77"/>
      <c r="R1854" s="77"/>
      <c r="T1854" s="77"/>
      <c r="U1854" s="77"/>
      <c r="V1854" s="77"/>
      <c r="W1854" s="77"/>
      <c r="X1854" s="77"/>
      <c r="Y1854" s="345"/>
      <c r="Z1854" s="346"/>
      <c r="AA1854" s="346"/>
      <c r="AB1854" s="345"/>
      <c r="AC1854" s="77"/>
      <c r="AD1854" s="77"/>
      <c r="AE1854" s="77"/>
      <c r="AF1854" s="4"/>
      <c r="AG1854" s="4"/>
      <c r="AH1854" s="4"/>
      <c r="AI1854" s="4"/>
      <c r="AJ1854" s="125"/>
      <c r="AK1854" s="77"/>
    </row>
    <row r="1855" spans="1:37" s="113" customFormat="1" x14ac:dyDescent="0.4">
      <c r="A1855" s="338"/>
      <c r="B1855" s="347"/>
      <c r="C1855" s="125"/>
      <c r="D1855" s="125"/>
      <c r="E1855" s="125"/>
      <c r="F1855" s="125"/>
      <c r="G1855" s="125"/>
      <c r="H1855" s="125"/>
      <c r="I1855" s="338"/>
      <c r="J1855" s="125"/>
      <c r="K1855" s="125"/>
      <c r="L1855" s="125"/>
      <c r="M1855" s="125"/>
      <c r="N1855" s="125"/>
      <c r="O1855" s="125"/>
      <c r="P1855" s="125"/>
      <c r="Q1855" s="125"/>
      <c r="R1855" s="125"/>
      <c r="S1855" s="338"/>
      <c r="T1855" s="125"/>
      <c r="U1855" s="125"/>
      <c r="V1855" s="125"/>
      <c r="W1855" s="125"/>
      <c r="X1855" s="125"/>
      <c r="Y1855" s="348"/>
      <c r="Z1855" s="349"/>
      <c r="AA1855" s="349"/>
      <c r="AB1855" s="348"/>
      <c r="AC1855" s="125"/>
      <c r="AD1855" s="125"/>
      <c r="AE1855" s="125"/>
      <c r="AF1855" s="97"/>
      <c r="AG1855" s="97"/>
      <c r="AH1855" s="97"/>
      <c r="AI1855" s="97"/>
      <c r="AJ1855" s="125"/>
      <c r="AK1855" s="77"/>
    </row>
    <row r="1856" spans="1:37" s="113" customFormat="1" x14ac:dyDescent="0.4">
      <c r="B1856" s="80"/>
      <c r="C1856" s="75"/>
      <c r="D1856" s="75"/>
      <c r="E1856" s="77"/>
      <c r="F1856" s="77"/>
      <c r="G1856" s="77"/>
      <c r="H1856" s="77"/>
      <c r="J1856" s="77"/>
      <c r="K1856" s="77"/>
      <c r="L1856" s="77"/>
      <c r="M1856" s="77"/>
      <c r="N1856" s="77"/>
      <c r="O1856" s="77"/>
      <c r="P1856" s="77"/>
      <c r="Q1856" s="77"/>
      <c r="R1856" s="77"/>
      <c r="T1856" s="77"/>
      <c r="U1856" s="77"/>
      <c r="V1856" s="77"/>
      <c r="W1856" s="77"/>
      <c r="X1856" s="77"/>
      <c r="Y1856" s="345"/>
      <c r="Z1856" s="346"/>
      <c r="AA1856" s="346"/>
      <c r="AB1856" s="345"/>
      <c r="AC1856" s="77"/>
      <c r="AD1856" s="77"/>
      <c r="AE1856" s="77"/>
      <c r="AF1856" s="4"/>
      <c r="AG1856" s="4"/>
      <c r="AH1856" s="4"/>
      <c r="AI1856" s="4"/>
      <c r="AJ1856" s="77"/>
      <c r="AK1856" s="77"/>
    </row>
  </sheetData>
  <sheetProtection algorithmName="SHA-512" hashValue="/3X5gFhpDin5J/xPWTyhEPFgxztmXMrWxViiu2JM47LptvXQ+72dLGnctTMBvIcSrjRY06m9+a8SEc5TYT33Hg==" saltValue="rBdzOT1kVxG6S4WP7SPgXQ==" spinCount="100000" sheet="1" selectLockedCells="1"/>
  <mergeCells count="33">
    <mergeCell ref="B2:C2"/>
    <mergeCell ref="D76:D77"/>
    <mergeCell ref="E76:E77"/>
    <mergeCell ref="C101:I101"/>
    <mergeCell ref="E102:I102"/>
    <mergeCell ref="C44:AH44"/>
    <mergeCell ref="C10:T10"/>
    <mergeCell ref="C121:E121"/>
    <mergeCell ref="C139:E139"/>
    <mergeCell ref="C75:E75"/>
    <mergeCell ref="X191:Y191"/>
    <mergeCell ref="Z191:AA191"/>
    <mergeCell ref="AD191:AE191"/>
    <mergeCell ref="C163:Q163"/>
    <mergeCell ref="AF191:AF192"/>
    <mergeCell ref="C191:C192"/>
    <mergeCell ref="C189:AF189"/>
    <mergeCell ref="C190:AF190"/>
    <mergeCell ref="D191:E191"/>
    <mergeCell ref="F191:G191"/>
    <mergeCell ref="H191:I191"/>
    <mergeCell ref="AB191:AC191"/>
    <mergeCell ref="J191:K191"/>
    <mergeCell ref="L191:M191"/>
    <mergeCell ref="V191:W191"/>
    <mergeCell ref="C410:G410"/>
    <mergeCell ref="C411:G411"/>
    <mergeCell ref="I411:M411"/>
    <mergeCell ref="I410:M410"/>
    <mergeCell ref="T191:U191"/>
    <mergeCell ref="N191:O191"/>
    <mergeCell ref="P191:Q191"/>
    <mergeCell ref="R191:S191"/>
  </mergeCells>
  <dataValidations count="2">
    <dataValidation type="list" allowBlank="1" showInputMessage="1" showErrorMessage="1" sqref="D13" xr:uid="{00000000-0002-0000-0800-000000000000}">
      <formula1>DD_MassVolume</formula1>
    </dataValidation>
    <dataValidation type="list" allowBlank="1" showInputMessage="1" showErrorMessage="1" sqref="D122:D124" xr:uid="{00000000-0002-0000-0800-000001000000}">
      <formula1>DD_YesNo</formula1>
    </dataValidation>
  </dataValidations>
  <hyperlinks>
    <hyperlink ref="D2" location="Instructions!A1" display="Back to Instructions tab" xr:uid="{00000000-0004-0000-0800-000000000000}"/>
  </hyperlink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BA18BA1-42FC-425E-8072-164F7E1201AB}">
          <x14:formula1>
            <xm:f>'Drop-Downs'!$B$105:$B$106</xm:f>
          </x14:formula1>
          <xm:sqref>D14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15</vt:i4>
      </vt:variant>
    </vt:vector>
  </HeadingPairs>
  <TitlesOfParts>
    <vt:vector size="32" baseType="lpstr">
      <vt:lpstr>Instructions</vt:lpstr>
      <vt:lpstr>General Info &amp; Test Results</vt:lpstr>
      <vt:lpstr>Setup &amp; Instrumentation</vt:lpstr>
      <vt:lpstr>Storage Tank Volume</vt:lpstr>
      <vt:lpstr>Test Conditions</vt:lpstr>
      <vt:lpstr>Outlet Temperature</vt:lpstr>
      <vt:lpstr>1st-Hr Rating Test</vt:lpstr>
      <vt:lpstr>Max GPM Test</vt:lpstr>
      <vt:lpstr>24-Hr Simulated Use Test</vt:lpstr>
      <vt:lpstr>Photos</vt:lpstr>
      <vt:lpstr>Comments</vt:lpstr>
      <vt:lpstr>Report Sign-Off Block</vt:lpstr>
      <vt:lpstr>Mean Tank Temp Plot</vt:lpstr>
      <vt:lpstr>Constants</vt:lpstr>
      <vt:lpstr>Drop-Downs</vt:lpstr>
      <vt:lpstr>Water Properties</vt:lpstr>
      <vt:lpstr>Version Control</vt:lpstr>
      <vt:lpstr>DD_condensing</vt:lpstr>
      <vt:lpstr>DD_ConditionReceived</vt:lpstr>
      <vt:lpstr>DD_ConsumerVScommercial</vt:lpstr>
      <vt:lpstr>DD_DrawNumber</vt:lpstr>
      <vt:lpstr>DD_DrawPatterns</vt:lpstr>
      <vt:lpstr>DD_GasType</vt:lpstr>
      <vt:lpstr>DD_IgnitionOptions</vt:lpstr>
      <vt:lpstr>DD_InputControl</vt:lpstr>
      <vt:lpstr>DD_MassVolume</vt:lpstr>
      <vt:lpstr>DD_Measurement</vt:lpstr>
      <vt:lpstr>DD_measurementDescription</vt:lpstr>
      <vt:lpstr>DD_NOxEmissions</vt:lpstr>
      <vt:lpstr>DD_VentingOptions</vt:lpstr>
      <vt:lpstr>DD_WHtype</vt:lpstr>
      <vt:lpstr>DD_YesNo</vt:lpstr>
    </vt:vector>
  </TitlesOfParts>
  <Company>Navigant Consulting,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Navigant</dc:creator>
  <cp:lastModifiedBy>Alexander Hammer</cp:lastModifiedBy>
  <dcterms:created xsi:type="dcterms:W3CDTF">2014-03-06T14:19:27Z</dcterms:created>
  <dcterms:modified xsi:type="dcterms:W3CDTF">2019-06-27T18:36:58Z</dcterms:modified>
</cp:coreProperties>
</file>